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B0453BBF-58E3-4868-9EC4-DA14DF6BCA38}" xr6:coauthVersionLast="47" xr6:coauthVersionMax="47" xr10:uidLastSave="{00000000-0000-0000-0000-000000000000}"/>
  <bookViews>
    <workbookView xWindow="390" yWindow="390" windowWidth="8370" windowHeight="750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<sst xmlns="http://schemas.openxmlformats.org/spreadsheetml/2006/main" count="19165" uniqueCount="2523">
  <si>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</si>
  <si>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</si>
  <si>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</si>
  <si>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</si>
  <si>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</si>
  <si>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</si>
  <si>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</si>
  <si>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</si>
  <si>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</si>
  <si>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</si>
  <si>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</si>
  <si>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</si>
  <si>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</si>
  <si>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</si>
  <si>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</si>
  <si>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</si>
  <si>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</si>
  <si>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</si>
  <si>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</si>
  <si>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</si>
  <si>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</si>
  <si>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</si>
  <si>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</si>
  <si>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</si>
  <si>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</si>
  <si>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</si>
  <si>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</si>
  <si>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</si>
  <si>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</si>
  <si>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</si>
  <si>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</si>
  <si>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</si>
  <si>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</si>
  <si>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</si>
  <si>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</si>
  <si>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</si>
  <si>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</si>
  <si>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</si>
  <si>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</si>
  <si>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</si>
  <si>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</si>
  <si>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</si>
  <si>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</si>
  <si>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</si>
  <si>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</si>
  <si>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</si>
  <si>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</si>
  <si>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</si>
  <si>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</si>
  <si>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</si>
  <si>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</si>
  <si>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</si>
  <si>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</si>
  <si>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</si>
  <si>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</si>
  <si>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</si>
  <si>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</si>
  <si>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</si>
  <si>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</si>
  <si>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</si>
  <si>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</si>
  <si>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</si>
  <si>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</si>
  <si>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</si>
  <si>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</si>
  <si>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</si>
  <si>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</si>
  <si>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</si>
  <si>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</si>
  <si>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</si>
  <si>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</si>
  <si>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</si>
  <si>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</si>
  <si>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</si>
  <si>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</si>
  <si>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</si>
  <si>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</si>
  <si>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</si>
  <si>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</si>
  <si>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</si>
  <si>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</si>
  <si>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</si>
  <si>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</si>
  <si>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</si>
  <si>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</si>
  <si>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</si>
  <si>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</si>
  <si>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</si>
  <si>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</si>
  <si>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</si>
  <si>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</si>
  <si>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</si>
  <si>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</si>
  <si>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</si>
  <si>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</si>
  <si>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</si>
  <si>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</si>
  <si>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</si>
  <si>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</si>
  <si>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</si>
  <si>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</si>
  <si>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</si>
  <si>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</si>
  <si>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</si>
  <si>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</si>
  <si>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</si>
  <si>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</si>
  <si>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</si>
  <si>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</si>
  <si>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</si>
  <si>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</si>
  <si>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</si>
  <si>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</si>
  <si>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</si>
  <si>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</si>
  <si>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</si>
  <si>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</si>
  <si>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</si>
  <si>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</si>
  <si>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</si>
  <si>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</si>
  <si>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</si>
  <si>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</si>
  <si>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</si>
  <si>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</si>
  <si>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</si>
  <si>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</si>
  <si>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</si>
  <si>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</si>
  <si>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</si>
  <si>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</si>
  <si>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</si>
  <si>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</si>
  <si>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</si>
  <si>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</si>
  <si>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</si>
  <si>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</si>
  <si>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</si>
  <si>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</si>
  <si>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</si>
  <si>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</si>
  <si>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</si>
  <si>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</si>
  <si>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</si>
  <si>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</si>
  <si>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</si>
  <si>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</si>
  <si>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</si>
  <si>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</si>
  <si>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</si>
  <si>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</si>
  <si>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</si>
  <si>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</si>
  <si>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</si>
  <si>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</si>
  <si>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</si>
  <si>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</si>
  <si>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</si>
  <si>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</si>
  <si>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</si>
  <si>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</si>
  <si>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</si>
  <si>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</si>
  <si>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</si>
  <si>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</si>
  <si>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</si>
  <si>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</si>
  <si>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</si>
  <si>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</si>
  <si>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</si>
  <si>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</si>
  <si>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</si>
  <si>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</si>
  <si>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</si>
  <si>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</si>
  <si>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</si>
  <si>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</si>
  <si>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</si>
  <si>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</si>
  <si>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</si>
  <si>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</si>
  <si>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</si>
  <si>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</si>
  <si>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</si>
  <si>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</si>
  <si>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</si>
  <si>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</si>
  <si>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</si>
  <si>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</si>
  <si>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</si>
  <si>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</si>
  <si>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</si>
  <si>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</si>
  <si>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</si>
  <si>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</si>
  <si>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</si>
  <si>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</si>
  <si>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</si>
  <si>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</si>
  <si>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</si>
  <si>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</si>
  <si>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</si>
  <si>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</si>
  <si>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</si>
  <si>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</si>
  <si>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</si>
  <si>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</si>
  <si>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</si>
  <si>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</si>
  <si>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</si>
  <si>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</si>
  <si>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</si>
  <si>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</si>
  <si>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</si>
  <si>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</si>
  <si>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</si>
  <si>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</si>
  <si>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</si>
  <si>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</si>
  <si>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</si>
  <si>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</si>
  <si>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</si>
  <si>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</si>
  <si>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</si>
  <si>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</si>
  <si>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</si>
  <si>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</si>
  <si>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</si>
  <si>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</si>
  <si>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</si>
  <si>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</si>
  <si>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</si>
  <si>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</si>
  <si>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</si>
  <si>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</si>
  <si>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</si>
  <si>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</si>
  <si>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</si>
  <si>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</si>
  <si>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</si>
  <si>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</si>
  <si>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</si>
  <si>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</si>
  <si>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</si>
  <si>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</si>
  <si>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</si>
  <si>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</si>
  <si>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</si>
  <si>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</si>
  <si>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</si>
  <si>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</si>
  <si>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</si>
  <si>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</si>
  <si>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</si>
  <si>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</si>
  <si>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</si>
  <si>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</si>
  <si>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</si>
  <si>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</si>
  <si>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</si>
  <si>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</si>
  <si>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</si>
  <si>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</si>
  <si>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</si>
  <si>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</si>
  <si>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</si>
  <si>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</si>
  <si>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</si>
  <si>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</si>
  <si>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</si>
  <si>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</si>
  <si>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</si>
  <si>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</si>
  <si>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</si>
  <si>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</si>
  <si>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</si>
  <si>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</si>
  <si>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</si>
  <si>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</si>
  <si>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</si>
  <si>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</si>
  <si>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</si>
  <si>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</si>
  <si>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</si>
  <si>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</si>
  <si>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</si>
  <si>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</si>
  <si>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</si>
  <si>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</si>
  <si>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</si>
  <si>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</si>
  <si>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</si>
  <si>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</si>
  <si>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</si>
  <si>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</si>
  <si>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</si>
  <si>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</si>
  <si>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</si>
  <si>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</si>
  <si>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</si>
  <si>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</si>
  <si>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</si>
  <si>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</si>
  <si>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</si>
  <si>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</si>
  <si>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</si>
  <si>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</si>
  <si>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</si>
  <si>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</si>
  <si>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</si>
  <si>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</si>
  <si>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</si>
  <si>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</si>
  <si>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</si>
  <si>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</si>
  <si>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</si>
  <si>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</si>
  <si>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</si>
  <si>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</si>
  <si>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</si>
  <si>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</si>
  <si>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</si>
  <si>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</si>
  <si>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</si>
  <si>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</si>
  <si>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</si>
  <si>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</si>
  <si>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</si>
  <si>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</si>
  <si>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</si>
  <si>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</si>
  <si>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</si>
  <si>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</si>
  <si>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</si>
  <si>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</si>
  <si>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</si>
  <si>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</si>
  <si>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</si>
  <si>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</si>
  <si>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</si>
  <si>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</si>
  <si>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</si>
  <si>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</si>
  <si>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</si>
  <si>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</si>
  <si>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</si>
  <si>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</si>
  <si>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</si>
  <si>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</si>
  <si>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</si>
  <si>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</si>
  <si>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</si>
  <si>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</si>
  <si>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</si>
  <si>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</si>
  <si>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</si>
  <si>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</si>
  <si>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</si>
  <si>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</si>
  <si>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</si>
  <si>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</si>
  <si>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</si>
  <si>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</si>
  <si>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</si>
  <si>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</si>
  <si>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</si>
  <si>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</si>
  <si>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</si>
  <si>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</si>
  <si>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</si>
  <si>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</si>
  <si>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</si>
  <si>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</si>
  <si>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</si>
  <si>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</si>
  <si>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</si>
  <si>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</si>
  <si>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</si>
  <si>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</si>
  <si>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</si>
  <si>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</si>
  <si>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</si>
  <si>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</si>
  <si>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</si>
  <si>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</si>
  <si>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</si>
  <si>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</si>
  <si>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</si>
  <si>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</si>
  <si>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</si>
  <si>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</si>
  <si>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</si>
  <si>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</si>
  <si>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</si>
  <si>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</si>
  <si>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</si>
  <si>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</si>
  <si>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</si>
  <si>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</si>
  <si>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</si>
  <si>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</si>
  <si>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</si>
  <si>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</si>
  <si>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</si>
  <si>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</si>
  <si>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</si>
  <si>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</si>
  <si>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</si>
  <si>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</si>
  <si>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</si>
  <si>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</si>
  <si>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</si>
  <si>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</si>
  <si>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</si>
  <si>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</si>
  <si>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</si>
  <si>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</si>
  <si>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</si>
  <si>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</si>
  <si>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</si>
  <si>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</si>
  <si>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</si>
  <si>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</si>
  <si>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</si>
  <si>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</si>
  <si>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</si>
  <si>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</si>
  <si>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</si>
  <si>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</si>
  <si>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</si>
  <si>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</si>
  <si>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</si>
  <si>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</si>
  <si>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</si>
  <si>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</si>
  <si>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</si>
  <si>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</si>
  <si>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</si>
  <si>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</si>
  <si>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</si>
  <si>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</si>
  <si>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</si>
  <si>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</si>
  <si>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</si>
  <si>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</si>
  <si>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</si>
  <si>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</si>
  <si>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</si>
  <si>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</si>
  <si>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</si>
  <si>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</si>
  <si>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</si>
  <si>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</si>
  <si>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</si>
  <si>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</si>
  <si>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</si>
  <si>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</si>
  <si>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</si>
  <si>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</si>
  <si>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</si>
  <si>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</si>
  <si>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</si>
  <si>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</si>
  <si>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</si>
  <si>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</si>
  <si>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</si>
  <si>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</si>
  <si>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</si>
  <si>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</si>
  <si>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</si>
  <si>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</si>
  <si>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</si>
  <si>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</si>
  <si>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</si>
  <si>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</si>
  <si>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</si>
  <si>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</si>
  <si>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</si>
  <si>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</si>
  <si>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</si>
  <si>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</si>
  <si>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</si>
  <si>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</si>
  <si>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</si>
  <si>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</si>
  <si>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</si>
  <si>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</si>
  <si>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</si>
  <si>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</si>
  <si>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</si>
  <si>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</si>
  <si>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</si>
  <si>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</si>
  <si>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</si>
  <si>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</si>
  <si>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</si>
  <si>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</si>
  <si>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</si>
  <si>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</si>
  <si>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</si>
  <si>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</si>
  <si>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</si>
  <si>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</si>
  <si>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</si>
  <si>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</si>
  <si>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</si>
  <si>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</si>
  <si>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</si>
  <si>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</si>
  <si>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</si>
  <si>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</si>
  <si>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</si>
  <si>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</si>
  <si>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</si>
  <si>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</si>
  <si>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</si>
  <si>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</si>
  <si>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</si>
  <si>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</si>
  <si>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</si>
  <si>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</si>
  <si>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</si>
  <si>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</si>
  <si>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</si>
  <si>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</si>
  <si>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</si>
  <si>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</si>
  <si>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</si>
  <si>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</si>
  <si>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</si>
  <si>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</si>
  <si>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</si>
  <si>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</si>
  <si>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</si>
  <si>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</si>
  <si>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</si>
  <si>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</si>
  <si>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</si>
  <si>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</si>
  <si>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</si>
  <si>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</si>
  <si>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</si>
  <si>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</si>
  <si>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</si>
  <si>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</si>
  <si>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</si>
  <si>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</si>
  <si>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</si>
  <si>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</si>
  <si>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</si>
  <si>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</si>
  <si>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</si>
  <si>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</si>
  <si>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</si>
  <si>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</si>
  <si>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</si>
  <si>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</si>
  <si>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</si>
  <si>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</si>
  <si>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</si>
  <si>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</si>
  <si>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</si>
  <si>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</si>
  <si>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</si>
  <si>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</si>
  <si>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</si>
  <si>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</si>
  <si>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</si>
  <si>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</si>
  <si>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</si>
  <si>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</si>
  <si>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</si>
  <si>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</si>
  <si>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</si>
  <si>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</si>
  <si>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</si>
  <si>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</si>
  <si>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</si>
  <si>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</si>
  <si>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</si>
  <si>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</si>
  <si>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</si>
  <si>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</si>
  <si>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</si>
  <si>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</si>
  <si>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</si>
  <si>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</si>
  <si>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</si>
  <si>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</si>
  <si>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</si>
  <si>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</si>
  <si>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</si>
  <si>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</si>
  <si>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</si>
  <si>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</si>
  <si>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</si>
  <si>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</si>
  <si>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</si>
  <si>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</si>
  <si>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</si>
  <si>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</si>
  <si>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</si>
  <si>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</si>
  <si>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</si>
  <si>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</si>
  <si>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</si>
  <si>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</si>
  <si>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</si>
  <si>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</si>
  <si>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</si>
  <si>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</si>
  <si>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</si>
  <si>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</si>
  <si>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</si>
  <si>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</si>
  <si>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</si>
  <si>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</si>
  <si>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</si>
  <si>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</si>
  <si>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</si>
  <si>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</si>
  <si>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</si>
  <si>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</si>
  <si>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</si>
  <si>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</si>
  <si>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</si>
  <si>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</si>
  <si>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</si>
  <si>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</si>
  <si>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</si>
  <si>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</si>
  <si>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</si>
  <si>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</si>
  <si>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</si>
  <si>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</si>
  <si>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</si>
  <si>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</si>
  <si>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</si>
  <si>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</si>
  <si>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</si>
  <si>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</si>
  <si>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</si>
  <si>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</si>
  <si>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</si>
  <si>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</si>
  <si>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</si>
  <si>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</si>
  <si>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</si>
  <si>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</si>
  <si>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</si>
  <si>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</si>
  <si>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</si>
  <si>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</si>
  <si>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</si>
  <si>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</si>
  <si>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</si>
  <si>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</si>
  <si>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</si>
  <si>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</si>
  <si>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</si>
  <si>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</si>
  <si>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</si>
  <si>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</si>
  <si>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</si>
  <si>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</si>
  <si>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</si>
  <si>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</si>
  <si>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</si>
  <si>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</si>
  <si>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</si>
  <si>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</si>
  <si>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</si>
  <si>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</si>
  <si>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</si>
  <si>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</si>
  <si>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</si>
  <si>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</si>
  <si>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</si>
  <si>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</si>
  <si>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</si>
  <si>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</si>
  <si>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</si>
  <si>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</si>
  <si>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</si>
  <si>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</si>
  <si>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</si>
  <si>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</si>
  <si>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</si>
  <si>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</si>
  <si>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</si>
  <si>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</si>
  <si>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</si>
  <si>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</si>
  <si>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</si>
  <si>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</si>
  <si>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</si>
  <si>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</si>
  <si>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</si>
  <si>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</si>
  <si>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</si>
  <si>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</si>
  <si>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</si>
  <si>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</si>
  <si>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</si>
  <si>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</si>
  <si>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</si>
  <si>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</si>
  <si>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</si>
  <si>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</si>
  <si>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</si>
  <si>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</si>
  <si>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</si>
  <si>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</si>
  <si>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</si>
  <si>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</si>
  <si>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</si>
  <si>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</si>
  <si>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</si>
  <si>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</si>
  <si>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</si>
  <si>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</si>
  <si>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</si>
  <si>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</si>
  <si>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</si>
  <si>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</si>
  <si>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</si>
  <si>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</si>
  <si>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</si>
  <si>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</si>
  <si>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</si>
  <si>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</si>
  <si>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</si>
  <si>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</si>
  <si>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</si>
  <si>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</si>
  <si>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</si>
  <si>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</si>
  <si>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</si>
  <si>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</si>
  <si>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</si>
  <si>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</si>
  <si>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</si>
  <si>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</si>
  <si>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</si>
  <si>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</si>
  <si>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</si>
  <si>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</si>
  <si>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</si>
  <si>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</si>
  <si>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</si>
  <si>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</si>
  <si>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</si>
  <si>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</si>
  <si>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</si>
  <si>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</si>
  <si>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</si>
  <si>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</si>
  <si>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</si>
  <si>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</si>
  <si>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</si>
  <si>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</si>
  <si>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</si>
  <si>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</si>
  <si>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</si>
  <si>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</si>
  <si>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</si>
  <si>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</si>
  <si>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</si>
  <si>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</si>
  <si>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</si>
  <si>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</si>
  <si>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</si>
  <si>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</si>
  <si>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</si>
  <si>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</si>
  <si>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</si>
  <si>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</si>
  <si>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</si>
  <si>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</si>
  <si>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</si>
  <si>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</si>
  <si>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</si>
  <si>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</si>
  <si>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</si>
  <si>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</si>
  <si>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</si>
  <si>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</si>
  <si>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</si>
  <si>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</si>
  <si>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</si>
  <si>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</si>
  <si>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</si>
  <si>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</si>
  <si>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</si>
  <si>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</si>
  <si>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</si>
  <si>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</si>
  <si>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</si>
  <si>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</si>
  <si>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</si>
  <si>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</si>
  <si>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</si>
  <si>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</si>
  <si>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</si>
  <si>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</si>
  <si>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</si>
  <si>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</si>
  <si>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</si>
  <si>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</si>
  <si>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</si>
  <si>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</si>
  <si>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</si>
  <si>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</si>
  <si>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</si>
  <si>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</si>
  <si>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</si>
  <si>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</si>
  <si>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</si>
  <si>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</si>
  <si>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</si>
  <si>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</si>
  <si>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</si>
  <si>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</si>
  <si>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</si>
  <si>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</si>
  <si>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</si>
  <si>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</si>
  <si>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</si>
  <si>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</si>
  <si>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</si>
  <si>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</si>
  <si>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</si>
  <si>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</si>
  <si>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</si>
  <si>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</si>
  <si>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</si>
  <si>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</si>
  <si>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</si>
  <si>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</si>
  <si>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</si>
  <si>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</si>
  <si>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</si>
  <si>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</si>
  <si>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</si>
  <si>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</si>
  <si>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</si>
  <si>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</si>
  <si>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</si>
  <si>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</si>
  <si>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</si>
  <si>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</si>
  <si>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</si>
  <si>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</si>
  <si>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</si>
  <si>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</si>
  <si>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</si>
  <si>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</si>
  <si>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</si>
  <si>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</si>
  <si>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</si>
  <si>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</si>
  <si>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</si>
  <si>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</si>
  <si>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</si>
  <si>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</si>
  <si>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</si>
  <si>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</si>
  <si>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</si>
  <si>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</si>
  <si>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</si>
  <si>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</si>
  <si>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</si>
  <si>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</si>
  <si>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</si>
  <si>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</si>
  <si>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</si>
  <si>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</si>
  <si>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</si>
  <si>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</si>
  <si>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</si>
  <si>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</si>
  <si>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</si>
  <si>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</si>
  <si>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</si>
  <si>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</si>
  <si>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</si>
  <si>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</si>
  <si>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</si>
  <si>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</si>
  <si>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</si>
  <si>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</si>
  <si>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</si>
  <si>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</si>
  <si>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</si>
  <si>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</si>
  <si>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</si>
  <si>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</si>
  <si>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</si>
  <si>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</si>
  <si>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</si>
  <si>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</si>
  <si>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</si>
  <si>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</si>
  <si>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</si>
  <si>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</si>
  <si>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</si>
  <si>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</si>
  <si>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</si>
  <si>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</si>
  <si>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</si>
  <si>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</si>
  <si>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</si>
  <si>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</si>
  <si>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</si>
  <si>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</si>
  <si>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</si>
  <si>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</si>
  <si>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</si>
  <si>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</si>
  <si>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</si>
  <si>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</si>
  <si>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</si>
  <si>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</si>
  <si>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</si>
  <si>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</si>
  <si>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</si>
  <si>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</si>
  <si>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</si>
  <si>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</si>
  <si>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</si>
  <si>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</si>
  <si>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</si>
  <si>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</si>
  <si>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</si>
  <si>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</si>
  <si>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</si>
  <si>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</si>
  <si>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</si>
  <si>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</si>
  <si>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</si>
  <si>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</si>
  <si>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</si>
  <si>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</si>
  <si>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</si>
  <si>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</si>
  <si>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</si>
  <si>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</si>
  <si>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</si>
  <si>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</si>
  <si>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</si>
  <si>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</si>
  <si>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</si>
  <si>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</si>
  <si>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</si>
  <si>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</si>
  <si>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</si>
  <si>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</si>
  <si>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</si>
  <si>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</si>
  <si>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</si>
  <si>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</si>
  <si>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</si>
  <si>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</si>
  <si>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</si>
  <si>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</si>
  <si>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</si>
  <si>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</si>
  <si>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</si>
  <si>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</si>
  <si>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</si>
  <si>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</si>
  <si>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</si>
  <si>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</si>
  <si>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</si>
  <si>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</si>
  <si>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</si>
  <si>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</si>
  <si>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</si>
  <si>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</si>
  <si>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</si>
  <si>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</si>
  <si>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</si>
  <si>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</si>
  <si>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</si>
  <si>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</si>
  <si>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</si>
  <si>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</si>
  <si>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</si>
  <si>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</si>
  <si>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</si>
  <si>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</si>
  <si>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</si>
  <si>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</si>
  <si>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</si>
  <si>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</si>
  <si>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</si>
  <si>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</si>
  <si>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</si>
  <si>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</si>
  <si>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</si>
  <si>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</si>
  <si>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</si>
  <si>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</si>
  <si>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</si>
  <si>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</si>
  <si>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</si>
  <si>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</si>
  <si>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</si>
  <si>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</si>
  <si>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</si>
  <si>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</si>
  <si>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</si>
  <si>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</si>
  <si>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</si>
  <si>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</si>
  <si>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</si>
  <si>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</si>
  <si>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</si>
  <si>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</si>
  <si>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</si>
  <si>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</si>
  <si>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</si>
  <si>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</si>
  <si>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</si>
  <si>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</si>
  <si>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</si>
  <si>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</si>
  <si>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</si>
  <si>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</si>
  <si>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</si>
  <si>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</si>
  <si>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</si>
  <si>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</si>
  <si>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</si>
  <si>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</si>
  <si>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</si>
  <si>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</si>
  <si>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</si>
  <si>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</si>
  <si>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</si>
  <si>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</si>
  <si>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</si>
  <si>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</si>
  <si>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</si>
  <si>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</si>
  <si>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</si>
  <si>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</si>
  <si>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</si>
  <si>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</si>
  <si>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</si>
  <si>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</si>
  <si>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</si>
  <si>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</si>
  <si>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</si>
  <si>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</si>
  <si>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</si>
  <si>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</si>
  <si>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</si>
  <si>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</si>
  <si>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</si>
  <si>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</si>
  <si>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</si>
  <si>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</si>
  <si>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</si>
  <si>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</si>
  <si>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</si>
  <si>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</si>
  <si>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</si>
  <si>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</si>
  <si>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</si>
  <si>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</si>
  <si>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</si>
  <si>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</si>
  <si>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</si>
  <si>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</si>
  <si>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</si>
  <si>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</si>
  <si>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</si>
  <si>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</si>
  <si>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</si>
  <si>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</si>
  <si>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</si>
  <si>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</si>
  <si>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</si>
  <si>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</si>
  <si>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</si>
  <si>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</si>
  <si>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</si>
  <si>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</si>
  <si>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</si>
  <si>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</si>
  <si>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</si>
  <si>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</si>
  <si>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</si>
  <si>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</si>
  <si>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</si>
  <si>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</si>
  <si>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</si>
  <si>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</si>
  <si>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</si>
  <si>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</si>
  <si>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</si>
  <si>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</si>
  <si>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</si>
  <si>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</si>
  <si>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</si>
  <si>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</si>
  <si>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</si>
  <si>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</si>
  <si>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</si>
  <si>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</si>
  <si>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</si>
  <si>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</si>
  <si>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</si>
  <si>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</si>
  <si>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</si>
  <si>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</si>
  <si>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</si>
  <si>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</si>
  <si>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</si>
  <si>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</si>
  <si>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</si>
  <si>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</si>
  <si>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</si>
  <si>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</si>
  <si>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</si>
  <si>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</si>
  <si>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</si>
  <si>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</si>
  <si>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</si>
  <si>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</si>
  <si>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</si>
  <si>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</si>
  <si>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</si>
  <si>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</si>
  <si>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</si>
  <si>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</si>
  <si>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</si>
  <si>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</si>
  <si>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</si>
  <si>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</si>
  <si>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</si>
  <si>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</si>
  <si>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</si>
  <si>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</si>
  <si>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</si>
  <si>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</si>
  <si>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</si>
  <si>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</si>
  <si>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</si>
  <si>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</si>
  <si>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</si>
  <si>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</si>
  <si>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</si>
  <si>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</si>
  <si>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</si>
  <si>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</si>
  <si>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</si>
  <si>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</si>
  <si>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</si>
  <si>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</si>
  <si>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</si>
  <si>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</si>
  <si>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</si>
  <si>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</si>
  <si>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</si>
  <si>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</si>
  <si>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</si>
  <si>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</si>
  <si>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</si>
  <si>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</si>
  <si>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</si>
  <si>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</si>
  <si>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</si>
  <si>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</si>
  <si>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</si>
  <si>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</si>
  <si>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</si>
  <si>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</si>
  <si>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</si>
  <si>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</si>
  <si>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</si>
  <si>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</si>
  <si>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</si>
  <si>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</si>
  <si>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</si>
  <si>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</si>
  <si>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</si>
  <si>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</si>
  <si>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</si>
  <si>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</si>
  <si>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</si>
  <si>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</si>
  <si>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</si>
  <si>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</si>
  <si>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</si>
  <si>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</si>
  <si>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</si>
  <si>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</si>
  <si>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</si>
  <si>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</si>
  <si>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</si>
  <si>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</si>
  <si>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</si>
  <si>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</si>
  <si>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</si>
  <si>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</si>
  <si>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</si>
  <si>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</si>
  <si>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</si>
  <si>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</si>
  <si>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</si>
  <si>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</si>
  <si>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</si>
  <si>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</si>
  <si>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</si>
  <si>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</si>
  <si>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</si>
  <si>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</si>
  <si>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</si>
  <si>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</si>
  <si>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</si>
  <si>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</si>
  <si>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</si>
  <si>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</si>
  <si>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</si>
  <si>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</si>
  <si>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</si>
  <si>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</si>
  <si>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</si>
  <si>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</si>
  <si>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</si>
  <si>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</si>
  <si>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</si>
  <si>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</si>
  <si>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</si>
  <si>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</si>
  <si>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</si>
  <si>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</si>
  <si>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</si>
  <si>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</si>
  <si>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</si>
  <si>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</si>
  <si>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</si>
  <si>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</si>
  <si>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</si>
  <si>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</si>
  <si>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</si>
  <si>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</si>
  <si>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</si>
  <si>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</si>
  <si>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</si>
  <si>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</si>
  <si>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</si>
  <si>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</si>
  <si>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</si>
  <si>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</si>
  <si>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</si>
  <si>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</si>
  <si>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</si>
  <si>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</si>
  <si>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</si>
  <si>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</si>
  <si>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</si>
  <si>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</si>
  <si>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</si>
  <si>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</si>
  <si>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</si>
  <si>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</si>
  <si>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</si>
  <si>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</si>
  <si>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</si>
  <si>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</si>
  <si>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</si>
  <si>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</si>
  <si>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</si>
  <si>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</si>
  <si>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</si>
  <si>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</si>
  <si>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</si>
  <si>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</si>
  <si>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</si>
  <si>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</si>
  <si>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</si>
  <si>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</si>
  <si>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</si>
  <si>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</si>
  <si>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</si>
  <si>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</si>
  <si>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</si>
  <si>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</si>
  <si>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</si>
  <si>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</si>
  <si>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</si>
  <si>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</si>
  <si>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</si>
  <si>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</si>
  <si>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</si>
  <si>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</si>
  <si>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</si>
  <si>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</si>
  <si>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</si>
  <si>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</si>
  <si>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</si>
  <si>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</si>
  <si>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</si>
  <si>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</si>
  <si>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</si>
  <si>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</si>
  <si>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</si>
  <si>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</si>
  <si>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</si>
  <si>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</si>
  <si>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</si>
  <si>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</si>
  <si>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</si>
  <si>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</si>
  <si>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</si>
  <si>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</si>
  <si>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</si>
  <si>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</si>
  <si>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</si>
  <si>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</si>
  <si>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</si>
  <si>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</si>
  <si>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</si>
  <si>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</si>
  <si>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</si>
  <si>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</si>
  <si>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</si>
  <si>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</si>
  <si>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</si>
  <si>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</si>
  <si>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</si>
  <si>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</si>
  <si>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</si>
  <si>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</si>
  <si>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</si>
  <si>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</si>
  <si>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</si>
  <si>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</si>
  <si>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</si>
  <si>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</si>
  <si>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</si>
  <si>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</si>
  <si>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</si>
  <si>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</si>
  <si>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</si>
  <si>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</si>
  <si>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</si>
  <si>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</si>
  <si>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</si>
  <si>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</si>
  <si>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</si>
  <si>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</si>
  <si>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</si>
  <si>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</si>
  <si>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</si>
  <si>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</si>
  <si>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</si>
  <si>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</si>
  <si>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</si>
  <si>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</si>
  <si>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</si>
  <si>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</si>
  <si>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</si>
  <si>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</si>
  <si>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</si>
  <si>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</si>
  <si>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</si>
  <si>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</si>
  <si>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</si>
  <si>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</si>
  <si>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</si>
  <si>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</si>
  <si>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</si>
  <si>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</si>
  <si>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</si>
  <si>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</si>
  <si>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</si>
  <si>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</si>
  <si>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</si>
  <si>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</si>
  <si>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</si>
  <si>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</si>
  <si>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</si>
  <si>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</si>
  <si>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</si>
  <si>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</si>
  <si>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</si>
  <si>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</si>
  <si>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</si>
  <si>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</si>
  <si>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</si>
  <si>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</si>
  <si>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</si>
  <si>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</si>
  <si>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</si>
  <si>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</si>
  <si>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</si>
  <si>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</si>
  <si>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</si>
  <si>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</si>
  <si>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</si>
  <si>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</si>
  <si>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</si>
  <si>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</si>
  <si>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</si>
  <si>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</si>
  <si>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</si>
  <si>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</si>
  <si>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</si>
  <si>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</si>
  <si>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</si>
  <si>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</si>
  <si>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</si>
  <si>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</si>
  <si>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</si>
  <si>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</si>
  <si>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</si>
  <si>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</si>
  <si>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</si>
  <si>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</si>
  <si>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</si>
  <si>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</si>
  <si>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</si>
  <si>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</si>
  <si>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</si>
  <si>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</si>
  <si>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</si>
  <si>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</si>
  <si>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</si>
  <si>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</si>
  <si>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</si>
  <si>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</si>
  <si>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</si>
  <si>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</si>
  <si>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</si>
  <si>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</si>
  <si>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</si>
  <si>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</si>
  <si>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</si>
  <si>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</si>
  <si>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</si>
  <si>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</si>
  <si>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</si>
  <si>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</si>
  <si>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</si>
  <si>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</si>
  <si>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</si>
  <si>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</si>
  <si>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</si>
  <si>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</si>
  <si>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</si>
  <si>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</si>
  <si>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</si>
  <si>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</si>
  <si>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</si>
  <si>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</si>
  <si>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</si>
  <si>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</si>
  <si>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</si>
  <si>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</si>
  <si>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</si>
  <si>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</si>
  <si>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</si>
  <si>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</si>
  <si>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</si>
  <si>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</si>
  <si>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</si>
  <si>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</si>
  <si>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</si>
  <si>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</si>
  <si>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</si>
  <si>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</si>
  <si>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</si>
  <si>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</si>
  <si>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</si>
  <si>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</si>
  <si>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</si>
  <si>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</si>
  <si>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</si>
  <si>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</si>
  <si>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</si>
  <si>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</si>
  <si>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</si>
  <si>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</si>
  <si>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</si>
  <si>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</si>
  <si>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</si>
  <si>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</si>
  <si>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</si>
  <si>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</si>
  <si>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</si>
  <si>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</si>
  <si>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</si>
  <si>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</si>
  <si>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</si>
  <si>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</si>
  <si>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</si>
  <si>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</si>
  <si>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</si>
  <si>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</si>
  <si>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</si>
  <si>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</si>
  <si>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</si>
  <si>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</si>
  <si>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</si>
  <si>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</si>
  <si>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</si>
  <si>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</si>
  <si>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</si>
  <si>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</si>
  <si>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</si>
  <si>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</si>
  <si>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</si>
  <si>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</si>
  <si>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</si>
  <si>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</si>
  <si>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</si>
  <si>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</si>
  <si>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</si>
  <si>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</si>
  <si>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</si>
  <si>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</si>
  <si>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</si>
  <si>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</si>
  <si>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</si>
  <si>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</si>
  <si>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</si>
  <si>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</si>
  <si>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</si>
  <si>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</si>
  <si>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</si>
  <si>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</si>
  <si>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</si>
  <si>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</si>
  <si>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</si>
  <si>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</si>
  <si>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</si>
  <si>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</si>
  <si>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</si>
  <si>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</si>
  <si>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</si>
  <si>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</si>
  <si>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</si>
  <si>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</si>
  <si>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</si>
  <si>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</si>
  <si>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</si>
  <si>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</si>
  <si>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</si>
  <si>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</si>
  <si>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</si>
  <si>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</si>
  <si>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</si>
  <si>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</si>
  <si>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</si>
  <si>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</si>
  <si>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</si>
  <si>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</si>
  <si>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</si>
  <si>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</si>
  <si>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</si>
  <si>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</si>
  <si>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</si>
  <si>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</si>
  <si>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</si>
  <si>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</si>
  <si>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</si>
  <si>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</si>
  <si>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</si>
  <si>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</si>
  <si>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</si>
  <si>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</si>
  <si>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</si>
  <si>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</si>
  <si>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</si>
  <si>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</si>
  <si>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</si>
  <si>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</si>
  <si>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</si>
  <si>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</si>
  <si>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</si>
  <si>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</si>
  <si>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</si>
  <si>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</si>
  <si>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</si>
  <si>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</si>
  <si>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</si>
  <si>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</si>
  <si>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</si>
  <si>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</si>
  <si>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</si>
  <si>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</si>
  <si>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</si>
  <si>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</si>
  <si>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</si>
  <si>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</si>
  <si>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</si>
  <si>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</si>
  <si>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</si>
  <si>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</si>
  <si>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</si>
  <si>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</si>
  <si>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</si>
  <si>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</si>
  <si>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</si>
  <si>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</si>
  <si>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</si>
  <si>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</si>
  <si>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</si>
  <si>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</si>
  <si>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</si>
  <si>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</si>
  <si>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</si>
  <si>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</si>
  <si>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</si>
  <si>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</si>
  <si>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</si>
  <si>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</si>
  <si>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</si>
  <si>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</si>
  <si>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</si>
  <si>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</si>
  <si>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</si>
  <si>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</si>
  <si>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</si>
  <si>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</si>
  <si>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</si>
  <si>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</si>
  <si>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</si>
  <si>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</si>
  <si>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</si>
  <si>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</si>
  <si>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</si>
  <si>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</si>
  <si>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</si>
  <si>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</si>
  <si>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</si>
  <si>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</si>
  <si>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</si>
  <si>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</si>
  <si>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</si>
  <si>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</si>
  <si>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</si>
  <si>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</si>
  <si>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</si>
  <si>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</si>
  <si>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</si>
  <si>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</si>
  <si>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</si>
  <si>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</si>
  <si>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</si>
  <si>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</si>
  <si>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</si>
  <si>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</si>
  <si>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</si>
  <si>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</si>
  <si>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</si>
  <si>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</si>
  <si>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</si>
  <si>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</si>
  <si>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</si>
  <si>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</si>
  <si>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</si>
  <si>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</si>
  <si>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</si>
  <si>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</si>
  <si>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</si>
  <si>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</si>
  <si>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</si>
  <si>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</si>
  <si>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</si>
  <si>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</si>
  <si>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</si>
  <si>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</si>
  <si>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</si>
  <si>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</si>
  <si>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</si>
  <si>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</si>
  <si>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</si>
  <si>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</si>
  <si>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</si>
  <si>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</si>
  <si>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</si>
  <si>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</si>
  <si>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</si>
  <si>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</si>
  <si>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</si>
  <si>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</si>
  <si>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</si>
  <si>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</si>
  <si>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</si>
  <si>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</si>
  <si>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</si>
  <si>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</si>
  <si>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</si>
  <si>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</si>
  <si>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</si>
  <si>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</si>
  <si>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</si>
  <si>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</si>
  <si>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</si>
  <si>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</si>
  <si>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</si>
  <si>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</si>
  <si>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</si>
  <si>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</si>
  <si>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</si>
  <si>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</si>
  <si>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</si>
  <si>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</si>
  <si>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</si>
  <si>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</si>
  <si>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</si>
  <si>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</si>
  <si>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</si>
  <si>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</si>
  <si>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</si>
  <si>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</si>
  <si>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</si>
  <si>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</si>
  <si>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</si>
  <si>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</si>
  <si>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</si>
  <si>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</si>
  <si>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</si>
  <si>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</si>
  <si>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</si>
  <si>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</si>
  <si>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</si>
  <si>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</si>
  <si>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</si>
  <si>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</si>
  <si>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</si>
  <si>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</si>
  <si>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</si>
  <si>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</si>
  <si>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</si>
  <si>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</si>
  <si>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</si>
  <si>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</si>
  <si>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</si>
  <si>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</si>
  <si>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</si>
  <si>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</si>
  <si>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</si>
  <si>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</si>
  <si>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</si>
  <si>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</si>
  <si>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</si>
  <si>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</si>
  <si>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</si>
  <si>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</si>
  <si>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</si>
  <si>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</si>
  <si>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</si>
  <si>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</si>
  <si>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</si>
  <si>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</si>
  <si>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</si>
  <si>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</si>
  <si>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</si>
  <si>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</si>
  <si>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</si>
  <si>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</si>
  <si>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</si>
  <si>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</si>
  <si>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</si>
  <si>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</si>
  <si>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</si>
  <si>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</si>
  <si>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</si>
  <si>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</si>
  <si>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</si>
  <si>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</si>
  <si>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</si>
  <si>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</si>
  <si>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</si>
  <si>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</si>
  <si>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</si>
  <si>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</si>
  <si>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</si>
  <si>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</si>
  <si>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</si>
  <si>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</si>
  <si>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</si>
  <si>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</si>
  <si>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</si>
  <si>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</si>
  <si>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</si>
  <si>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</si>
  <si>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</si>
  <si>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</si>
  <si>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</si>
  <si>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</si>
  <si>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</si>
  <si>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</si>
  <si>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</si>
  <si>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</si>
  <si>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</si>
  <si>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</si>
  <si>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</si>
  <si>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</si>
  <si>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</si>
  <si>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</si>
  <si>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</si>
  <si>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</si>
  <si>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</si>
  <si>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</si>
  <si>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</si>
  <si>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</si>
  <si>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</si>
  <si>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</si>
  <si>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</si>
  <si>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</si>
  <si>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</si>
  <si>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</si>
  <si>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</si>
  <si>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</si>
  <si>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</si>
  <si>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</si>
  <si>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</si>
  <si>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</si>
  <si>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</si>
  <si>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</si>
  <si>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</si>
  <si>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</si>
  <si>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</si>
  <si>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</si>
  <si>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</si>
  <si>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</si>
  <si>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</si>
  <si>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</si>
  <si>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</si>
  <si>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</si>
  <si>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</si>
  <si>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</si>
  <si>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</si>
  <si>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</si>
  <si>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</si>
  <si>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</si>
  <si>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</si>
  <si>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</si>
  <si>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</si>
  <si>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</si>
  <si>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</si>
  <si>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</si>
  <si>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</si>
  <si>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</si>
  <si>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</si>
  <si>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</si>
  <si>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</si>
  <si>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</si>
  <si>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</si>
  <si>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</si>
  <si>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</si>
  <si>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</si>
  <si>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</si>
  <si>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</si>
  <si>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</si>
  <si>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</si>
  <si>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</si>
  <si>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</si>
  <si>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</si>
  <si>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</si>
  <si>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</si>
  <si>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</si>
  <si>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</si>
  <si>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</si>
  <si>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</si>
  <si>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</si>
  <si>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</si>
  <si>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</si>
  <si>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</si>
  <si>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</si>
  <si>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</si>
  <si>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</si>
  <si>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</si>
  <si>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</si>
  <si>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</si>
  <si>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</si>
  <si>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</si>
  <si>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</si>
  <si>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</si>
  <si>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</si>
  <si>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</si>
  <si>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</si>
  <si>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</si>
  <si>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</si>
  <si>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</si>
  <si>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</si>
  <si>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</si>
  <si>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</si>
  <si>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</si>
  <si>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</si>
  <si>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</si>
  <si>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</si>
  <si>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</si>
  <si>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</si>
  <si>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</si>
  <si>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</si>
  <si>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</si>
  <si>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</si>
  <si>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</si>
  <si>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</si>
  <si>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</si>
  <si>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</si>
  <si>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</si>
  <si>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</si>
  <si>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</si>
  <si>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</si>
  <si>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</si>
  <si>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</si>
  <si>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</si>
  <si>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</si>
  <si>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</si>
  <si>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</si>
  <si>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</si>
  <si>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</si>
  <si>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</si>
  <si>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</si>
  <si>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</si>
  <si>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</si>
  <si>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</si>
  <si>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</si>
  <si>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</si>
  <si>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</si>
  <si>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</si>
  <si>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</si>
  <si>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</si>
  <si>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</si>
  <si>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</si>
  <si>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</si>
  <si>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</si>
  <si>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</si>
  <si>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</si>
  <si>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</si>
  <si>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</si>
  <si>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</si>
  <si>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</si>
  <si>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</si>
  <si>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</si>
  <si>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</si>
  <si>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</si>
  <si>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</si>
  <si>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</si>
  <si>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</si>
  <si>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</si>
  <si>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</si>
  <si>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</si>
  <si>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</si>
  <si>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</si>
  <si>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</si>
  <si>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</si>
  <si>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</si>
  <si>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</si>
  <si>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</si>
  <si>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</si>
  <si>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</si>
  <si>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</si>
  <si>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</si>
  <si>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</si>
  <si>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</si>
  <si>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</si>
  <si>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</si>
  <si>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</si>
  <si>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</si>
  <si>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</si>
  <si>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</si>
  <si>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</si>
  <si>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</si>
  <si>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</si>
  <si>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</si>
  <si>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</si>
  <si>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</si>
  <si>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</si>
  <si>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</si>
  <si>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</si>
  <si>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</si>
  <si>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</si>
  <si>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</si>
  <si>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</si>
  <si>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</si>
  <si>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</si>
  <si>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</si>
  <si>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</si>
  <si>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</si>
  <si>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</si>
  <si>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</si>
  <si>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</si>
  <si>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</si>
  <si>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</si>
  <si>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</si>
  <si>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</si>
  <si>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</si>
  <si>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</si>
  <si>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</si>
  <si>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</si>
  <si>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</si>
  <si>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</si>
  <si>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</si>
  <si>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</si>
  <si>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</si>
  <si>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</si>
  <si>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</si>
  <si>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</si>
  <si>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</si>
  <si>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</si>
  <si>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</si>
  <si>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</si>
  <si>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</si>
  <si>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</si>
  <si>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</si>
  <si>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</si>
  <si>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</si>
  <si>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</si>
  <si>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</si>
  <si>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</si>
  <si>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</si>
  <si>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</si>
  <si>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</si>
  <si>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</si>
  <si>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</si>
  <si>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</si>
  <si>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</si>
  <si>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</si>
  <si>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</si>
  <si>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</si>
  <si>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</si>
  <si>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</si>
  <si>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</si>
  <si>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</si>
  <si>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</si>
  <si>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</si>
  <si>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</si>
  <si>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</si>
  <si>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</si>
  <si>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</si>
  <si>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</si>
  <si>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</si>
  <si>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</si>
  <si>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</si>
  <si>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</si>
  <si>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</si>
  <si>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</si>
  <si>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</si>
  <si>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</si>
  <si>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</si>
  <si>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</si>
  <si>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</si>
  <si>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</si>
  <si>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</si>
  <si>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</si>
  <si>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</si>
  <si>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</si>
  <si>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</si>
  <si>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</si>
  <si>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</si>
  <si>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</si>
  <si>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</si>
  <si>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</si>
  <si>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</si>
  <si>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</si>
  <si>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</si>
  <si>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</si>
  <si>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</si>
  <si>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</si>
  <si>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</si>
  <si>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</si>
  <si>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</si>
  <si>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</si>
  <si>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</si>
  <si>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</si>
  <si>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</si>
  <si>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</si>
  <si>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</si>
  <si>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</si>
  <si>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</si>
  <si>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</si>
  <si>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</si>
  <si>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</si>
  <si>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</si>
  <si>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</si>
  <si>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</si>
  <si>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</si>
  <si>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</si>
  <si>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</si>
  <si>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</si>
  <si>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</si>
  <si>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</si>
  <si>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</si>
  <si>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</si>
  <si>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</si>
  <si>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</si>
  <si>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</si>
  <si>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</si>
  <si>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</si>
  <si>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</si>
  <si>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</si>
  <si>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</si>
  <si>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</si>
  <si>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</si>
  <si>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</si>
  <si>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</si>
  <si>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</si>
  <si>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</si>
  <si>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</si>
  <si>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</si>
  <si>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</si>
  <si>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</si>
  <si>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</si>
  <si>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</si>
  <si>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</si>
  <si>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</si>
  <si>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</si>
  <si>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</si>
  <si>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</si>
  <si>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</si>
  <si>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</si>
  <si>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</si>
  <si>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</si>
  <si>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</si>
  <si>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</si>
  <si>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</si>
  <si>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</si>
  <si>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</si>
  <si>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</si>
  <si>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</si>
  <si>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</si>
  <si>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</si>
  <si>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</si>
  <si>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</si>
  <si>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</si>
  <si>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</si>
  <si>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</si>
  <si>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</si>
  <si>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</si>
  <si>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</si>
  <si>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</si>
  <si>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</si>
  <si>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</si>
  <si>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</si>
  <si>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</si>
  <si>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</si>
  <si>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</si>
  <si>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</si>
  <si>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</si>
  <si>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</si>
  <si>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</si>
  <si>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</si>
  <si>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</si>
  <si>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</si>
  <si>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</si>
  <si>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</si>
  <si>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</si>
  <si>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</si>
  <si>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</si>
  <si>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</si>
  <si>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</si>
  <si>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</si>
  <si>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</si>
  <si>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</si>
  <si>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</si>
  <si>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</si>
  <si>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</si>
  <si>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</si>
  <si>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</si>
  <si>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</si>
  <si>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</si>
  <si>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</si>
  <si>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</si>
  <si>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</si>
  <si>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</si>
  <si>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</si>
  <si>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</si>
  <si>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</si>
  <si>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</si>
  <si>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</si>
  <si>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</si>
  <si>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</si>
  <si>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</si>
  <si>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</si>
  <si>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</si>
  <si>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</si>
  <si>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</si>
  <si>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</si>
  <si>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</si>
  <si>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</si>
  <si>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</si>
  <si>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</si>
  <si>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</si>
  <si>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</si>
  <si>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</si>
  <si>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</si>
  <si>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</si>
  <si>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</si>
  <si>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</si>
  <si>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</si>
  <si>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</si>
  <si>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</si>
  <si>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</si>
  <si>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</si>
  <si>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</si>
  <si>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</si>
  <si>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</si>
  <si>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</si>
  <si>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</si>
  <si>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</si>
  <si>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</si>
  <si>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</si>
  <si>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</si>
  <si>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</si>
  <si>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</si>
  <si>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</si>
  <si>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</si>
  <si>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</si>
  <si>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</si>
  <si>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</si>
  <si>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</si>
  <si>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</si>
  <si>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</si>
  <si>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</si>
  <si>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</si>
  <si>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</si>
  <si>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</si>
  <si>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</si>
  <si>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</si>
  <si>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</si>
  <si>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</si>
  <si>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</si>
  <si>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</si>
  <si>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</si>
  <si>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</si>
  <si>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</si>
  <si>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</si>
  <si>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</si>
  <si>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</si>
  <si>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</si>
  <si>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</si>
  <si>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</si>
  <si>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</si>
  <si>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</si>
  <si>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</si>
  <si>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</si>
  <si>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</si>
  <si>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</si>
  <si>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</si>
  <si>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</si>
  <si>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</si>
  <si>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</si>
  <si>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</si>
  <si>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</si>
  <si>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</si>
  <si>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</si>
  <si>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</si>
  <si>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</si>
  <si>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</si>
  <si>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</si>
  <si>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</si>
  <si>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</si>
  <si>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</si>
  <si>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</si>
  <si>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</si>
  <si>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</si>
  <si>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</si>
  <si>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</si>
  <si>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</si>
  <si>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</si>
  <si>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</si>
  <si>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</si>
  <si>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</si>
  <si>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</si>
  <si>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</si>
  <si>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</si>
  <si>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</si>
  <si>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</si>
  <si>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</si>
  <si>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</si>
  <si>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</si>
  <si>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</si>
  <si>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</si>
  <si>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</si>
  <si>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</si>
  <si>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</si>
  <si>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</si>
  <si>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</si>
  <si>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</si>
  <si>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</si>
  <si>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</si>
  <si>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</si>
  <si>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</si>
  <si>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</si>
  <si>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</si>
  <si>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</si>
  <si>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</si>
  <si>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</si>
  <si>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</si>
  <si>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</si>
  <si>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</si>
  <si>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</si>
  <si>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</si>
  <si>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</si>
  <si>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</si>
  <si>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</si>
  <si>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</si>
  <si>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</si>
  <si>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</si>
  <si>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</si>
  <si>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</si>
  <si>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</si>
  <si>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</si>
  <si>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</si>
  <si>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</si>
  <si>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</si>
  <si>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</si>
  <si>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</si>
  <si>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</si>
  <si>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</si>
  <si>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</si>
  <si>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</si>
  <si>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</si>
  <si>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</si>
  <si>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</si>
  <si>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</si>
  <si>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</si>
  <si>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</si>
  <si>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</si>
  <si>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</si>
  <si>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</si>
  <si>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</si>
  <si>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</si>
  <si>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</si>
  <si>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</si>
  <si>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</si>
  <si>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</si>
  <si>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</si>
  <si>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</si>
  <si>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</si>
  <si>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</si>
  <si>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</si>
  <si>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</si>
  <si>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</si>
  <si>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</si>
  <si>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</si>
  <si>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</si>
  <si>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</si>
  <si>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</si>
  <si>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</si>
  <si>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</si>
  <si>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</si>
  <si>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</si>
  <si>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</si>
  <si>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</si>
  <si>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</si>
  <si>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</si>
  <si>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</si>
  <si>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</si>
  <si>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</si>
  <si>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</si>
  <si>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</si>
  <si>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</si>
  <si>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</si>
  <si>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</si>
  <si>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</si>
  <si>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</si>
  <si>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</si>
  <si>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</si>
  <si>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</si>
  <si>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</si>
  <si>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</si>
  <si>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</si>
  <si>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</si>
  <si>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</si>
  <si>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</si>
  <si>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</si>
  <si>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</si>
  <si>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</si>
  <si>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</si>
  <si>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</si>
  <si>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</si>
  <si>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</si>
  <si>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</si>
  <si>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</si>
  <si>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</si>
  <si>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</si>
  <si>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</si>
  <si>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</si>
  <si>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</si>
  <si>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</si>
  <si>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</si>
  <si>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</si>
  <si>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</si>
  <si>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</si>
  <si>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</si>
  <si>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</si>
  <si>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</si>
  <si>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</si>
  <si>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</si>
  <si>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</si>
  <si>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</si>
  <si>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</si>
  <si>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</si>
  <si>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</si>
  <si>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</si>
  <si>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</si>
  <si>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</si>
  <si>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</si>
  <si>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</si>
  <si>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</si>
  <si>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</si>
  <si>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</si>
  <si>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</si>
  <si>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</si>
  <si>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</si>
  <si>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</si>
  <si>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</si>
  <si>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</si>
  <si>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</si>
  <si>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</si>
  <si>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</si>
  <si>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</si>
  <si>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</si>
  <si>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</si>
  <si>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</si>
  <si>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</si>
  <si>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</si>
  <si>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</si>
  <si>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</si>
  <si>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</si>
  <si>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</si>
  <si>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</si>
  <si>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</si>
  <si>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</si>
  <si>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</si>
  <si>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</si>
  <si>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</si>
  <si>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</si>
  <si>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</si>
  <si>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</si>
  <si>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</si>
  <si>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</si>
  <si>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</si>
  <si>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</si>
  <si>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</si>
  <si>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</si>
  <si>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</si>
  <si>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</si>
  <si>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</si>
  <si>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</si>
  <si>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</si>
  <si>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</si>
  <si>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</si>
  <si>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</si>
  <si>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</si>
  <si>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</si>
  <si>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</si>
  <si>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</si>
  <si>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</si>
  <si>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</si>
  <si>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</si>
  <si>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</si>
  <si>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</si>
  <si>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</si>
  <si>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</si>
  <si>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</si>
  <si>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</si>
  <si>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</si>
  <si>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</si>
  <si>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</si>
  <si>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</si>
  <si>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</si>
  <si>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</si>
  <si>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</si>
  <si>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</si>
  <si>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</si>
  <si>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</si>
  <si>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</si>
  <si>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</si>
  <si>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</si>
  <si>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</si>
  <si>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</si>
  <si>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</si>
  <si>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</si>
  <si>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</si>
  <si>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</si>
  <si>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</si>
  <si>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</si>
  <si>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</si>
  <si>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</si>
  <si>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</si>
  <si>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</si>
  <si>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</si>
  <si>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</si>
  <si>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</si>
  <si>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</si>
  <si>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</si>
  <si>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</si>
  <si>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</si>
  <si>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</si>
  <si>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</si>
  <si>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</si>
  <si>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</si>
  <si>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</si>
  <si>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</si>
  <si>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</si>
  <si>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</si>
  <si>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</si>
  <si>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</si>
  <si>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</si>
  <si>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</si>
  <si>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</si>
  <si>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</si>
  <si>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</si>
  <si>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</si>
  <si>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</si>
  <si>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</si>
  <si>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</si>
  <si>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</si>
  <si>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</si>
  <si>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2008</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</si>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</sst>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20260.30503656773</v>
      </c>
      <c r="F22" s="3419" t="str">
        <f t="shared" si="0"/>
        <v>NA</v>
      </c>
      <c r="G22" s="3395">
        <v>312.19288215438456</v>
      </c>
      <c r="H22" s="3374">
        <f t="shared" si="1"/>
        <v>1144.7072345660767</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34536.6</v>
      </c>
      <c r="F24" s="3419" t="str">
        <f t="shared" si="0"/>
        <v>NA</v>
      </c>
      <c r="G24" s="3395">
        <v>760.11916909090917</v>
      </c>
      <c r="H24" s="3374">
        <f t="shared" si="1"/>
        <v>2787.1036200000003</v>
      </c>
      <c r="I24" s="2579" t="s">
        <v>2147</v>
      </c>
      <c r="J24" s="2580"/>
      <c r="M24" s="125"/>
    </row>
    <row r="25" spans="2:13" ht="18" customHeight="1" x14ac:dyDescent="0.2">
      <c r="B25" s="165"/>
      <c r="C25" s="1563"/>
      <c r="D25" s="1452" t="s">
        <v>1789</v>
      </c>
      <c r="E25" s="3414">
        <v>16860.800000000003</v>
      </c>
      <c r="F25" s="3419" t="str">
        <f t="shared" si="0"/>
        <v>NA</v>
      </c>
      <c r="G25" s="3395">
        <v>320.20958400000001</v>
      </c>
      <c r="H25" s="3374">
        <f t="shared" si="1"/>
        <v>1174.1018080000001</v>
      </c>
      <c r="I25" s="2579" t="s">
        <v>2147</v>
      </c>
      <c r="J25" s="2580"/>
      <c r="M25" s="125"/>
    </row>
    <row r="26" spans="2:13" ht="18" customHeight="1" x14ac:dyDescent="0.2">
      <c r="B26" s="165"/>
      <c r="C26" s="1563"/>
      <c r="D26" s="1452" t="s">
        <v>1790</v>
      </c>
      <c r="E26" s="3418">
        <v>16343.741144313244</v>
      </c>
      <c r="F26" s="3419">
        <f t="shared" si="0"/>
        <v>25.261363636363637</v>
      </c>
      <c r="G26" s="3395">
        <v>412.86518822509481</v>
      </c>
      <c r="H26" s="3374">
        <f t="shared" si="1"/>
        <v>1513.8390234920143</v>
      </c>
      <c r="I26" s="3395">
        <v>1513.8390234920143</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37352.650870368467</v>
      </c>
      <c r="F28" s="3419">
        <f>IF(I28="NA","NA",I28/(44/12)*1000/E28)</f>
        <v>0.95540749861091223</v>
      </c>
      <c r="G28" s="3395">
        <v>654.42343638106979</v>
      </c>
      <c r="H28" s="3374">
        <f>IF(G28="NA","NA",IF(G28="NO","NO",G28*44/12))</f>
        <v>2399.5526000639225</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125354.09705124944</v>
      </c>
      <c r="F31" s="3359">
        <f t="shared" ref="F31" si="3">IF(I31="NA","NA",I31/(44/12)*1000/E31)</f>
        <v>3.5782810575090771</v>
      </c>
      <c r="G31" s="3423">
        <f>SUM(G11:G29)</f>
        <v>2459.8102598514583</v>
      </c>
      <c r="H31" s="3371">
        <f t="shared" ref="H31" si="4">IF(G31="NA","NA",IF(G31="NO","NO",G31*44/12))</f>
        <v>9019.3042861220147</v>
      </c>
      <c r="I31" s="3423">
        <f>SUM(I11:I29)</f>
        <v>1644.6913668520144</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32620.272000000001</v>
      </c>
      <c r="F35" s="3419">
        <f>IF(I35="NA","NA",I35/(44/12)*1000/E35)</f>
        <v>24.562876104661651</v>
      </c>
      <c r="G35" s="3399">
        <v>801.24769963636368</v>
      </c>
      <c r="H35" s="3396">
        <f t="shared" si="5"/>
        <v>2937.9082320000002</v>
      </c>
      <c r="I35" s="3395">
        <v>2937.9082319999998</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71240.218734825583</v>
      </c>
      <c r="F41" s="3419">
        <f t="shared" ref="F41" si="8">IF(I41="NA","NA",I41/(44/12)*1000/E41)</f>
        <v>29.413479715589265</v>
      </c>
      <c r="G41" s="3395">
        <v>2122.2707716690593</v>
      </c>
      <c r="H41" s="3396">
        <f t="shared" si="5"/>
        <v>7781.6594961198834</v>
      </c>
      <c r="I41" s="3395">
        <v>7683.2166718667595</v>
      </c>
      <c r="J41" s="3416" t="s">
        <v>2274</v>
      </c>
      <c r="M41" s="125"/>
    </row>
    <row r="42" spans="2:13" ht="18" customHeight="1" x14ac:dyDescent="0.2">
      <c r="B42" s="1434"/>
      <c r="C42" s="1564"/>
      <c r="D42" s="1452" t="s">
        <v>1792</v>
      </c>
      <c r="E42" s="3414">
        <v>8483.5139961015157</v>
      </c>
      <c r="F42" s="3419">
        <f>IF(I42="NA","NA",I42/(44/12)*1000/E42)</f>
        <v>14.939095620517097</v>
      </c>
      <c r="G42" s="3395">
        <v>180.08733951302835</v>
      </c>
      <c r="H42" s="3396">
        <f t="shared" si="5"/>
        <v>660.32024488110403</v>
      </c>
      <c r="I42" s="3395">
        <v>464.69876488110401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112344.00473092709</v>
      </c>
      <c r="F45" s="3343">
        <f>IF(I45="NA","NA",I45/(44/12)*1000/E45)</f>
        <v>26.912040943834569</v>
      </c>
      <c r="G45" s="3423">
        <f>SUM(G33:G43)</f>
        <v>3103.6058108184516</v>
      </c>
      <c r="H45" s="3371">
        <f t="shared" ref="H45" si="9">IF(G45="NA","NA",IF(G45="NO","NO",G45*44/12))</f>
        <v>11379.887973000988</v>
      </c>
      <c r="I45" s="3423">
        <f>SUM(I33:I43)</f>
        <v>11085.823668747864</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42071.084573251115</v>
      </c>
      <c r="F47" s="3419">
        <f t="shared" ref="F47" si="10">IF(I47="NA","NA",I47/(44/12)*1000/E47)</f>
        <v>14.02143227434499</v>
      </c>
      <c r="G47" s="3395">
        <v>589.89686305208079</v>
      </c>
      <c r="H47" s="3374">
        <f t="shared" ref="H47" si="11">IF(G47="NA","NA",IF(G47="NO","NO",G47*44/12))</f>
        <v>2162.9551645242959</v>
      </c>
      <c r="I47" s="3395">
        <v>2162.9551645242964</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42071.084573251115</v>
      </c>
      <c r="F50" s="3343">
        <f>IF(I50="NA","NA",I50/(44/12)*1000/E50)</f>
        <v>14.02143227434499</v>
      </c>
      <c r="G50" s="3423">
        <f>SUM(G47:G48)</f>
        <v>589.89686305208079</v>
      </c>
      <c r="H50" s="3397">
        <f t="shared" ref="H50" si="13">IF(G50="NA","NA",IF(G50="NO","NO",G50*44/12))</f>
        <v>2162.9551645242959</v>
      </c>
      <c r="I50" s="3423">
        <f>SUM(I47:I48)</f>
        <v>2162.9551645242964</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279769.18635542766</v>
      </c>
      <c r="F55" s="3354">
        <f t="shared" si="14"/>
        <v>14.518594996249746</v>
      </c>
      <c r="G55" s="3423">
        <f>SUM(G31,G45,G50,G54)</f>
        <v>6153.3129337219907</v>
      </c>
      <c r="H55" s="3398">
        <f t="shared" si="15"/>
        <v>22562.1474236473</v>
      </c>
      <c r="I55" s="3423">
        <f>SUM(I31,I45,I50,I54)</f>
        <v>14893.470200124175</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481.23804200000001</v>
      </c>
      <c r="D10" s="3127"/>
      <c r="E10" s="3127"/>
      <c r="F10" s="3078">
        <f>SUM(F11,F18)</f>
        <v>1192.7264674326666</v>
      </c>
      <c r="G10" s="3078">
        <f>SUM(G11,G18)</f>
        <v>1162.3635762445851</v>
      </c>
      <c r="H10" s="3078">
        <f>H11</f>
        <v>-29.276385282990002</v>
      </c>
      <c r="I10" s="3128" t="s">
        <v>2146</v>
      </c>
      <c r="L10" s="3750"/>
    </row>
    <row r="11" spans="2:12" ht="18" customHeight="1" x14ac:dyDescent="0.2">
      <c r="B11" s="1252" t="s">
        <v>334</v>
      </c>
      <c r="C11" s="3033">
        <v>98.293045000000006</v>
      </c>
      <c r="D11" s="3078">
        <f>IFERROR(SUM(F11,H11)/$C$11,"NA")</f>
        <v>9.2254079434850045</v>
      </c>
      <c r="E11" s="3078">
        <f>IFERROR(SUM(G11,I11)/$C$11,"NA")</f>
        <v>10.569282477642259</v>
      </c>
      <c r="F11" s="3078">
        <f>SUM(F12:F16)</f>
        <v>936.06982341531909</v>
      </c>
      <c r="G11" s="3078">
        <f>SUM(G12:G16)</f>
        <v>1038.8869581926022</v>
      </c>
      <c r="H11" s="3078">
        <f>H12</f>
        <v>-29.276385282990002</v>
      </c>
      <c r="I11" s="3128" t="s">
        <v>2146</v>
      </c>
    </row>
    <row r="12" spans="2:12" ht="18" customHeight="1" x14ac:dyDescent="0.2">
      <c r="B12" s="160" t="s">
        <v>335</v>
      </c>
      <c r="C12" s="3046"/>
      <c r="D12" s="3078">
        <f t="shared" ref="D12:D14" si="0">IFERROR(SUM(F12,H12)/$C$11,"NA")</f>
        <v>8.1611148010837677</v>
      </c>
      <c r="E12" s="3078">
        <f>IFERROR(SUM(G12,I12)/$C$11,"NA")</f>
        <v>9.7280729676486217</v>
      </c>
      <c r="F12" s="3126">
        <v>831.45720967608293</v>
      </c>
      <c r="G12" s="3126">
        <v>956.20191397236965</v>
      </c>
      <c r="H12" s="3126">
        <v>-29.276385282990002</v>
      </c>
      <c r="I12" s="3034" t="s">
        <v>2146</v>
      </c>
    </row>
    <row r="13" spans="2:12" ht="18" customHeight="1" x14ac:dyDescent="0.2">
      <c r="B13" s="160" t="s">
        <v>336</v>
      </c>
      <c r="C13" s="3046"/>
      <c r="D13" s="3078">
        <f t="shared" si="0"/>
        <v>0.38708750393873748</v>
      </c>
      <c r="E13" s="3078" t="s">
        <v>2147</v>
      </c>
      <c r="F13" s="3126">
        <v>38.048009443588001</v>
      </c>
      <c r="G13" s="3126" t="s">
        <v>2154</v>
      </c>
      <c r="H13" s="3126" t="s">
        <v>2146</v>
      </c>
      <c r="I13" s="3034" t="s">
        <v>2146</v>
      </c>
    </row>
    <row r="14" spans="2:12" ht="18" customHeight="1" x14ac:dyDescent="0.2">
      <c r="B14" s="160" t="s">
        <v>337</v>
      </c>
      <c r="C14" s="3046"/>
      <c r="D14" s="3078">
        <f t="shared" si="0"/>
        <v>0.67453202684158864</v>
      </c>
      <c r="E14" s="3078" t="s">
        <v>2147</v>
      </c>
      <c r="F14" s="3126">
        <v>66.301806868281489</v>
      </c>
      <c r="G14" s="3126" t="s">
        <v>2147</v>
      </c>
      <c r="H14" s="3126" t="s">
        <v>2146</v>
      </c>
      <c r="I14" s="3034" t="s">
        <v>2146</v>
      </c>
    </row>
    <row r="15" spans="2:12" ht="18" customHeight="1" x14ac:dyDescent="0.2">
      <c r="B15" s="160" t="s">
        <v>338</v>
      </c>
      <c r="C15" s="3033">
        <v>2.9276385282990001E-2</v>
      </c>
      <c r="D15" s="3078">
        <f>IFERROR(SUM(F15,H15)/$C15,"NA")</f>
        <v>8.9764301441721859</v>
      </c>
      <c r="E15" s="3078">
        <f>IFERROR(SUM(G15,I15)/$C15,"NA")</f>
        <v>2824.2914356053957</v>
      </c>
      <c r="F15" s="3126">
        <v>0.26279742736663042</v>
      </c>
      <c r="G15" s="3126">
        <v>82.685044220232513</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382.944997</v>
      </c>
      <c r="D18" s="3078">
        <f>IFERROR(SUM(F18,H18)/$C$18,"NA")</f>
        <v>0.67021803660578294</v>
      </c>
      <c r="E18" s="3078">
        <f>IFERROR(SUM(G18,I18)/$C$18,"NA")</f>
        <v>0.3224395644787153</v>
      </c>
      <c r="F18" s="3078">
        <f>SUM(F19:F21)</f>
        <v>256.65664401734745</v>
      </c>
      <c r="G18" s="3131">
        <f t="shared" ref="G18" si="2">SUM(G19:G21)</f>
        <v>123.47661805198294</v>
      </c>
      <c r="H18" s="3078" t="s">
        <v>2146</v>
      </c>
      <c r="I18" s="3128" t="s">
        <v>2146</v>
      </c>
    </row>
    <row r="19" spans="2:9" ht="18" customHeight="1" x14ac:dyDescent="0.2">
      <c r="B19" s="160" t="s">
        <v>341</v>
      </c>
      <c r="C19" s="3046"/>
      <c r="D19" s="3078">
        <f>IFERROR(SUM(F19,H19)/$C$18,"NA")</f>
        <v>0.67021803660578294</v>
      </c>
      <c r="E19" s="3078">
        <f>IFERROR(SUM(G19,I19)/$C$18,"NA")</f>
        <v>0.3224395644787153</v>
      </c>
      <c r="F19" s="3126">
        <v>256.65664401734745</v>
      </c>
      <c r="G19" s="3126">
        <v>123.47661805198294</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415.00452448302633</v>
      </c>
      <c r="J10" s="3145">
        <f>IF(SUM(J11:J16)=0,"NO",SUM(J11:J16))</f>
        <v>3.1483936236589551</v>
      </c>
      <c r="K10" s="1913">
        <f>IF(SUM(K11:K16)=0,"NO",SUM(K11:K16))</f>
        <v>1.2489993222555264E-2</v>
      </c>
      <c r="L10" s="3146" t="s">
        <v>2146</v>
      </c>
    </row>
    <row r="11" spans="2:12" ht="18" customHeight="1" x14ac:dyDescent="0.2">
      <c r="B11" s="1252" t="s">
        <v>363</v>
      </c>
      <c r="C11" s="2165" t="s">
        <v>2159</v>
      </c>
      <c r="D11" s="2165" t="s">
        <v>2275</v>
      </c>
      <c r="E11" s="691">
        <v>129.28427131621601</v>
      </c>
      <c r="F11" s="1913">
        <f>I11*1000000/$E11</f>
        <v>3199.9999999999909</v>
      </c>
      <c r="G11" s="1913">
        <f>J11*1000000/$E11</f>
        <v>0.33333333333333232</v>
      </c>
      <c r="H11" s="1913">
        <f>K11*1000000/$E11</f>
        <v>0.22580645161290255</v>
      </c>
      <c r="I11" s="3141">
        <v>0.41370966821189004</v>
      </c>
      <c r="J11" s="691">
        <v>4.3094757105405202E-5</v>
      </c>
      <c r="K11" s="3142">
        <v>2.9193222555274495E-5</v>
      </c>
      <c r="L11" s="3093" t="s">
        <v>2146</v>
      </c>
    </row>
    <row r="12" spans="2:12" ht="18" customHeight="1" x14ac:dyDescent="0.2">
      <c r="B12" s="1252" t="s">
        <v>364</v>
      </c>
      <c r="C12" s="2165" t="s">
        <v>2160</v>
      </c>
      <c r="D12" s="2165" t="s">
        <v>2161</v>
      </c>
      <c r="E12" s="691">
        <v>957.19899999999996</v>
      </c>
      <c r="F12" s="1913" t="s">
        <v>2147</v>
      </c>
      <c r="G12" s="1913">
        <f>J12*1000000/$E12</f>
        <v>609.06875163889629</v>
      </c>
      <c r="H12" s="3096"/>
      <c r="I12" s="3147" t="s">
        <v>2147</v>
      </c>
      <c r="J12" s="691">
        <v>0.58299999999999985</v>
      </c>
      <c r="K12" s="3046"/>
      <c r="L12" s="3093" t="s">
        <v>2146</v>
      </c>
    </row>
    <row r="13" spans="2:12" ht="18" customHeight="1" x14ac:dyDescent="0.2">
      <c r="B13" s="1252" t="s">
        <v>365</v>
      </c>
      <c r="C13" s="2165" t="s">
        <v>2162</v>
      </c>
      <c r="D13" s="2165" t="s">
        <v>2161</v>
      </c>
      <c r="E13" s="691">
        <v>798.91099999999994</v>
      </c>
      <c r="F13" s="1913" t="s">
        <v>2147</v>
      </c>
      <c r="G13" s="1913">
        <f>J13*1000000/$E13</f>
        <v>190.80372532109342</v>
      </c>
      <c r="H13" s="3096"/>
      <c r="I13" s="3147" t="s">
        <v>2147</v>
      </c>
      <c r="J13" s="691">
        <v>0.15243519500000008</v>
      </c>
      <c r="K13" s="3046"/>
      <c r="L13" s="3093" t="s">
        <v>2146</v>
      </c>
    </row>
    <row r="14" spans="2:12" ht="18" customHeight="1" x14ac:dyDescent="0.2">
      <c r="B14" s="1252" t="s">
        <v>366</v>
      </c>
      <c r="C14" s="2165" t="s">
        <v>2163</v>
      </c>
      <c r="D14" s="2165" t="s">
        <v>2161</v>
      </c>
      <c r="E14" s="691">
        <v>1462.9179999999999</v>
      </c>
      <c r="F14" s="1913">
        <f>I14*1000000/$E14</f>
        <v>283399.8999361649</v>
      </c>
      <c r="G14" s="1913">
        <f>J14*1000000/$E14</f>
        <v>1599.0932860569424</v>
      </c>
      <c r="H14" s="1913">
        <f>K14*1000000/$E14</f>
        <v>8.5177706474320427</v>
      </c>
      <c r="I14" s="3147">
        <v>414.59081481481445</v>
      </c>
      <c r="J14" s="691">
        <v>2.3393423518518497</v>
      </c>
      <c r="K14" s="3142">
        <v>1.2460799999999989E-2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7.3572982049999985E-2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2788</v>
      </c>
      <c r="F18" s="1913" t="s">
        <v>2147</v>
      </c>
      <c r="G18" s="1913">
        <f>J18*1000000/$E18</f>
        <v>26.389161423959823</v>
      </c>
      <c r="H18" s="3148"/>
      <c r="I18" s="3150" t="s">
        <v>2147</v>
      </c>
      <c r="J18" s="2190">
        <v>7.3572982049999985E-2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24.595545152576619</v>
      </c>
      <c r="J21" s="3155">
        <f>IF(SUM(J22:J27)=0,"NO",SUM(J22:J27))</f>
        <v>153.45638425014454</v>
      </c>
      <c r="K21" s="3067">
        <f>IF(SUM(K22:K27)=0,"NO",SUM(K22:K27))</f>
        <v>4.4451351209312296E-4</v>
      </c>
      <c r="L21" s="3068" t="str">
        <f>IF(SUM(L22:L27)=0,"NO",SUM(L22:L27))</f>
        <v>NO</v>
      </c>
    </row>
    <row r="22" spans="2:12" ht="18" customHeight="1" x14ac:dyDescent="0.2">
      <c r="B22" s="1469" t="s">
        <v>371</v>
      </c>
      <c r="C22" s="2165" t="s">
        <v>2164</v>
      </c>
      <c r="D22" s="2165" t="s">
        <v>2147</v>
      </c>
      <c r="E22" s="691">
        <v>682.2218416534372</v>
      </c>
      <c r="F22" s="1913">
        <f>I22*1000000/$E22</f>
        <v>22152.839338218822</v>
      </c>
      <c r="G22" s="1913">
        <f>J22*1000000/$E22</f>
        <v>2280.3038419352365</v>
      </c>
      <c r="H22" s="1913">
        <f>K22*1000000/$E22</f>
        <v>0.65156740073844188</v>
      </c>
      <c r="I22" s="3141">
        <v>15.113150851172357</v>
      </c>
      <c r="J22" s="692">
        <v>1.5556730865744655</v>
      </c>
      <c r="K22" s="4141">
        <v>4.4451351209312296E-4</v>
      </c>
      <c r="L22" s="3156" t="s">
        <v>2146</v>
      </c>
    </row>
    <row r="23" spans="2:12" ht="18" customHeight="1" x14ac:dyDescent="0.2">
      <c r="B23" s="1252" t="s">
        <v>372</v>
      </c>
      <c r="C23" s="2165" t="s">
        <v>2165</v>
      </c>
      <c r="D23" s="2165" t="s">
        <v>2161</v>
      </c>
      <c r="E23" s="691">
        <v>3161.93809147095</v>
      </c>
      <c r="F23" s="1913">
        <f>I23*1000000/$E23</f>
        <v>165.62585159954199</v>
      </c>
      <c r="G23" s="1913">
        <f>J23*1000000/$E23</f>
        <v>4901.2497617667987</v>
      </c>
      <c r="H23" s="3096"/>
      <c r="I23" s="3147">
        <v>0.52369868910490658</v>
      </c>
      <c r="J23" s="691">
        <v>15.497448317543359</v>
      </c>
      <c r="K23" s="3046"/>
      <c r="L23" s="3156" t="s">
        <v>2146</v>
      </c>
    </row>
    <row r="24" spans="2:12" ht="18" customHeight="1" x14ac:dyDescent="0.2">
      <c r="B24" s="1252" t="s">
        <v>373</v>
      </c>
      <c r="C24" s="2165" t="s">
        <v>2165</v>
      </c>
      <c r="D24" s="2165" t="s">
        <v>2161</v>
      </c>
      <c r="E24" s="691">
        <v>3161.93809147095</v>
      </c>
      <c r="F24" s="1913">
        <f t="shared" ref="F24:F26" si="0">I24*1000000/$E24</f>
        <v>952.93917016051569</v>
      </c>
      <c r="G24" s="1913">
        <f t="shared" ref="G24:G26" si="1">J24*1000000/$E24</f>
        <v>5446.4123453108696</v>
      </c>
      <c r="H24" s="1879"/>
      <c r="I24" s="691">
        <v>3.0131346609852518</v>
      </c>
      <c r="J24" s="691">
        <v>17.22121865649607</v>
      </c>
      <c r="K24" s="1914"/>
      <c r="L24" s="3093" t="str">
        <f>IF(Table1.C!E21="NO","NO",-Table1.C!E21)</f>
        <v>NO</v>
      </c>
    </row>
    <row r="25" spans="2:12" ht="18" customHeight="1" x14ac:dyDescent="0.2">
      <c r="B25" s="1252" t="s">
        <v>374</v>
      </c>
      <c r="C25" s="2165" t="s">
        <v>2276</v>
      </c>
      <c r="D25" s="2165" t="s">
        <v>2171</v>
      </c>
      <c r="E25" s="691">
        <v>26946.000000000004</v>
      </c>
      <c r="F25" s="1913">
        <f t="shared" si="0"/>
        <v>20</v>
      </c>
      <c r="G25" s="1913">
        <f t="shared" si="1"/>
        <v>414.28571428571428</v>
      </c>
      <c r="H25" s="3096"/>
      <c r="I25" s="3147">
        <v>0.53892000000000007</v>
      </c>
      <c r="J25" s="691">
        <v>11.163342857142858</v>
      </c>
      <c r="K25" s="3046"/>
      <c r="L25" s="3093" t="s">
        <v>2146</v>
      </c>
    </row>
    <row r="26" spans="2:12" ht="18" customHeight="1" x14ac:dyDescent="0.2">
      <c r="B26" s="1252" t="s">
        <v>375</v>
      </c>
      <c r="C26" s="2165" t="s">
        <v>2166</v>
      </c>
      <c r="D26" s="2165" t="s">
        <v>2161</v>
      </c>
      <c r="E26" s="691">
        <v>405.60081751359502</v>
      </c>
      <c r="F26" s="1913">
        <f t="shared" si="0"/>
        <v>12048.964866389095</v>
      </c>
      <c r="G26" s="1913">
        <f t="shared" si="1"/>
        <v>218301.03928977458</v>
      </c>
      <c r="H26" s="3096"/>
      <c r="I26" s="3147">
        <v>4.8870700000000005</v>
      </c>
      <c r="J26" s="691">
        <v>88.543080000000003</v>
      </c>
      <c r="K26" s="3046"/>
      <c r="L26" s="3093" t="s">
        <v>2146</v>
      </c>
    </row>
    <row r="27" spans="2:12" ht="18" customHeight="1" x14ac:dyDescent="0.2">
      <c r="B27" s="2414" t="s">
        <v>376</v>
      </c>
      <c r="C27" s="621"/>
      <c r="D27" s="621"/>
      <c r="E27" s="628"/>
      <c r="F27" s="628"/>
      <c r="G27" s="628"/>
      <c r="H27" s="3148"/>
      <c r="I27" s="1913">
        <f>IF(SUM(I29:I31)=0,"NO",SUM(I29:I31))</f>
        <v>0.51957095131410003</v>
      </c>
      <c r="J27" s="1913">
        <f>IF(SUM(J29:J31)=0,"NO",SUM(J29:J31))</f>
        <v>19.475621332387799</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0.51957095131410003</v>
      </c>
      <c r="J29" s="3150">
        <v>12.068449631837801</v>
      </c>
      <c r="K29" s="3132"/>
      <c r="L29" s="3102" t="s">
        <v>2146</v>
      </c>
    </row>
    <row r="30" spans="2:12" ht="18" customHeight="1" x14ac:dyDescent="0.2">
      <c r="B30" s="2415" t="s">
        <v>378</v>
      </c>
      <c r="C30" s="2165" t="s">
        <v>2156</v>
      </c>
      <c r="D30" s="2165" t="s">
        <v>2155</v>
      </c>
      <c r="E30" s="691">
        <v>9431</v>
      </c>
      <c r="F30" s="1913" t="s">
        <v>2147</v>
      </c>
      <c r="G30" s="1913">
        <f t="shared" ref="G30" si="2">J30*1000000/$E30</f>
        <v>21.861064632594637</v>
      </c>
      <c r="H30" s="3148"/>
      <c r="I30" s="3150" t="s">
        <v>2147</v>
      </c>
      <c r="J30" s="3150">
        <v>0.20617170055000003</v>
      </c>
      <c r="K30" s="3132"/>
      <c r="L30" s="3102" t="s">
        <v>2146</v>
      </c>
    </row>
    <row r="31" spans="2:12" ht="18" customHeight="1" x14ac:dyDescent="0.2">
      <c r="B31" s="1242" t="s">
        <v>379</v>
      </c>
      <c r="C31" s="621"/>
      <c r="D31" s="621"/>
      <c r="E31" s="628"/>
      <c r="F31" s="628"/>
      <c r="G31" s="628"/>
      <c r="H31" s="3148"/>
      <c r="I31" s="1913" t="s">
        <v>2147</v>
      </c>
      <c r="J31" s="1913">
        <f>IF(SUM(J32:J34)=0,"NO",SUM(J32:J34))</f>
        <v>7.2009999999999996</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369666.66666666669</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1109999.9999999998</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5880.7619613981751</v>
      </c>
      <c r="J35" s="3067">
        <f>IF(SUM(J36,J40)=0,"NO",SUM(J36,J40))</f>
        <v>52.014252590501378</v>
      </c>
      <c r="K35" s="3067">
        <f>IF(SUM(K36,K40)=0,"NO",SUM(K36,K40))</f>
        <v>7.8379084750148154E-2</v>
      </c>
      <c r="L35" s="3068" t="str">
        <f>IF(SUM(L36,L40)=0,"NO",SUM(L36,L40))</f>
        <v>NO</v>
      </c>
    </row>
    <row r="36" spans="2:12" ht="18" customHeight="1" x14ac:dyDescent="0.2">
      <c r="B36" s="1468" t="s">
        <v>381</v>
      </c>
      <c r="C36" s="2170"/>
      <c r="D36" s="2170"/>
      <c r="E36" s="3025"/>
      <c r="F36" s="3025"/>
      <c r="G36" s="3025"/>
      <c r="H36" s="3025"/>
      <c r="I36" s="3162">
        <f>IF(SUM(I37:I39)=0,"NO",SUM(I37:I39))</f>
        <v>3462.4721054969741</v>
      </c>
      <c r="J36" s="1913">
        <f>IF(SUM(J37:J39)=0,"NO",SUM(J37:J39))</f>
        <v>36.940159081737896</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4119.1370914709496</v>
      </c>
      <c r="F39" s="1913">
        <f t="shared" ref="F39" si="5">SUM(I39,L39)*1000000/$E39</f>
        <v>840581.90553219011</v>
      </c>
      <c r="G39" s="1913">
        <f t="shared" ref="G39" si="6">J39*1000000/$E39</f>
        <v>8967.9363083656226</v>
      </c>
      <c r="H39" s="1913">
        <f t="shared" ref="H39" si="7">K39*1000000/$E39</f>
        <v>0</v>
      </c>
      <c r="I39" s="691">
        <v>3462.4721054969741</v>
      </c>
      <c r="J39" s="691">
        <v>36.940159081737896</v>
      </c>
      <c r="K39" s="3132"/>
      <c r="L39" s="3093" t="s">
        <v>2146</v>
      </c>
    </row>
    <row r="40" spans="2:12" ht="18" customHeight="1" x14ac:dyDescent="0.2">
      <c r="B40" s="1468" t="s">
        <v>385</v>
      </c>
      <c r="C40" s="2170"/>
      <c r="D40" s="2170"/>
      <c r="E40" s="3025"/>
      <c r="F40" s="3025"/>
      <c r="G40" s="3025"/>
      <c r="H40" s="3025"/>
      <c r="I40" s="3162">
        <f>IF(SUM(I41:I43)=0,"NO",SUM(I41:I43))</f>
        <v>2418.289855901201</v>
      </c>
      <c r="J40" s="3162">
        <f>IF(SUM(J41:J43)=0,"NO",SUM(J41:J43))</f>
        <v>15.074093508763482</v>
      </c>
      <c r="K40" s="1913">
        <f>IF(SUM(K41:K43)=0,"NO",SUM(K41:K43))</f>
        <v>7.8379084750148154E-2</v>
      </c>
      <c r="L40" s="3065" t="str">
        <f>IF(SUM(L41:L43)=0,"NO",SUM(L41:L43))</f>
        <v>NO</v>
      </c>
    </row>
    <row r="41" spans="2:12" ht="18" customHeight="1" x14ac:dyDescent="0.2">
      <c r="B41" s="1470" t="s">
        <v>386</v>
      </c>
      <c r="C41" s="277" t="s">
        <v>2169</v>
      </c>
      <c r="D41" s="277" t="s">
        <v>2170</v>
      </c>
      <c r="E41" s="691">
        <v>361.68316102494498</v>
      </c>
      <c r="F41" s="1913">
        <f t="shared" ref="F41:F42" si="8">SUM(I41,L41)*1000000/$E41</f>
        <v>2900000</v>
      </c>
      <c r="G41" s="1913">
        <f t="shared" ref="G41:H42" si="9">J41*1000000/$E41</f>
        <v>35000</v>
      </c>
      <c r="H41" s="1913">
        <f t="shared" si="9"/>
        <v>81</v>
      </c>
      <c r="I41" s="692">
        <v>1048.8811669723405</v>
      </c>
      <c r="J41" s="692">
        <v>12.658910635873076</v>
      </c>
      <c r="K41" s="692">
        <v>2.9296336043020545E-2</v>
      </c>
      <c r="L41" s="3156" t="s">
        <v>2146</v>
      </c>
    </row>
    <row r="42" spans="2:12" ht="18" customHeight="1" x14ac:dyDescent="0.2">
      <c r="B42" s="1470" t="s">
        <v>387</v>
      </c>
      <c r="C42" s="277" t="s">
        <v>2169</v>
      </c>
      <c r="D42" s="277" t="s">
        <v>2170</v>
      </c>
      <c r="E42" s="691">
        <v>29381.6395194053</v>
      </c>
      <c r="F42" s="1913">
        <f t="shared" si="8"/>
        <v>46607.633587786186</v>
      </c>
      <c r="G42" s="1913">
        <f t="shared" si="9"/>
        <v>82.200411971404193</v>
      </c>
      <c r="H42" s="1913">
        <f t="shared" si="9"/>
        <v>1.6705245013543433</v>
      </c>
      <c r="I42" s="691">
        <v>1369.4086889288603</v>
      </c>
      <c r="J42" s="691">
        <v>2.4151828728904059</v>
      </c>
      <c r="K42" s="691">
        <v>4.9082748707127602E-2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41.561965364269511</v>
      </c>
      <c r="M9" s="3358">
        <f>100*C10/SUM(C10,'Table1.A(a)s3'!C16)</f>
        <v>58.438034635730489</v>
      </c>
    </row>
    <row r="10" spans="1:13" ht="18" customHeight="1" thickTop="1" thickBot="1" x14ac:dyDescent="0.25">
      <c r="B10" s="223" t="s">
        <v>430</v>
      </c>
      <c r="C10" s="3338">
        <f>IF(SUM(C11:C13)=0,"NO",SUM(C11:C13))</f>
        <v>133212.872</v>
      </c>
      <c r="D10" s="3339"/>
      <c r="E10" s="3340"/>
      <c r="F10" s="3340"/>
      <c r="G10" s="3338">
        <f>IF(SUM(G11:G13)=0,"NO",SUM(G11:G13))</f>
        <v>9271.6158911999992</v>
      </c>
      <c r="H10" s="3338">
        <f>IF(SUM(H11:H13)=0,"NO",SUM(H11:H13))</f>
        <v>1.5638964705882351E-2</v>
      </c>
      <c r="I10" s="1154">
        <f>IF(SUM(I11:I13)=0,"NO",SUM(I11:I13))</f>
        <v>4.7364638275541791E-2</v>
      </c>
      <c r="J10" s="4"/>
      <c r="K10" s="68" t="s">
        <v>431</v>
      </c>
      <c r="L10" s="3359">
        <f>100-M10</f>
        <v>37.795250798110217</v>
      </c>
      <c r="M10" s="3360">
        <f>100*C14/SUM(C14,'Table1.A(a)s3'!C88)</f>
        <v>62.204749201889783</v>
      </c>
    </row>
    <row r="11" spans="1:13" ht="18" customHeight="1" x14ac:dyDescent="0.2">
      <c r="B11" s="1258" t="s">
        <v>178</v>
      </c>
      <c r="C11" s="3341">
        <v>133212.872</v>
      </c>
      <c r="D11" s="116">
        <f>IF(G11="NO","NA",G11*1000/$C11)</f>
        <v>69.599999999999994</v>
      </c>
      <c r="E11" s="116">
        <f t="shared" ref="E11:F13" si="0">IF(H11="NO","NA",H11*1000000/$C11)</f>
        <v>0.11739829996220147</v>
      </c>
      <c r="F11" s="116">
        <f t="shared" si="0"/>
        <v>0.35555601770632039</v>
      </c>
      <c r="G11" s="3062">
        <v>9271.6158911999992</v>
      </c>
      <c r="H11" s="3062">
        <v>1.5638964705882351E-2</v>
      </c>
      <c r="I11" s="3063">
        <v>4.7364638275541791E-2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40070.452399999995</v>
      </c>
      <c r="D14" s="3348"/>
      <c r="E14" s="3349"/>
      <c r="F14" s="3350"/>
      <c r="G14" s="3347">
        <f>IF(SUM(G15:G18,G20:G22)=0,"NO",SUM(G15:G18,G20:G22))</f>
        <v>2937.6988316399998</v>
      </c>
      <c r="H14" s="3347">
        <f>IF(SUM(H15:H18,H20:H22)=0,"NO",SUM(H15:H18,H20:H22))</f>
        <v>0.28049316679999997</v>
      </c>
      <c r="I14" s="1155">
        <f>IF(SUM(I15:I18,I20:I22)=0,"NO",SUM(I15:I18,I20:I22))</f>
        <v>8.0140904799999996E-2</v>
      </c>
      <c r="J14" s="4"/>
      <c r="K14" s="1047"/>
      <c r="L14" s="1047"/>
      <c r="M14" s="1047"/>
    </row>
    <row r="15" spans="1:13" ht="18" customHeight="1" x14ac:dyDescent="0.2">
      <c r="B15" s="1260" t="s">
        <v>190</v>
      </c>
      <c r="C15" s="143">
        <v>36966.002399999998</v>
      </c>
      <c r="D15" s="116">
        <f>IF(G15="NO","NA",G15*1000/$C15)</f>
        <v>73.599999999999994</v>
      </c>
      <c r="E15" s="116">
        <f t="shared" ref="E15:F17" si="1">IF(H15="NO","NA",H15*1000000/$C15)</f>
        <v>7</v>
      </c>
      <c r="F15" s="116">
        <f t="shared" si="1"/>
        <v>2</v>
      </c>
      <c r="G15" s="3064">
        <v>2720.6977766399996</v>
      </c>
      <c r="H15" s="3064">
        <v>0.25876201679999999</v>
      </c>
      <c r="I15" s="135">
        <v>7.3932004799999992E-2</v>
      </c>
      <c r="J15" s="4"/>
      <c r="K15" s="1047"/>
      <c r="L15" s="1047"/>
      <c r="M15" s="1047"/>
    </row>
    <row r="16" spans="1:13" ht="18" customHeight="1" x14ac:dyDescent="0.2">
      <c r="B16" s="1260" t="s">
        <v>191</v>
      </c>
      <c r="C16" s="3351">
        <v>3104.45</v>
      </c>
      <c r="D16" s="116">
        <f>IF(G16="NO","NA",G16*1000/$C16)</f>
        <v>69.900000000000006</v>
      </c>
      <c r="E16" s="116">
        <f t="shared" si="1"/>
        <v>7.0000000000000009</v>
      </c>
      <c r="F16" s="116">
        <f t="shared" si="1"/>
        <v>2</v>
      </c>
      <c r="G16" s="3064">
        <v>217.00105500000004</v>
      </c>
      <c r="H16" s="3064">
        <v>2.1731150000000001E-2</v>
      </c>
      <c r="I16" s="135">
        <v>6.2088999999999998E-3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23949.045712951374</v>
      </c>
      <c r="D10" s="2913">
        <f t="shared" ref="D10:N10" si="0">IF(SUM(D11,D16,D27,D35,D39,D45,D52,D57)=0,"NO",SUM(D11,D16,D27,D35,D39,D45,D52,D57))</f>
        <v>3.5741170618019251</v>
      </c>
      <c r="E10" s="2913">
        <f t="shared" si="0"/>
        <v>10.453995265722503</v>
      </c>
      <c r="F10" s="2913">
        <f t="shared" si="0"/>
        <v>5286.3167534213244</v>
      </c>
      <c r="G10" s="2913">
        <f t="shared" si="0"/>
        <v>399.79678192568076</v>
      </c>
      <c r="H10" s="2913" t="str">
        <f t="shared" si="0"/>
        <v>NO</v>
      </c>
      <c r="I10" s="2913">
        <f t="shared" si="0"/>
        <v>7.1633572339266042E-3</v>
      </c>
      <c r="J10" s="2913" t="str">
        <f t="shared" si="0"/>
        <v>NO</v>
      </c>
      <c r="K10" s="2913">
        <f t="shared" si="0"/>
        <v>39.597710333653303</v>
      </c>
      <c r="L10" s="2914">
        <f t="shared" si="0"/>
        <v>10.647801175431537</v>
      </c>
      <c r="M10" s="2915">
        <f t="shared" si="0"/>
        <v>232.9185796325973</v>
      </c>
      <c r="N10" s="2916">
        <f t="shared" si="0"/>
        <v>1719.4643628205695</v>
      </c>
      <c r="O10" s="3020">
        <f t="shared" ref="O10:O58" si="1">IF(SUM(C10:J10)=0,"NO",SUM(C10,F10:H10)+28*SUM(D10)+265*SUM(E10)+23500*SUM(I10)+16100*SUM(J10))</f>
        <v>32673.882166442574</v>
      </c>
    </row>
    <row r="11" spans="1:15" ht="18" customHeight="1" x14ac:dyDescent="0.2">
      <c r="B11" s="1263" t="s">
        <v>444</v>
      </c>
      <c r="C11" s="2137">
        <f>IF(SUM(C12:C15)=0,"NO",SUM(C12:C15))</f>
        <v>6898.3975325174652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6898.3975325174652</v>
      </c>
    </row>
    <row r="12" spans="1:15" ht="18" customHeight="1" x14ac:dyDescent="0.2">
      <c r="B12" s="1264" t="s">
        <v>445</v>
      </c>
      <c r="C12" s="2920">
        <f>'Table2(I).A-H'!H11</f>
        <v>3862.9075520000006</v>
      </c>
      <c r="D12" s="2136"/>
      <c r="E12" s="2136"/>
      <c r="F12" s="628"/>
      <c r="G12" s="628"/>
      <c r="H12" s="2135"/>
      <c r="I12" s="628"/>
      <c r="J12" s="2135"/>
      <c r="K12" s="2135"/>
      <c r="L12" s="2135"/>
      <c r="M12" s="2135"/>
      <c r="N12" s="2919" t="s">
        <v>2146</v>
      </c>
      <c r="O12" s="2934">
        <f t="shared" si="1"/>
        <v>3862.9075520000006</v>
      </c>
    </row>
    <row r="13" spans="1:15" ht="18" customHeight="1" x14ac:dyDescent="0.2">
      <c r="B13" s="1264" t="s">
        <v>446</v>
      </c>
      <c r="C13" s="1878">
        <f>'Table2(I).A-H'!H12</f>
        <v>1320.0340764331345</v>
      </c>
      <c r="D13" s="2108"/>
      <c r="E13" s="2108"/>
      <c r="F13" s="628"/>
      <c r="G13" s="628"/>
      <c r="H13" s="2135"/>
      <c r="I13" s="628"/>
      <c r="J13" s="2135"/>
      <c r="K13" s="628"/>
      <c r="L13" s="628"/>
      <c r="M13" s="628"/>
      <c r="N13" s="1838"/>
      <c r="O13" s="1880">
        <f t="shared" si="1"/>
        <v>1320.0340764331345</v>
      </c>
    </row>
    <row r="14" spans="1:15" ht="18" customHeight="1" x14ac:dyDescent="0.2">
      <c r="B14" s="1264" t="s">
        <v>447</v>
      </c>
      <c r="C14" s="1878">
        <f>'Table2(I).A-H'!H13</f>
        <v>121.26600888316636</v>
      </c>
      <c r="D14" s="2108"/>
      <c r="E14" s="2108"/>
      <c r="F14" s="628"/>
      <c r="G14" s="628"/>
      <c r="H14" s="2135"/>
      <c r="I14" s="628"/>
      <c r="J14" s="2135"/>
      <c r="K14" s="628"/>
      <c r="L14" s="628"/>
      <c r="M14" s="628"/>
      <c r="N14" s="1838"/>
      <c r="O14" s="1880">
        <f t="shared" si="1"/>
        <v>121.26600888316636</v>
      </c>
    </row>
    <row r="15" spans="1:15" ht="18" customHeight="1" thickBot="1" x14ac:dyDescent="0.25">
      <c r="B15" s="1264" t="s">
        <v>448</v>
      </c>
      <c r="C15" s="1878">
        <f>'Table2(I).A-H'!H14</f>
        <v>1594.1898952011638</v>
      </c>
      <c r="D15" s="1879"/>
      <c r="E15" s="1879"/>
      <c r="F15" s="3021"/>
      <c r="G15" s="3021"/>
      <c r="H15" s="3021"/>
      <c r="I15" s="3021"/>
      <c r="J15" s="3021"/>
      <c r="K15" s="2606" t="s">
        <v>2146</v>
      </c>
      <c r="L15" s="2606" t="s">
        <v>2146</v>
      </c>
      <c r="M15" s="2606" t="s">
        <v>2146</v>
      </c>
      <c r="N15" s="2607" t="s">
        <v>2146</v>
      </c>
      <c r="O15" s="1880">
        <f t="shared" si="1"/>
        <v>1594.1898952011638</v>
      </c>
    </row>
    <row r="16" spans="1:15" ht="18" customHeight="1" x14ac:dyDescent="0.2">
      <c r="B16" s="1265" t="s">
        <v>449</v>
      </c>
      <c r="C16" s="2137">
        <f>IF(SUM(C17:C26)=0,"NO",SUM(C17:C26))</f>
        <v>3459.3511337487348</v>
      </c>
      <c r="D16" s="2137">
        <f t="shared" ref="D16:N16" si="3">IF(SUM(D17:D26)=0,"NO",SUM(D17:D26))</f>
        <v>0.57776359999999993</v>
      </c>
      <c r="E16" s="2137">
        <f t="shared" si="3"/>
        <v>10.376143045827572</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6225.2064216930412</v>
      </c>
    </row>
    <row r="17" spans="2:15" ht="18" customHeight="1" x14ac:dyDescent="0.2">
      <c r="B17" s="1266" t="s">
        <v>450</v>
      </c>
      <c r="C17" s="2920">
        <f>SUM('Table2(I).A-H'!H23,'Table2(I).A-H'!K23:L23)</f>
        <v>1895.3471449380263</v>
      </c>
      <c r="D17" s="2139" t="str">
        <f>'Table2(I).A-H'!I23</f>
        <v>NO</v>
      </c>
      <c r="E17" s="2139" t="str">
        <f>'Table2(I).A-H'!J23</f>
        <v>NO</v>
      </c>
      <c r="F17" s="2135"/>
      <c r="G17" s="2135"/>
      <c r="H17" s="2135"/>
      <c r="I17" s="2135"/>
      <c r="J17" s="2135"/>
      <c r="K17" s="692" t="s">
        <v>2146</v>
      </c>
      <c r="L17" s="692" t="s">
        <v>2146</v>
      </c>
      <c r="M17" s="692" t="s">
        <v>2146</v>
      </c>
      <c r="N17" s="692" t="s">
        <v>2146</v>
      </c>
      <c r="O17" s="2934">
        <f t="shared" si="1"/>
        <v>1895.3471449380263</v>
      </c>
    </row>
    <row r="18" spans="2:15" ht="18" customHeight="1" x14ac:dyDescent="0.2">
      <c r="B18" s="1264" t="s">
        <v>451</v>
      </c>
      <c r="C18" s="1910"/>
      <c r="D18" s="2136"/>
      <c r="E18" s="2139">
        <f>'Table2(I).A-H'!J24</f>
        <v>10.376143045827572</v>
      </c>
      <c r="F18" s="628"/>
      <c r="G18" s="628"/>
      <c r="H18" s="2135"/>
      <c r="I18" s="628"/>
      <c r="J18" s="2135"/>
      <c r="K18" s="692" t="s">
        <v>2146</v>
      </c>
      <c r="L18" s="628"/>
      <c r="M18" s="628"/>
      <c r="N18" s="1838"/>
      <c r="O18" s="2934">
        <f t="shared" si="1"/>
        <v>2749.6779071443066</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1389.98952640161</v>
      </c>
      <c r="D22" s="1914"/>
      <c r="E22" s="628"/>
      <c r="F22" s="628"/>
      <c r="G22" s="628"/>
      <c r="H22" s="2135"/>
      <c r="I22" s="628"/>
      <c r="J22" s="2135"/>
      <c r="K22" s="1914"/>
      <c r="L22" s="1914"/>
      <c r="M22" s="1914"/>
      <c r="N22" s="2921"/>
      <c r="O22" s="1880">
        <f t="shared" si="1"/>
        <v>1389.98952640161</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125.71965640909872</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125.71965640909872</v>
      </c>
    </row>
    <row r="27" spans="2:15" ht="18" customHeight="1" x14ac:dyDescent="0.2">
      <c r="B27" s="1263" t="s">
        <v>459</v>
      </c>
      <c r="C27" s="2137">
        <f>IF(SUM(C28:C34)=0,"NO",SUM(C28:C34))</f>
        <v>13190.956265353812</v>
      </c>
      <c r="D27" s="2137">
        <f t="shared" ref="D27:N27" si="4">IF(SUM(D28:D34)=0,"NO",SUM(D28:D34))</f>
        <v>2.9963534618019252</v>
      </c>
      <c r="E27" s="2137">
        <f t="shared" si="4"/>
        <v>7.7852219894930172E-2</v>
      </c>
      <c r="F27" s="2138" t="str">
        <f t="shared" si="4"/>
        <v>NO</v>
      </c>
      <c r="G27" s="2138">
        <f t="shared" si="4"/>
        <v>399.79678192568076</v>
      </c>
      <c r="H27" s="2138" t="str">
        <f t="shared" si="4"/>
        <v>NO</v>
      </c>
      <c r="I27" s="2138" t="str">
        <f t="shared" si="4"/>
        <v>NO</v>
      </c>
      <c r="J27" s="2138" t="str">
        <f t="shared" si="4"/>
        <v>NO</v>
      </c>
      <c r="K27" s="2137">
        <f t="shared" si="4"/>
        <v>39.597710333653303</v>
      </c>
      <c r="L27" s="2137">
        <f t="shared" si="4"/>
        <v>10.647801175431537</v>
      </c>
      <c r="M27" s="2917">
        <f t="shared" si="4"/>
        <v>9.6873528935790779E-2</v>
      </c>
      <c r="N27" s="2918">
        <f t="shared" si="4"/>
        <v>1719.4643628205695</v>
      </c>
      <c r="O27" s="2941">
        <f t="shared" si="1"/>
        <v>13695.281782482103</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3184.0727620189546</v>
      </c>
      <c r="D30" s="1879"/>
      <c r="E30" s="628"/>
      <c r="F30" s="628"/>
      <c r="G30" s="2140">
        <f>SUM('Table2(II)'!X41:Y41)</f>
        <v>399.79678192568076</v>
      </c>
      <c r="H30" s="2136"/>
      <c r="I30" s="2142" t="s">
        <v>2146</v>
      </c>
      <c r="J30" s="2135"/>
      <c r="K30" s="691" t="s">
        <v>2147</v>
      </c>
      <c r="L30" s="691" t="s">
        <v>2147</v>
      </c>
      <c r="M30" s="691" t="s">
        <v>2147</v>
      </c>
      <c r="N30" s="2911">
        <v>50.186099999999996</v>
      </c>
      <c r="O30" s="1880">
        <f t="shared" si="1"/>
        <v>3583.8695439446356</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10006.883503334859</v>
      </c>
      <c r="D34" s="1881">
        <f>'Table2(I).A-H'!I67</f>
        <v>2.9963534618019252</v>
      </c>
      <c r="E34" s="1881">
        <f>'Table2(I).A-H'!J67</f>
        <v>7.7852219894930172E-2</v>
      </c>
      <c r="F34" s="2146" t="s">
        <v>2146</v>
      </c>
      <c r="G34" s="2146" t="s">
        <v>2146</v>
      </c>
      <c r="H34" s="2146" t="s">
        <v>2146</v>
      </c>
      <c r="I34" s="2146" t="s">
        <v>2146</v>
      </c>
      <c r="J34" s="2146" t="s">
        <v>2146</v>
      </c>
      <c r="K34" s="2606">
        <v>39.597710333653303</v>
      </c>
      <c r="L34" s="2606">
        <v>10.647801175431537</v>
      </c>
      <c r="M34" s="2606">
        <v>9.6873528935790779E-2</v>
      </c>
      <c r="N34" s="2607">
        <v>1669.2782628205696</v>
      </c>
      <c r="O34" s="1882">
        <f t="shared" si="1"/>
        <v>10111.412238537469</v>
      </c>
    </row>
    <row r="35" spans="2:15" ht="18" customHeight="1" x14ac:dyDescent="0.2">
      <c r="B35" s="2470" t="s">
        <v>2014</v>
      </c>
      <c r="C35" s="2920">
        <f>IF(SUM(C36:C38)=0,"NO",SUM(C36:C38))</f>
        <v>236.96094149999999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178.01277089194662</v>
      </c>
      <c r="N35" s="2048" t="str">
        <f t="shared" ref="N35" si="7">IF(SUM(N36:N38)=0,"NO",SUM(N36:N38))</f>
        <v>NO</v>
      </c>
      <c r="O35" s="2934">
        <f t="shared" si="1"/>
        <v>236.96094149999999</v>
      </c>
    </row>
    <row r="36" spans="2:15" ht="18" customHeight="1" x14ac:dyDescent="0.2">
      <c r="B36" s="1270" t="s">
        <v>466</v>
      </c>
      <c r="C36" s="1878">
        <f>'Table2(I).A-H'!H73</f>
        <v>236.96094149999999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236.96094149999999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178.01277089194662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5286.3167534213244</v>
      </c>
      <c r="G45" s="2137" t="str">
        <f t="shared" ref="G45:J45" si="9">IF(SUM(G46:G51)=0,"NO",SUM(G46:G51))</f>
        <v>NO</v>
      </c>
      <c r="H45" s="2920" t="str">
        <f t="shared" si="9"/>
        <v>NO</v>
      </c>
      <c r="I45" s="2920" t="str">
        <f t="shared" si="9"/>
        <v>NO</v>
      </c>
      <c r="J45" s="2139" t="str">
        <f t="shared" si="9"/>
        <v>NO</v>
      </c>
      <c r="K45" s="1929"/>
      <c r="L45" s="1929"/>
      <c r="M45" s="1929"/>
      <c r="N45" s="2153"/>
      <c r="O45" s="2941">
        <f t="shared" si="1"/>
        <v>5286.3167534213244</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4946.0889128867184</v>
      </c>
      <c r="G46" s="1878" t="s">
        <v>2146</v>
      </c>
      <c r="H46" s="1878" t="s">
        <v>2146</v>
      </c>
      <c r="I46" s="1878" t="s">
        <v>2146</v>
      </c>
      <c r="J46" s="2139" t="str">
        <f t="shared" ref="J46" si="10">IF(SUM(J47:J52)=0,"NO",SUM(J47:J52))</f>
        <v>NO</v>
      </c>
      <c r="K46" s="628"/>
      <c r="L46" s="628"/>
      <c r="M46" s="628"/>
      <c r="N46" s="1838"/>
      <c r="O46" s="1880">
        <f t="shared" si="1"/>
        <v>4946.0889128867184</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59.496854259891499</v>
      </c>
      <c r="G47" s="1878" t="s">
        <v>2146</v>
      </c>
      <c r="H47" s="1878" t="s">
        <v>2146</v>
      </c>
      <c r="I47" s="1878" t="s">
        <v>2146</v>
      </c>
      <c r="J47" s="2139" t="str">
        <f t="shared" ref="J47" si="11">IF(SUM(J48:J53)=0,"NO",SUM(J48:J53))</f>
        <v>NO</v>
      </c>
      <c r="K47" s="628"/>
      <c r="L47" s="628"/>
      <c r="M47" s="628"/>
      <c r="N47" s="1838"/>
      <c r="O47" s="1880">
        <f t="shared" si="1"/>
        <v>59.496854259891499</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35.086633039821393</v>
      </c>
      <c r="G48" s="1878" t="s">
        <v>2146</v>
      </c>
      <c r="H48" s="1878" t="s">
        <v>2146</v>
      </c>
      <c r="I48" s="1878" t="s">
        <v>2146</v>
      </c>
      <c r="J48" s="2139" t="str">
        <f t="shared" ref="J48" si="12">IF(SUM(J49:J54)=0,"NO",SUM(J49:J54))</f>
        <v>NO</v>
      </c>
      <c r="K48" s="628"/>
      <c r="L48" s="628"/>
      <c r="M48" s="628"/>
      <c r="N48" s="1838"/>
      <c r="O48" s="1880">
        <f t="shared" si="1"/>
        <v>35.086633039821393</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156.98957468585289</v>
      </c>
      <c r="G49" s="1878" t="s">
        <v>2146</v>
      </c>
      <c r="H49" s="1878" t="s">
        <v>2146</v>
      </c>
      <c r="I49" s="1878" t="s">
        <v>2146</v>
      </c>
      <c r="J49" s="2139" t="str">
        <f t="shared" ref="J49" si="13">IF(SUM(J50:J55)=0,"NO",SUM(J50:J55))</f>
        <v>NO</v>
      </c>
      <c r="K49" s="628"/>
      <c r="L49" s="628"/>
      <c r="M49" s="628"/>
      <c r="N49" s="1838"/>
      <c r="O49" s="1880">
        <f t="shared" si="1"/>
        <v>156.98957468585289</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88.654778549039818</v>
      </c>
      <c r="G50" s="1878" t="s">
        <v>2146</v>
      </c>
      <c r="H50" s="1878" t="s">
        <v>2146</v>
      </c>
      <c r="I50" s="1878" t="s">
        <v>2146</v>
      </c>
      <c r="J50" s="2139" t="str">
        <f t="shared" ref="J50" si="14">IF(SUM(J51:J56)=0,"NO",SUM(J51:J56))</f>
        <v>NO</v>
      </c>
      <c r="K50" s="628"/>
      <c r="L50" s="628"/>
      <c r="M50" s="628"/>
      <c r="N50" s="1838"/>
      <c r="O50" s="1880">
        <f t="shared" si="1"/>
        <v>88.654778549039818</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7.1633572339266042E-3</v>
      </c>
      <c r="J52" s="2139" t="str">
        <f t="shared" si="16"/>
        <v>NO</v>
      </c>
      <c r="K52" s="2139" t="str">
        <f t="shared" si="16"/>
        <v>NO</v>
      </c>
      <c r="L52" s="2139" t="str">
        <f t="shared" si="16"/>
        <v>NO</v>
      </c>
      <c r="M52" s="2139" t="str">
        <f t="shared" si="16"/>
        <v>NO</v>
      </c>
      <c r="N52" s="2048" t="str">
        <f t="shared" si="16"/>
        <v>NO</v>
      </c>
      <c r="O52" s="2934">
        <f t="shared" si="1"/>
        <v>168.33889499727519</v>
      </c>
    </row>
    <row r="53" spans="2:15" ht="18" customHeight="1" x14ac:dyDescent="0.2">
      <c r="B53" s="1270" t="s">
        <v>481</v>
      </c>
      <c r="C53" s="2135"/>
      <c r="D53" s="2135"/>
      <c r="E53" s="2135"/>
      <c r="F53" s="2920" t="s">
        <v>2146</v>
      </c>
      <c r="G53" s="2920" t="s">
        <v>2146</v>
      </c>
      <c r="H53" s="2920" t="s">
        <v>2146</v>
      </c>
      <c r="I53" s="2920">
        <f>SUM('Table2(II).B-Hs2'!J163:M163)/1000</f>
        <v>6.4277728243346093E-3</v>
      </c>
      <c r="J53" s="2920" t="s">
        <v>2146</v>
      </c>
      <c r="K53" s="2135"/>
      <c r="L53" s="2135"/>
      <c r="M53" s="2135"/>
      <c r="N53" s="2149"/>
      <c r="O53" s="2934">
        <f t="shared" si="1"/>
        <v>151.05266137186331</v>
      </c>
    </row>
    <row r="54" spans="2:15" ht="18" customHeight="1" x14ac:dyDescent="0.2">
      <c r="B54" s="1270" t="s">
        <v>482</v>
      </c>
      <c r="C54" s="2135"/>
      <c r="D54" s="2135"/>
      <c r="E54" s="2135"/>
      <c r="F54" s="2135"/>
      <c r="G54" s="2920" t="s">
        <v>2146</v>
      </c>
      <c r="H54" s="3025"/>
      <c r="I54" s="2920">
        <f>SUM('Table2(II).B-Hs2'!J165:M165)/1000</f>
        <v>7.3558440959199526E-4</v>
      </c>
      <c r="J54" s="2135"/>
      <c r="K54" s="2135"/>
      <c r="L54" s="2135"/>
      <c r="M54" s="2135"/>
      <c r="N54" s="2149"/>
      <c r="O54" s="2934">
        <f t="shared" si="1"/>
        <v>17.286233625411889</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163.37983983135788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51.966374531014907</v>
      </c>
      <c r="N57" s="2073" t="str">
        <f>N58</f>
        <v>NA</v>
      </c>
      <c r="O57" s="2941">
        <f t="shared" si="1"/>
        <v>163.37983983135788</v>
      </c>
    </row>
    <row r="58" spans="2:15" ht="18" customHeight="1" thickBot="1" x14ac:dyDescent="0.25">
      <c r="B58" s="2596" t="s">
        <v>2180</v>
      </c>
      <c r="C58" s="2500">
        <f>'Table2(I).A-H'!H97</f>
        <v>163.37983983135788</v>
      </c>
      <c r="D58" s="2500" t="str">
        <f>'Table2(I).A-H'!I97</f>
        <v>NO</v>
      </c>
      <c r="E58" s="2500" t="str">
        <f>'Table2(I).A-H'!J97</f>
        <v>NO</v>
      </c>
      <c r="F58" s="2500" t="s">
        <v>2146</v>
      </c>
      <c r="G58" s="2500" t="s">
        <v>2146</v>
      </c>
      <c r="H58" s="2500" t="s">
        <v>2146</v>
      </c>
      <c r="I58" s="2500" t="s">
        <v>2146</v>
      </c>
      <c r="J58" s="2500" t="s">
        <v>2146</v>
      </c>
      <c r="K58" s="2912" t="s">
        <v>2147</v>
      </c>
      <c r="L58" s="2912" t="s">
        <v>2147</v>
      </c>
      <c r="M58" s="2912">
        <v>51.966374531014907</v>
      </c>
      <c r="N58" s="2922" t="s">
        <v>2147</v>
      </c>
      <c r="O58" s="2925">
        <f t="shared" si="1"/>
        <v>163.37983983135788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38.508455853697114</v>
      </c>
      <c r="D10" s="2044">
        <f t="shared" ref="D10:X10" si="0">IF(SUM(D11,D16,D20,D26,D33,D37)=0,"NO",SUM(D11,D16,D20,D26,D33,D37))</f>
        <v>89.676580937658869</v>
      </c>
      <c r="E10" s="2044" t="str">
        <f t="shared" si="0"/>
        <v>NO</v>
      </c>
      <c r="F10" s="2044" t="str">
        <f t="shared" si="0"/>
        <v>NO</v>
      </c>
      <c r="G10" s="2044">
        <f t="shared" si="0"/>
        <v>397.47897280655553</v>
      </c>
      <c r="H10" s="2044">
        <f t="shared" si="0"/>
        <v>0.78684275308788343</v>
      </c>
      <c r="I10" s="2044">
        <f t="shared" si="0"/>
        <v>1279.2389037427145</v>
      </c>
      <c r="J10" s="2044" t="str">
        <f t="shared" si="0"/>
        <v>NO</v>
      </c>
      <c r="K10" s="2044">
        <f t="shared" si="0"/>
        <v>349.6970724233903</v>
      </c>
      <c r="L10" s="2044" t="str">
        <f t="shared" si="0"/>
        <v>NO</v>
      </c>
      <c r="M10" s="2044">
        <f t="shared" si="0"/>
        <v>33.763134164145683</v>
      </c>
      <c r="N10" s="2044" t="str">
        <f t="shared" si="0"/>
        <v>NO</v>
      </c>
      <c r="O10" s="2044">
        <f t="shared" si="0"/>
        <v>17.107329244482628</v>
      </c>
      <c r="P10" s="2044" t="str">
        <f t="shared" si="0"/>
        <v>NO</v>
      </c>
      <c r="Q10" s="2044" t="str">
        <f t="shared" si="0"/>
        <v>NO</v>
      </c>
      <c r="R10" s="2044">
        <f t="shared" si="0"/>
        <v>4.33133745070909</v>
      </c>
      <c r="S10" s="2044" t="str">
        <f t="shared" si="0"/>
        <v>NO</v>
      </c>
      <c r="T10" s="2044">
        <f t="shared" si="0"/>
        <v>21.764524982078157</v>
      </c>
      <c r="U10" s="2044">
        <f t="shared" si="0"/>
        <v>37.439449740840899</v>
      </c>
      <c r="V10" s="2045" t="str">
        <f t="shared" si="0"/>
        <v>NO</v>
      </c>
      <c r="W10" s="2046"/>
      <c r="X10" s="2044">
        <f t="shared" si="0"/>
        <v>49.531547695575966</v>
      </c>
      <c r="Y10" s="2044">
        <f t="shared" ref="Y10" si="1">IF(SUM(Y11,Y16,Y20,Y26,Y33,Y37)=0,"NO",SUM(Y11,Y16,Y20,Y26,Y33,Y37))</f>
        <v>6.4326685318929817</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7.1633572339266047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49.531547695575966</v>
      </c>
      <c r="Y16" s="2050">
        <f t="shared" ref="Y16" si="35">IF(SUM(Y17:Y19)=0,"NO",SUM(Y17:Y19))</f>
        <v>6.4326685318929817</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49.531547695575966</v>
      </c>
      <c r="Y17" s="2050">
        <f>'Table2(II).B-Hs1'!G26</f>
        <v>6.4326685318929817</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38.508455853697114</v>
      </c>
      <c r="D26" s="2069">
        <f t="shared" ref="D26:AK26" si="58">IF(SUM(D27:D32)=0,"NO",SUM(D27:D32))</f>
        <v>89.676580937658869</v>
      </c>
      <c r="E26" s="2069" t="str">
        <f t="shared" si="58"/>
        <v>NO</v>
      </c>
      <c r="F26" s="2069" t="str">
        <f t="shared" si="58"/>
        <v>NO</v>
      </c>
      <c r="G26" s="2069">
        <f t="shared" si="58"/>
        <v>397.47897280655553</v>
      </c>
      <c r="H26" s="2069">
        <f t="shared" si="58"/>
        <v>0.78684275308788343</v>
      </c>
      <c r="I26" s="2069">
        <f t="shared" si="58"/>
        <v>1279.2389037427145</v>
      </c>
      <c r="J26" s="2069" t="str">
        <f t="shared" si="58"/>
        <v>NO</v>
      </c>
      <c r="K26" s="2069">
        <f t="shared" si="58"/>
        <v>349.6970724233903</v>
      </c>
      <c r="L26" s="2069" t="str">
        <f t="shared" si="58"/>
        <v>NO</v>
      </c>
      <c r="M26" s="2069">
        <f t="shared" si="58"/>
        <v>33.763134164145683</v>
      </c>
      <c r="N26" s="2069" t="str">
        <f t="shared" si="58"/>
        <v>NO</v>
      </c>
      <c r="O26" s="2069">
        <f t="shared" si="58"/>
        <v>17.107329244482628</v>
      </c>
      <c r="P26" s="2069" t="str">
        <f t="shared" si="58"/>
        <v>NO</v>
      </c>
      <c r="Q26" s="2069" t="str">
        <f t="shared" si="58"/>
        <v>NO</v>
      </c>
      <c r="R26" s="2069">
        <f t="shared" si="58"/>
        <v>4.33133745070909</v>
      </c>
      <c r="S26" s="2069" t="str">
        <f t="shared" si="58"/>
        <v>NO</v>
      </c>
      <c r="T26" s="2069">
        <f t="shared" si="58"/>
        <v>21.764524982078157</v>
      </c>
      <c r="U26" s="2069">
        <f t="shared" si="58"/>
        <v>37.439449740840899</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36.030048034312074</v>
      </c>
      <c r="D27" s="2044">
        <f>IF(SUM('Table2(II).B-Hs2'!J14:M14,'Table2(II).B-Hs2'!J27:M27,'Table2(II).B-Hs2'!J40:M40,'Table2(II).B-Hs2'!J53:M53,'Table2(II).B-Hs2'!J66:M66,'Table2(II).B-Hs2'!J79:M79)=0,"NO",SUM('Table2(II).B-Hs2'!J14:M14,'Table2(II).B-Hs2'!J27:M27,'Table2(II).B-Hs2'!J40:M40,'Table2(II).B-Hs2'!J53:M53,'Table2(II).B-Hs2'!J66:M66,'Table2(II).B-Hs2'!J79:M79))</f>
        <v>83.904987803516846</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371.89718895140464</v>
      </c>
      <c r="H27" s="2044">
        <f>IF(SUM('Table2(II).B-Hs2'!J17:M17,'Table2(II).B-Hs2'!J30:M30,'Table2(II).B-Hs2'!J43:M43,'Table2(II).B-Hs2'!J56:M56,'Table2(II).B-Hs2'!J69:M69,'Table2(II).B-Hs2'!J82:M82)=0,"NO",SUM('Table2(II).B-Hs2'!J17:M17,'Table2(II).B-Hs2'!J30:M30,'Table2(II).B-Hs2'!J43:M43,'Table2(II).B-Hs2'!J56:M56,'Table2(II).B-Hs2'!J69:M69,'Table2(II).B-Hs2'!J82:M82))</f>
        <v>0.7362014799272969</v>
      </c>
      <c r="I27" s="2044">
        <f>IF(SUM('Table2(II).B-Hs2'!J18:M18,'Table2(II).B-Hs2'!J31:M31,'Table2(II).B-Hs2'!J44:M44,'Table2(II).B-Hs2'!J57:M57,'Table2(II).B-Hs2'!J70:M70,'Table2(II).B-Hs2'!J83:M83)=0,"NO",SUM('Table2(II).B-Hs2'!J18:M18,'Table2(II).B-Hs2'!J31:M31,'Table2(II).B-Hs2'!J44:M44,'Table2(II).B-Hs2'!J57:M57,'Table2(II).B-Hs2'!J70:M70,'Table2(II).B-Hs2'!J83:M83))</f>
        <v>1196.906968285658</v>
      </c>
      <c r="J27" s="2044" t="s">
        <v>2146</v>
      </c>
      <c r="K27" s="2044">
        <f>IF(SUM('Table2(II).B-Hs2'!J19:M19,'Table2(II).B-Hs2'!J32:M32,'Table2(II).B-Hs2'!J45:M45,'Table2(II).B-Hs2'!J58:M58,'Table2(II).B-Hs2'!J71:M71,'Table2(II).B-Hs2'!J84:M84)=0,"NO",SUM('Table2(II).B-Hs2'!J19:M19,'Table2(II).B-Hs2'!J32:M32,'Table2(II).B-Hs2'!J45:M45,'Table2(II).B-Hs2'!J58:M58,'Table2(II).B-Hs2'!J71:M71,'Table2(II).B-Hs2'!J84:M84))</f>
        <v>327.19053614463218</v>
      </c>
      <c r="L27" s="2044" t="s">
        <v>2146</v>
      </c>
      <c r="M27" s="2044">
        <f>IF(SUM('Table2(II).B-Hs2'!J20:M20,'Table2(II).B-Hs2'!J33:M33,'Table2(II).B-Hs2'!J46:M46,'Table2(II).B-Hs2'!J59:M59,'Table2(II).B-Hs2'!J72:M72,'Table2(II).B-Hs2'!J85:M85)=0,"NO",SUM('Table2(II).B-Hs2'!J20:M20,'Table2(II).B-Hs2'!J33:M33,'Table2(II).B-Hs2'!J46:M46,'Table2(II).B-Hs2'!J59:M59,'Table2(II).B-Hs2'!J72:M72,'Table2(II).B-Hs2'!J85:M85))</f>
        <v>31.590135692400136</v>
      </c>
      <c r="N27" s="2044" t="s">
        <v>2146</v>
      </c>
      <c r="O27" s="2044">
        <f>IF(SUM('Table2(II).B-Hs2'!J21:M21,'Table2(II).B-Hs2'!J34:M34,'Table2(II).B-Hs2'!J47:M47,'Table2(II).B-Hs2'!J60:M60,'Table2(II).B-Hs2'!J73:M73,'Table2(II).B-Hs2'!J86:M86)=0,"NO",SUM('Table2(II).B-Hs2'!J21:M21,'Table2(II).B-Hs2'!J34:M34,'Table2(II).B-Hs2'!J47:M47,'Table2(II).B-Hs2'!J60:M60,'Table2(II).B-Hs2'!J73:M73,'Table2(II).B-Hs2'!J86:M86))</f>
        <v>16.006299934727807</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4.0525721673901005</v>
      </c>
      <c r="S27" s="2044" t="s">
        <v>2146</v>
      </c>
      <c r="T27" s="2044">
        <f>IF(SUM('Table2(II).B-Hs2'!J23:M23,'Table2(II).B-Hs2'!J36:M36,'Table2(II).B-Hs2'!J49:M49,'Table2(II).B-Hs2'!J62:M62,'Table2(II).B-Hs2'!J75:M75,'Table2(II).B-Hs2'!J88:M88)=0,"NO",SUM('Table2(II).B-Hs2'!J23:M23,'Table2(II).B-Hs2'!J36:M36,'Table2(II).B-Hs2'!J49:M49,'Table2(II).B-Hs2'!J62:M62,'Table2(II).B-Hs2'!J75:M75,'Table2(II).B-Hs2'!J88:M88))</f>
        <v>20.363758119191736</v>
      </c>
      <c r="U27" s="2044">
        <f>IF(SUM('Table2(II).B-Hs2'!J24:M24,'Table2(II).B-Hs2'!J37:M37,'Table2(II).B-Hs2'!J50:M50,'Table2(II).B-Hs2'!J63:M63,'Table2(II).B-Hs2'!J76:M76,'Table2(II).B-Hs2'!J89:M89)=0,"NO",SUM('Table2(II).B-Hs2'!J24:M24,'Table2(II).B-Hs2'!J37:M37,'Table2(II).B-Hs2'!J50:M50,'Table2(II).B-Hs2'!J63:M63,'Table2(II).B-Hs2'!J76:M76,'Table2(II).B-Hs2'!J89:M89))</f>
        <v>35.029843254834141</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0.43340800269262214</v>
      </c>
      <c r="D28" s="2044">
        <f>IF(SUM('Table2(II).B-Hs2'!J93:M93,'Table2(II).B-Hs2'!J106:M106)=0,"NO",SUM('Table2(II).B-Hs2'!J93:M93,'Table2(II).B-Hs2'!J106:M106))</f>
        <v>1.0092990479846131</v>
      </c>
      <c r="E28" s="2044" t="s">
        <v>2146</v>
      </c>
      <c r="F28" s="2044" t="str">
        <f>IF(SUM('Table2(II).B-Hs2'!J94:M94,'Table2(II).B-Hs2'!J107:M107)=0,"NO",SUM('Table2(II).B-Hs2'!J94:M94,'Table2(II).B-Hs2'!J107:M107))</f>
        <v>NO</v>
      </c>
      <c r="G28" s="2044">
        <f>IF(SUM('Table2(II).B-Hs2'!J95:M95,'Table2(II).B-Hs2'!J108:M108)=0,"NO",SUM('Table2(II).B-Hs2'!J95:M95,'Table2(II).B-Hs2'!J108:M108))</f>
        <v>4.4735776570969668</v>
      </c>
      <c r="H28" s="2044">
        <f>IF(SUM('Table2(II).B-Hs2'!J96:M96,'Table2(II).B-Hs2'!J109:M109)=0,"NO",SUM('Table2(II).B-Hs2'!J96:M96,'Table2(II).B-Hs2'!J109:M109))</f>
        <v>8.855819806034693E-3</v>
      </c>
      <c r="I28" s="2044">
        <f>IF(SUM('Table2(II).B-Hs2'!J97:M97,'Table2(II).B-Hs2'!J110:M110)=0,"NO",SUM('Table2(II).B-Hs2'!J97:M97,'Table2(II).B-Hs2'!J110:M110))</f>
        <v>14.397678794087488</v>
      </c>
      <c r="J28" s="2044" t="s">
        <v>2146</v>
      </c>
      <c r="K28" s="2044">
        <f>IF(SUM('Table2(II).B-Hs2'!J98:M98,'Table2(II).B-Hs2'!J111:M111)=0,"NO",SUM('Table2(II).B-Hs2'!J98:M98,'Table2(II).B-Hs2'!J111:M111))</f>
        <v>3.9357981603390537</v>
      </c>
      <c r="L28" s="2044" t="s">
        <v>2146</v>
      </c>
      <c r="M28" s="2044">
        <f>IF(SUM('Table2(II).B-Hs2'!J99:M99,'Table2(II).B-Hs2'!J112:M112)=0,"NO",SUM('Table2(II).B-Hs2'!J99:M99,'Table2(II).B-Hs2'!J112:M112))</f>
        <v>0.37999998229792725</v>
      </c>
      <c r="N28" s="2044" t="s">
        <v>2146</v>
      </c>
      <c r="O28" s="2044">
        <f>IF(SUM('Table2(II).B-Hs2'!J100:M100,'Table2(II).B-Hs2'!J113:M113)=0,"NO",SUM('Table2(II).B-Hs2'!J100:M100,'Table2(II).B-Hs2'!J113:M113))</f>
        <v>0.19254091692031461</v>
      </c>
      <c r="P28" s="2044" t="s">
        <v>2146</v>
      </c>
      <c r="Q28" s="2044" t="s">
        <v>2146</v>
      </c>
      <c r="R28" s="2044">
        <f>IF(SUM('Table2(II).B-Hs2'!J101:M101,'Table2(II).B-Hs2'!J114:M114)=0,"NO",SUM('Table2(II).B-Hs2'!J101:M101,'Table2(II).B-Hs2'!J114:M114))</f>
        <v>4.8748677969110275E-2</v>
      </c>
      <c r="S28" s="2044" t="s">
        <v>2146</v>
      </c>
      <c r="T28" s="2044">
        <f>IF(SUM('Table2(II).B-Hs2'!J102:M102,'Table2(II).B-Hs2'!J115:M115)=0,"NO",SUM('Table2(II).B-Hs2'!J102:M102,'Table2(II).B-Hs2'!J115:M115))</f>
        <v>0.24495709040824959</v>
      </c>
      <c r="U28" s="2044">
        <f>IF(SUM('Table2(II).B-Hs2'!J103:M103,'Table2(II).B-Hs2'!J116:M116)=0,"NO",SUM('Table2(II).B-Hs2'!J103:M103,'Table2(II).B-Hs2'!J116:M116))</f>
        <v>0.42137646847583959</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0.25559044652297369</v>
      </c>
      <c r="D29" s="2044">
        <f>IF(SUM('Table2(II).B-Hs2'!J119:M119)=0,"NO",SUM('Table2(II).B-Hs2'!J119:M119))</f>
        <v>0.59520634770685765</v>
      </c>
      <c r="E29" s="2044" t="s">
        <v>2146</v>
      </c>
      <c r="F29" s="2044" t="str">
        <f>IF(SUM('Table2(II).B-Hs2'!J120:M120)=0,"NO",SUM('Table2(II).B-Hs2'!J120:M120))</f>
        <v>NO</v>
      </c>
      <c r="G29" s="2044">
        <f>IF(SUM('Table2(II).B-Hs2'!J121:M121)=0,"NO",SUM('Table2(II).B-Hs2'!J121:M121))</f>
        <v>2.6381693550396368</v>
      </c>
      <c r="H29" s="2044">
        <f>IF(SUM('Table2(II).B-Hs2'!J122:M122)=0,"NO",SUM('Table2(II).B-Hs2'!J122:M122))</f>
        <v>5.2224761067844773E-3</v>
      </c>
      <c r="I29" s="2044">
        <f>IF(SUM('Table2(II).B-Hs2'!J123:M123)=0,"NO",SUM('Table2(II).B-Hs2'!J123:M123))</f>
        <v>8.4906349883091661</v>
      </c>
      <c r="J29" s="2044" t="s">
        <v>2146</v>
      </c>
      <c r="K29" s="2044">
        <f>IF(SUM('Table2(II).B-Hs2'!J124:M124)=0,"NO",SUM('Table2(II).B-Hs2'!J124:M124))</f>
        <v>2.3210286911540718</v>
      </c>
      <c r="L29" s="2044" t="s">
        <v>2146</v>
      </c>
      <c r="M29" s="2044">
        <f>IF(SUM('Table2(II).B-Hs2'!J125:M125)=0,"NO",SUM('Table2(II).B-Hs2'!J125:M125))</f>
        <v>0.22409453575117999</v>
      </c>
      <c r="N29" s="2044" t="s">
        <v>2146</v>
      </c>
      <c r="O29" s="2044">
        <f>IF(SUM('Table2(II).B-Hs2'!J126:M126)=0,"NO",SUM('Table2(II).B-Hs2'!J126:M126))</f>
        <v>0.1135457089483127</v>
      </c>
      <c r="P29" s="2044" t="s">
        <v>2146</v>
      </c>
      <c r="Q29" s="2044" t="s">
        <v>2146</v>
      </c>
      <c r="R29" s="2044">
        <f>IF(SUM('Table2(II).B-Hs2'!J127:M127)=0,"NO",SUM('Table2(II).B-Hs2'!J127:M127))</f>
        <v>2.8748191754931908E-2</v>
      </c>
      <c r="S29" s="2044" t="s">
        <v>2146</v>
      </c>
      <c r="T29" s="2044">
        <f>IF(SUM('Table2(II).B-Hs2'!J128:M128)=0,"NO",SUM('Table2(II).B-Hs2'!J128:M128))</f>
        <v>0.14445670529257795</v>
      </c>
      <c r="U29" s="2044">
        <f>IF(SUM('Table2(II).B-Hs2'!J129:M129)=0,"NO",SUM('Table2(II).B-Hs2'!J129:M129))</f>
        <v>0.24849518020643357</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1.1435989155148962</v>
      </c>
      <c r="D30" s="2044">
        <f>IF(SUM('Table2(II).B-Hs2'!J133:M133)=0,"NO",SUM('Table2(II).B-Hs2'!J133:M133))</f>
        <v>2.663156401207516</v>
      </c>
      <c r="E30" s="2044" t="s">
        <v>2146</v>
      </c>
      <c r="F30" s="2044" t="str">
        <f>IF(SUM('Table2(II).B-Hs2'!J134:M134)=0,"NO",SUM('Table2(II).B-Hs2'!J134:M134))</f>
        <v>NO</v>
      </c>
      <c r="G30" s="2044">
        <f>IF(SUM('Table2(II).B-Hs2'!J135:M135)=0,"NO",SUM('Table2(II).B-Hs2'!J135:M135))</f>
        <v>11.804070357131987</v>
      </c>
      <c r="H30" s="2044">
        <f>IF(SUM('Table2(II).B-Hs2'!J136:M136)=0,"NO",SUM('Table2(II).B-Hs2'!J136:M136))</f>
        <v>2.3367141038600422E-2</v>
      </c>
      <c r="I30" s="2044">
        <f>IF(SUM('Table2(II).B-Hs2'!J137:M137)=0,"NO",SUM('Table2(II).B-Hs2'!J137:M137))</f>
        <v>37.989999613660935</v>
      </c>
      <c r="J30" s="2044" t="s">
        <v>2146</v>
      </c>
      <c r="K30" s="2044">
        <f>IF(SUM('Table2(II).B-Hs2'!J138:M138)=0,"NO",SUM('Table2(II).B-Hs2'!J138:M138))</f>
        <v>10.385074756087068</v>
      </c>
      <c r="L30" s="2044" t="s">
        <v>2146</v>
      </c>
      <c r="M30" s="2044">
        <f>IF(SUM('Table2(II).B-Hs2'!J139:M139)=0,"NO",SUM('Table2(II).B-Hs2'!J139:M139))</f>
        <v>1.0026754581174395</v>
      </c>
      <c r="N30" s="2044" t="s">
        <v>2146</v>
      </c>
      <c r="O30" s="2044">
        <f>IF(SUM('Table2(II).B-Hs2'!J140:M140)=0,"NO",SUM('Table2(II).B-Hs2'!J140:M140))</f>
        <v>0.50804226598113023</v>
      </c>
      <c r="P30" s="2044" t="s">
        <v>2146</v>
      </c>
      <c r="Q30" s="2044" t="s">
        <v>2146</v>
      </c>
      <c r="R30" s="2044">
        <f>IF(SUM('Table2(II).B-Hs2'!J141:M141)=0,"NO",SUM('Table2(II).B-Hs2'!J141:M141))</f>
        <v>0.12862922445342387</v>
      </c>
      <c r="S30" s="2044" t="s">
        <v>2146</v>
      </c>
      <c r="T30" s="2044">
        <f>IF(SUM('Table2(II).B-Hs2'!J142:M142)=0,"NO",SUM('Table2(II).B-Hs2'!J142:M142))</f>
        <v>0.64634861654188669</v>
      </c>
      <c r="U30" s="2044">
        <f>IF(SUM('Table2(II).B-Hs2'!J143:M143)=0,"NO",SUM('Table2(II).B-Hs2'!J143:M143))</f>
        <v>1.1118522717131869</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0.64581045465455078</v>
      </c>
      <c r="D31" s="2044">
        <f>IF(SUM('Table2(II).B-Hs2'!J148:M148)=0,"NO",SUM('Table2(II).B-Hs2'!J148:M148))</f>
        <v>1.5039313372430356</v>
      </c>
      <c r="E31" s="2044" t="s">
        <v>2146</v>
      </c>
      <c r="F31" s="2044" t="str">
        <f>IF(SUM('Table2(II).B-Hs2'!J149:M149)=0,"NO",SUM('Table2(II).B-Hs2'!J149:M149))</f>
        <v>NO</v>
      </c>
      <c r="G31" s="2044">
        <f>IF(SUM('Table2(II).B-Hs2'!J150:M150)=0,"NO",SUM('Table2(II).B-Hs2'!J150:M150))</f>
        <v>6.6659664858823628</v>
      </c>
      <c r="H31" s="2044">
        <f>IF(SUM('Table2(II).B-Hs2'!J151:M151)=0,"NO",SUM('Table2(II).B-Hs2'!J151:M151))</f>
        <v>1.3195836209166974E-2</v>
      </c>
      <c r="I31" s="2044">
        <f>IF(SUM('Table2(II).B-Hs2'!J152:M152)=0,"NO",SUM('Table2(II).B-Hs2'!J152:M152))</f>
        <v>21.453622060998711</v>
      </c>
      <c r="J31" s="2044" t="s">
        <v>2146</v>
      </c>
      <c r="K31" s="2044">
        <f>IF(SUM('Table2(II).B-Hs2'!J153:M153)=0,"NO",SUM('Table2(II).B-Hs2'!J153:M153))</f>
        <v>5.8646346711778827</v>
      </c>
      <c r="L31" s="2044" t="s">
        <v>2146</v>
      </c>
      <c r="M31" s="2044">
        <f>IF(SUM('Table2(II).B-Hs2'!J154:M154)=0,"NO",SUM('Table2(II).B-Hs2'!J154:M154))</f>
        <v>0.56622849557900712</v>
      </c>
      <c r="N31" s="2044" t="s">
        <v>2146</v>
      </c>
      <c r="O31" s="2044">
        <f>IF(SUM('Table2(II).B-Hs2'!J155:M155)=0,"NO",SUM('Table2(II).B-Hs2'!J155:M155))</f>
        <v>0.28690041790506421</v>
      </c>
      <c r="P31" s="2044" t="s">
        <v>2146</v>
      </c>
      <c r="Q31" s="2044" t="s">
        <v>2146</v>
      </c>
      <c r="R31" s="2044">
        <f>IF(SUM('Table2(II).B-Hs2'!J156:M156)=0,"NO",SUM('Table2(II).B-Hs2'!J156:M156))</f>
        <v>7.2639189141523702E-2</v>
      </c>
      <c r="S31" s="2044" t="s">
        <v>2146</v>
      </c>
      <c r="T31" s="2044">
        <f>IF(SUM('Table2(II).B-Hs2'!J157:M157)=0,"NO",SUM('Table2(II).B-Hs2'!J157:M157))</f>
        <v>0.36500445064370873</v>
      </c>
      <c r="U31" s="2044">
        <f>IF(SUM('Table2(II).B-Hs2'!J158:M158)=0,"NO",SUM('Table2(II).B-Hs2'!J158:M158))</f>
        <v>0.62788256561129574</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7.1633572339266047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6.4277728243346095</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0.73558440959199523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477.50485258584422</v>
      </c>
      <c r="D39" s="4196">
        <f t="shared" ref="D39:AK39" si="72">IF(SUM(D40:D45)=0,"NO",SUM(D40:D45))</f>
        <v>60.711045294795056</v>
      </c>
      <c r="E39" s="4196" t="str">
        <f t="shared" si="72"/>
        <v>NO</v>
      </c>
      <c r="F39" s="4196" t="str">
        <f t="shared" si="72"/>
        <v>NO</v>
      </c>
      <c r="G39" s="4196">
        <f t="shared" si="72"/>
        <v>1260.008343796781</v>
      </c>
      <c r="H39" s="4196">
        <f t="shared" si="72"/>
        <v>0.88126388345842943</v>
      </c>
      <c r="I39" s="4196">
        <f t="shared" si="72"/>
        <v>1663.010574865529</v>
      </c>
      <c r="J39" s="4196" t="str">
        <f t="shared" si="72"/>
        <v>NO</v>
      </c>
      <c r="K39" s="4196">
        <f t="shared" si="72"/>
        <v>1678.5459476322735</v>
      </c>
      <c r="L39" s="4196" t="str">
        <f t="shared" si="72"/>
        <v>NO</v>
      </c>
      <c r="M39" s="4196">
        <f t="shared" si="72"/>
        <v>4.6593125146521039</v>
      </c>
      <c r="N39" s="4196" t="str">
        <f t="shared" si="72"/>
        <v>NO</v>
      </c>
      <c r="O39" s="4196">
        <f t="shared" si="72"/>
        <v>57.309552969016806</v>
      </c>
      <c r="P39" s="4196" t="str">
        <f t="shared" si="72"/>
        <v>NO</v>
      </c>
      <c r="Q39" s="4196" t="str">
        <f t="shared" si="72"/>
        <v>NO</v>
      </c>
      <c r="R39" s="4196">
        <f t="shared" si="72"/>
        <v>34.910579852715266</v>
      </c>
      <c r="S39" s="4196" t="str">
        <f t="shared" si="72"/>
        <v>NO</v>
      </c>
      <c r="T39" s="4196">
        <f t="shared" si="72"/>
        <v>18.673962434623061</v>
      </c>
      <c r="U39" s="4196">
        <f t="shared" si="72"/>
        <v>30.101317591636082</v>
      </c>
      <c r="V39" s="4196" t="str">
        <f t="shared" si="72"/>
        <v>NO</v>
      </c>
      <c r="W39" s="4196">
        <f t="shared" si="72"/>
        <v>5286.3167534213244</v>
      </c>
      <c r="X39" s="4196">
        <f t="shared" si="72"/>
        <v>328.39416122166864</v>
      </c>
      <c r="Y39" s="4196">
        <f t="shared" si="72"/>
        <v>71.402620704012094</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399.79678192568076</v>
      </c>
      <c r="AI39" s="4197" t="str">
        <f t="shared" si="72"/>
        <v>NO</v>
      </c>
      <c r="AJ39" s="4197">
        <f t="shared" si="72"/>
        <v>168.33889499727519</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328.39416122166864</v>
      </c>
      <c r="Y41" s="4199">
        <f>IF(SUM(Y16)=0,"NO",Y16*11100/1000)</f>
        <v>71.402620704012094</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399.79678192568076</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477.50485258584422</v>
      </c>
      <c r="D43" s="4199">
        <f>IF(SUM(D26)=0,"NO",D26*677/1000)</f>
        <v>60.711045294795056</v>
      </c>
      <c r="E43" s="4199" t="str">
        <f>IF(SUM(E26)=0,"NO",E26*116/1000)</f>
        <v>NO</v>
      </c>
      <c r="F43" s="4199" t="str">
        <f>IF(SUM(F26)=0,"NO",F26*1650/1000)</f>
        <v>NO</v>
      </c>
      <c r="G43" s="4199">
        <f>IF(SUM(G26)=0,"NO",G26*3170/1000)</f>
        <v>1260.008343796781</v>
      </c>
      <c r="H43" s="4199">
        <f>IF(SUM(H26)=0,"NO",H26*1120/1000)</f>
        <v>0.88126388345842943</v>
      </c>
      <c r="I43" s="4199">
        <f>IF(SUM(I26)=0,"NO",I26*1300/1000)</f>
        <v>1663.010574865529</v>
      </c>
      <c r="J43" s="4199" t="str">
        <f>IF(SUM(J26)=0,"NO",J26*328/1000)</f>
        <v>NO</v>
      </c>
      <c r="K43" s="4199">
        <f>IF(SUM(K26)=0,"NO",K26*4800/1000)</f>
        <v>1678.5459476322735</v>
      </c>
      <c r="L43" s="4199" t="str">
        <f>IF(SUM(L26)=0,"NO",L26*16/1000)</f>
        <v>NO</v>
      </c>
      <c r="M43" s="4199">
        <f>IF(SUM(M26)=0,"NO",M26*138/1000)</f>
        <v>4.6593125146521039</v>
      </c>
      <c r="N43" s="4199" t="str">
        <f>IF(SUM(N26)=0,"NO",N26*4/1000)</f>
        <v>NO</v>
      </c>
      <c r="O43" s="4199">
        <f>IF(SUM(O26)=0,"NO",O26*3350/1000)</f>
        <v>57.309552969016806</v>
      </c>
      <c r="P43" s="4199" t="str">
        <f>IF(SUM(P26)=0,"NO",P26*1210/1000)</f>
        <v>NO</v>
      </c>
      <c r="Q43" s="4199" t="str">
        <f>IF(SUM(Q26)=0,"NO",Q26*1330/1000)</f>
        <v>NO</v>
      </c>
      <c r="R43" s="4199">
        <f>IF(SUM(R26)=0,"NO",R26*8060/1000)</f>
        <v>34.910579852715266</v>
      </c>
      <c r="S43" s="4199" t="str">
        <f>IF(SUM(S26)=0,"NO",S26*716/1000)</f>
        <v>NO</v>
      </c>
      <c r="T43" s="4199">
        <f>IF(SUM(T26)=0,"NO",T26*858/1000)</f>
        <v>18.673962434623061</v>
      </c>
      <c r="U43" s="4199">
        <f>IF(SUM(U26)=0,"NO",U26*804/1000)</f>
        <v>30.101317591636082</v>
      </c>
      <c r="V43" s="4199" t="str">
        <f>IF(SUM(V26)=0,"NO",V26*1/1000)</f>
        <v>NO</v>
      </c>
      <c r="W43" s="4199">
        <f t="shared" si="73"/>
        <v>5286.3167534213244</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168.33889499727519</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6898.3975325174652</v>
      </c>
      <c r="I10" s="628"/>
      <c r="J10" s="628"/>
      <c r="K10" s="3192" t="str">
        <f>IF(SUM(K11:K14)=0,"NO",SUM(K11:K14))</f>
        <v>NO</v>
      </c>
      <c r="L10" s="3192" t="str">
        <f>IF(SUM(L11:L14)=0,"NO",SUM(L11:L14))</f>
        <v>NO</v>
      </c>
      <c r="M10" s="628"/>
      <c r="N10" s="1838"/>
    </row>
    <row r="11" spans="2:14" ht="18" customHeight="1" x14ac:dyDescent="0.2">
      <c r="B11" s="287" t="s">
        <v>491</v>
      </c>
      <c r="C11" s="2099" t="s">
        <v>2181</v>
      </c>
      <c r="D11" s="691">
        <v>7052.9030000000002</v>
      </c>
      <c r="E11" s="1913">
        <f>IF(SUM($D11)=0,"NA",H11/$D11)</f>
        <v>0.54770461921849778</v>
      </c>
      <c r="F11" s="628"/>
      <c r="G11" s="628"/>
      <c r="H11" s="3180">
        <v>3862.9075520000006</v>
      </c>
      <c r="I11" s="628"/>
      <c r="J11" s="628"/>
      <c r="K11" s="3180" t="s">
        <v>2146</v>
      </c>
      <c r="L11" s="691" t="s">
        <v>2146</v>
      </c>
      <c r="M11" s="628"/>
      <c r="N11" s="1838"/>
    </row>
    <row r="12" spans="2:14" ht="18" customHeight="1" x14ac:dyDescent="0.2">
      <c r="B12" s="287" t="s">
        <v>492</v>
      </c>
      <c r="C12" s="2100" t="s">
        <v>2182</v>
      </c>
      <c r="D12" s="691">
        <v>1759.923146926898</v>
      </c>
      <c r="E12" s="1913">
        <f>IF(SUM($D12)=0,"NA",H12/$D12)</f>
        <v>0.75005211377446857</v>
      </c>
      <c r="F12" s="628"/>
      <c r="G12" s="628"/>
      <c r="H12" s="3180">
        <v>1320.0340764331345</v>
      </c>
      <c r="I12" s="628"/>
      <c r="J12" s="628"/>
      <c r="K12" s="3180" t="s">
        <v>2146</v>
      </c>
      <c r="L12" s="691" t="s">
        <v>2146</v>
      </c>
      <c r="M12" s="628"/>
      <c r="N12" s="1838"/>
    </row>
    <row r="13" spans="2:14" ht="18" customHeight="1" x14ac:dyDescent="0.2">
      <c r="B13" s="287" t="s">
        <v>493</v>
      </c>
      <c r="C13" s="2100" t="s">
        <v>2267</v>
      </c>
      <c r="D13" s="691">
        <v>306.42925989898987</v>
      </c>
      <c r="E13" s="1913">
        <f>IF(SUM($D13)=0,"NA",H13/$D13)</f>
        <v>0.39573900000000006</v>
      </c>
      <c r="F13" s="628"/>
      <c r="G13" s="628"/>
      <c r="H13" s="3180">
        <v>121.26600888316636</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1594.1898952011638</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30.953791030586675</v>
      </c>
      <c r="I15" s="628"/>
      <c r="J15" s="628"/>
      <c r="K15" s="3180" t="s">
        <v>2146</v>
      </c>
      <c r="L15" s="691" t="s">
        <v>2146</v>
      </c>
      <c r="M15" s="628"/>
      <c r="N15" s="1838"/>
    </row>
    <row r="16" spans="2:14" ht="18" customHeight="1" x14ac:dyDescent="0.2">
      <c r="B16" s="160" t="s">
        <v>496</v>
      </c>
      <c r="C16" s="484" t="s">
        <v>2316</v>
      </c>
      <c r="D16" s="2905">
        <v>413.38499999999999</v>
      </c>
      <c r="E16" s="1913">
        <f>IF(SUM($D16)=0,"NA",H16/$D16)</f>
        <v>0.41492000000000012</v>
      </c>
      <c r="F16" s="628"/>
      <c r="G16" s="628"/>
      <c r="H16" s="3180">
        <v>171.52170420000004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1391.7143999705772</v>
      </c>
      <c r="I18" s="628"/>
      <c r="J18" s="628"/>
      <c r="K18" s="3181" t="str">
        <f>K19</f>
        <v>NO</v>
      </c>
      <c r="L18" s="3193" t="str">
        <f>L19</f>
        <v>NO</v>
      </c>
      <c r="M18" s="628"/>
      <c r="N18" s="1838"/>
    </row>
    <row r="19" spans="2:14" ht="18" customHeight="1" x14ac:dyDescent="0.2">
      <c r="B19" s="3182" t="s">
        <v>2265</v>
      </c>
      <c r="C19" s="484" t="s">
        <v>2267</v>
      </c>
      <c r="D19" s="2905">
        <v>2004.5150000000003</v>
      </c>
      <c r="E19" s="1913">
        <f>IF(SUM($D19)=0,"NA",H19/$D19)</f>
        <v>0.41342931646208669</v>
      </c>
      <c r="F19" s="628"/>
      <c r="G19" s="628"/>
      <c r="H19" s="3180">
        <v>828.72526628799983</v>
      </c>
      <c r="I19" s="628"/>
      <c r="J19" s="628"/>
      <c r="K19" s="3180" t="s">
        <v>2146</v>
      </c>
      <c r="L19" s="3180" t="s">
        <v>2146</v>
      </c>
      <c r="M19" s="628"/>
      <c r="N19" s="1838"/>
    </row>
    <row r="20" spans="2:14" ht="18" customHeight="1" x14ac:dyDescent="0.2">
      <c r="B20" s="3183" t="s">
        <v>2264</v>
      </c>
      <c r="C20" s="484" t="s">
        <v>2267</v>
      </c>
      <c r="D20" s="2905">
        <v>525.01641098598475</v>
      </c>
      <c r="E20" s="1913">
        <f>IF(SUM($D20)=0,"NA",H20/$D20)</f>
        <v>0.51355168003661011</v>
      </c>
      <c r="F20" s="628"/>
      <c r="G20" s="628"/>
      <c r="H20" s="3180">
        <v>269.62305990864382</v>
      </c>
      <c r="I20" s="628"/>
      <c r="J20" s="628"/>
      <c r="K20" s="3180" t="s">
        <v>2146</v>
      </c>
      <c r="L20" s="3180" t="s">
        <v>2146</v>
      </c>
      <c r="M20" s="2135"/>
      <c r="N20" s="2149"/>
    </row>
    <row r="21" spans="2:14" ht="18" customHeight="1" thickBot="1" x14ac:dyDescent="0.25">
      <c r="B21" s="3183" t="s">
        <v>2266</v>
      </c>
      <c r="C21" s="484" t="s">
        <v>2267</v>
      </c>
      <c r="D21" s="2905">
        <v>1179.1171515000001</v>
      </c>
      <c r="E21" s="1913">
        <f>IF(SUM($D21)=0,"NA",H21/$D21)</f>
        <v>0.24880146421475699</v>
      </c>
      <c r="F21" s="628"/>
      <c r="G21" s="628"/>
      <c r="H21" s="3180">
        <v>293.36607377393346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3728.3691337487348</v>
      </c>
      <c r="I22" s="3067">
        <f>IF(SUM(I23:I26,I30,I33:I35,I47)=0,"IE",SUM(I23:I26,I30,I33:I35,I47))</f>
        <v>0.57776359999999993</v>
      </c>
      <c r="J22" s="3067">
        <f>IF(SUM(J23:J26,J30,J33:J35,J47)=0,"IE",SUM(J23:J26,J30,J33:J35,J47))</f>
        <v>10.376143045827572</v>
      </c>
      <c r="K22" s="3067">
        <f>IF(SUM(K23:K26,K30,K33:K35,K47)=0,"NO",SUM(K23:K26,K30,K33:K35,K47))</f>
        <v>-269.01799999999997</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1394.9740575399999</v>
      </c>
      <c r="E23" s="1913">
        <f>IF(SUM($D23)=0,"NA",H23/$D23)</f>
        <v>1.5515450866196232</v>
      </c>
      <c r="F23" s="1913" t="str">
        <f>IFERROR(IF(SUM($D23)=0,"NA",I23/$D23),"NA")</f>
        <v>NA</v>
      </c>
      <c r="G23" s="1913" t="str">
        <f>IFERROR(IF(SUM($D23)=0,"NA",J23/$D23),"NA")</f>
        <v>NA</v>
      </c>
      <c r="H23" s="691">
        <v>2164.3651449380263</v>
      </c>
      <c r="I23" s="691" t="s">
        <v>2146</v>
      </c>
      <c r="J23" s="691" t="s">
        <v>2146</v>
      </c>
      <c r="K23" s="3180">
        <v>-269.01799999999997</v>
      </c>
      <c r="L23" s="691" t="s">
        <v>2146</v>
      </c>
      <c r="M23" s="691" t="s">
        <v>2146</v>
      </c>
      <c r="N23" s="2911" t="s">
        <v>2146</v>
      </c>
    </row>
    <row r="24" spans="2:14" ht="18" customHeight="1" x14ac:dyDescent="0.2">
      <c r="B24" s="287" t="s">
        <v>500</v>
      </c>
      <c r="C24" s="484" t="s">
        <v>220</v>
      </c>
      <c r="D24" s="691">
        <v>1082.3189121058881</v>
      </c>
      <c r="E24" s="2108"/>
      <c r="F24" s="2108"/>
      <c r="G24" s="1913">
        <f>IF(SUM($D24)=0,"NA",J24/$D24)</f>
        <v>9.5869553139735098E-3</v>
      </c>
      <c r="H24" s="2108"/>
      <c r="I24" s="2108"/>
      <c r="J24" s="691">
        <v>10.376143045827572</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1389.98952640161</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125.71965640909872</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125.71965640909872</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125.71965640909872</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13190.956265353812</v>
      </c>
      <c r="I52" s="3192">
        <f>IF(SUM(I53,I62:I67)=0,"IE",SUM(I53,I62:I67))</f>
        <v>2.9963534618019252</v>
      </c>
      <c r="J52" s="1909">
        <f>J67</f>
        <v>7.7852219894930172E-2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1964.9999999999995</v>
      </c>
      <c r="E63" s="4130">
        <f>IF(SUM($D63)=0,"NA",H63/$D63)</f>
        <v>1.6203932631139721</v>
      </c>
      <c r="F63" s="1892"/>
      <c r="G63" s="2107"/>
      <c r="H63" s="691">
        <v>3184.0727620189546</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10006.883503334859</v>
      </c>
      <c r="I67" s="3199">
        <f t="shared" ref="I67:N67" si="8">IF(SUM(I69:I70)=0,I70,SUM(I69:I70))</f>
        <v>2.9963534618019252</v>
      </c>
      <c r="J67" s="3199">
        <f t="shared" si="8"/>
        <v>7.7852219894930172E-2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10006.883503334859</v>
      </c>
      <c r="I70" s="3095">
        <f t="shared" si="9"/>
        <v>2.9963534618019252</v>
      </c>
      <c r="J70" s="3095">
        <f t="shared" si="9"/>
        <v>7.7852219894930172E-2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10006.883503334859</v>
      </c>
      <c r="I71" s="3123">
        <v>2.9963534618019252</v>
      </c>
      <c r="J71" s="3123">
        <v>7.7852219894930172E-2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236.96094149999999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434.55927835051551</v>
      </c>
      <c r="E73" s="4130">
        <f t="shared" ref="E73:G74" si="11">IF(SUM($D73)=0,"NA",H73/$D73)</f>
        <v>0.54529025913207474</v>
      </c>
      <c r="F73" s="276" t="s">
        <v>2147</v>
      </c>
      <c r="G73" s="276" t="s">
        <v>2147</v>
      </c>
      <c r="H73" s="3122">
        <v>236.96094149999999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339.19772727272698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163.37983983135788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163.37983983135788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55.964216227468945</v>
      </c>
      <c r="H22" s="2611" t="str">
        <f>H23</f>
        <v>NO</v>
      </c>
    </row>
    <row r="23" spans="2:8" ht="18" customHeight="1" x14ac:dyDescent="0.2">
      <c r="B23" s="169" t="s">
        <v>636</v>
      </c>
      <c r="C23" s="2507"/>
      <c r="D23" s="76"/>
      <c r="E23" s="76"/>
      <c r="F23" s="4322"/>
      <c r="G23" s="3188">
        <f>IF(SUM(G24,G27)=0,"NO",SUM(G24,G27))</f>
        <v>55.964216227468945</v>
      </c>
      <c r="H23" s="2611" t="str">
        <f>H24</f>
        <v>NO</v>
      </c>
    </row>
    <row r="24" spans="2:8" ht="18" customHeight="1" x14ac:dyDescent="0.2">
      <c r="B24" s="171" t="s">
        <v>637</v>
      </c>
      <c r="C24" s="2507"/>
      <c r="D24" s="76"/>
      <c r="E24" s="76"/>
      <c r="F24" s="4322"/>
      <c r="G24" s="3188">
        <f>IF(SUM(G25:G26)=0,"NO",SUM(G25:G26))</f>
        <v>55.964216227468945</v>
      </c>
      <c r="H24" s="2611" t="str">
        <f>H25</f>
        <v>NO</v>
      </c>
    </row>
    <row r="25" spans="2:8" ht="18" customHeight="1" x14ac:dyDescent="0.25">
      <c r="B25" s="2609" t="s">
        <v>1741</v>
      </c>
      <c r="C25" s="2620" t="s">
        <v>1741</v>
      </c>
      <c r="D25" s="73" t="s">
        <v>638</v>
      </c>
      <c r="E25" s="691">
        <v>1964999.9999999995</v>
      </c>
      <c r="F25" s="4320">
        <f t="shared" ref="F25:F28" si="2">IF(SUM(E25)=0,"NA",G25*1000/E25)</f>
        <v>2.5206894501565383E-2</v>
      </c>
      <c r="G25" s="691">
        <v>49.531547695575966</v>
      </c>
      <c r="H25" s="2610" t="s">
        <v>2146</v>
      </c>
    </row>
    <row r="26" spans="2:8" ht="18" customHeight="1" x14ac:dyDescent="0.25">
      <c r="B26" s="2609" t="s">
        <v>1742</v>
      </c>
      <c r="C26" s="2620" t="s">
        <v>1742</v>
      </c>
      <c r="D26" s="73" t="s">
        <v>638</v>
      </c>
      <c r="E26" s="691">
        <v>1964999.9999999995</v>
      </c>
      <c r="F26" s="4320">
        <f t="shared" si="2"/>
        <v>3.2736226625409582E-3</v>
      </c>
      <c r="G26" s="691">
        <v>6.4326685318929817</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46.722958098165414</v>
      </c>
      <c r="K10" s="3224">
        <f>IF(SUM(K11,K90,K117,K130,K146,K159)=0,"NO",SUM(K11,K90,K117,K130,K146,K159))</f>
        <v>1868.8790135537295</v>
      </c>
      <c r="L10" s="3225">
        <f>IF(SUM(L11,L90,L117,L130,L146,L159)=0,"NO",SUM(L11,L90,L117,L130,L146,L159))</f>
        <v>537.97778553170644</v>
      </c>
      <c r="M10" s="3498">
        <f>IF(SUM(M11,M90,M117,M130,M146,M159)=0,"NO",SUM(M11,M90,M117,M130,M146,M159))</f>
        <v>-183.78715308424086</v>
      </c>
    </row>
    <row r="11" spans="1:13" ht="18" customHeight="1" x14ac:dyDescent="0.2">
      <c r="B11" s="147" t="s">
        <v>667</v>
      </c>
      <c r="C11" s="2508"/>
      <c r="D11" s="2108"/>
      <c r="E11" s="2108"/>
      <c r="F11" s="2108"/>
      <c r="G11" s="2108"/>
      <c r="H11" s="2108"/>
      <c r="I11" s="2108"/>
      <c r="J11" s="3103">
        <f>IF(SUM(J12,J25,J38,J51,J64,J77)=0,"NO",SUM(J12,J25,J38,J51,J64,J77))</f>
        <v>24.631247353421394</v>
      </c>
      <c r="K11" s="3103">
        <f t="shared" ref="K11:M11" si="0">IF(SUM(K12,K25,K38,K51,K64,K77)=0,"NO",SUM(K12,K25,K38,K51,K64,K77))</f>
        <v>1759.5872557796738</v>
      </c>
      <c r="L11" s="3103">
        <f t="shared" si="0"/>
        <v>518.02255051302575</v>
      </c>
      <c r="M11" s="3226">
        <f t="shared" si="0"/>
        <v>-178.53251377812583</v>
      </c>
    </row>
    <row r="12" spans="1:13" ht="18" customHeight="1" x14ac:dyDescent="0.2">
      <c r="B12" s="104" t="s">
        <v>668</v>
      </c>
      <c r="C12" s="2508"/>
      <c r="D12" s="2108"/>
      <c r="E12" s="2108"/>
      <c r="F12" s="2108"/>
      <c r="G12" s="2108"/>
      <c r="H12" s="2108"/>
      <c r="I12" s="2108"/>
      <c r="J12" s="3103">
        <f>IF(SUM(J13:J24)=0,"NO",SUM(J13:J24))</f>
        <v>18.422736351283199</v>
      </c>
      <c r="K12" s="3103">
        <f>IF(SUM(K13:K24)=0,"NO",SUM(K13:K24))</f>
        <v>996.87417154625734</v>
      </c>
      <c r="L12" s="3103">
        <f>IF(SUM(L13:L24)=0,"NO",SUM(L13:L24))</f>
        <v>151.22184541474553</v>
      </c>
      <c r="M12" s="3226">
        <f>IF(SUM(M13:M24)=0,"NO",SUM(M13:M24))</f>
        <v>-38.693336159786035</v>
      </c>
    </row>
    <row r="13" spans="1:13" ht="18" customHeight="1" x14ac:dyDescent="0.2">
      <c r="B13" s="2616" t="s">
        <v>559</v>
      </c>
      <c r="C13" s="2618" t="s">
        <v>559</v>
      </c>
      <c r="D13" s="3227">
        <v>17.86018758356844</v>
      </c>
      <c r="E13" s="3227">
        <v>124.88281265797494</v>
      </c>
      <c r="F13" s="3227">
        <v>3.2275708238843857</v>
      </c>
      <c r="G13" s="3103">
        <f>IF(SUM(D13)=0,"NA",J13/D13)</f>
        <v>1.7500000000000005E-2</v>
      </c>
      <c r="H13" s="3103">
        <f>IF(SUM(E13)=0,"NA",K13/E13)</f>
        <v>0.13542773030303815</v>
      </c>
      <c r="I13" s="3103">
        <f>IF(SUM(F13)=0,"NA",(SUM(L13:M13))/F13)</f>
        <v>0.59150267393795464</v>
      </c>
      <c r="J13" s="3227">
        <v>0.31255328271244776</v>
      </c>
      <c r="K13" s="3227">
        <v>16.912595872129067</v>
      </c>
      <c r="L13" s="3227">
        <v>2.5683437982680672</v>
      </c>
      <c r="M13" s="3497">
        <v>-0.65922702561632596</v>
      </c>
    </row>
    <row r="14" spans="1:13" ht="18" customHeight="1" x14ac:dyDescent="0.2">
      <c r="B14" s="2616" t="s">
        <v>560</v>
      </c>
      <c r="C14" s="2618" t="s">
        <v>560</v>
      </c>
      <c r="D14" s="3227">
        <v>41.591918499268388</v>
      </c>
      <c r="E14" s="3227">
        <v>290.82089657381528</v>
      </c>
      <c r="F14" s="3227">
        <v>7.5162067603992533</v>
      </c>
      <c r="G14" s="3103">
        <f t="shared" ref="G14:G24" si="1">IF(SUM(D14)=0,"NA",J14/D14)</f>
        <v>1.7500000000000002E-2</v>
      </c>
      <c r="H14" s="3103">
        <f t="shared" ref="H14:H24" si="2">IF(SUM(E14)=0,"NA",K14/E14)</f>
        <v>0.13542773030303815</v>
      </c>
      <c r="I14" s="3103">
        <f t="shared" ref="I14:I78" si="3">IF(SUM(F14)=0,"NA",(SUM(L14:M14))/F14)</f>
        <v>0.59150267393795464</v>
      </c>
      <c r="J14" s="3227">
        <v>0.72785857373719687</v>
      </c>
      <c r="K14" s="3227">
        <v>39.38521394768641</v>
      </c>
      <c r="L14" s="3227">
        <v>5.9810315785229804</v>
      </c>
      <c r="M14" s="3497">
        <v>-1.5351751818762907</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184.35039415291476</v>
      </c>
      <c r="E16" s="3227">
        <v>1289.0231767555988</v>
      </c>
      <c r="F16" s="3227">
        <v>33.314541113047667</v>
      </c>
      <c r="G16" s="3103">
        <f t="shared" si="1"/>
        <v>1.7500000000000002E-2</v>
      </c>
      <c r="H16" s="3103">
        <f t="shared" si="2"/>
        <v>0.13542773030303815</v>
      </c>
      <c r="I16" s="3103">
        <f t="shared" si="3"/>
        <v>0.59150267393795486</v>
      </c>
      <c r="J16" s="3227">
        <v>3.2261318976760087</v>
      </c>
      <c r="K16" s="3227">
        <v>174.56948313602271</v>
      </c>
      <c r="L16" s="3227">
        <v>26.510090631215689</v>
      </c>
      <c r="M16" s="3497">
        <v>-6.8044504818320641</v>
      </c>
    </row>
    <row r="17" spans="2:13" ht="18" customHeight="1" x14ac:dyDescent="0.2">
      <c r="B17" s="2616" t="s">
        <v>564</v>
      </c>
      <c r="C17" s="2618" t="s">
        <v>564</v>
      </c>
      <c r="D17" s="3227">
        <v>0.36493696922858576</v>
      </c>
      <c r="E17" s="3227">
        <v>2.5517288072646851</v>
      </c>
      <c r="F17" s="3227">
        <v>6.5948910610693745E-2</v>
      </c>
      <c r="G17" s="3103">
        <f t="shared" si="1"/>
        <v>1.7500000000000002E-2</v>
      </c>
      <c r="H17" s="3103">
        <f t="shared" si="2"/>
        <v>0.13542773030303817</v>
      </c>
      <c r="I17" s="3103">
        <f t="shared" si="3"/>
        <v>0.59150267393795475</v>
      </c>
      <c r="J17" s="3227">
        <v>6.3863969615002517E-3</v>
      </c>
      <c r="K17" s="3227">
        <v>0.34557484071673505</v>
      </c>
      <c r="L17" s="3227">
        <v>5.2478933790107207E-2</v>
      </c>
      <c r="M17" s="3497">
        <v>-1.3469976820586701E-2</v>
      </c>
    </row>
    <row r="18" spans="2:13" ht="18" customHeight="1" x14ac:dyDescent="0.2">
      <c r="B18" s="2616" t="s">
        <v>565</v>
      </c>
      <c r="C18" s="2618" t="s">
        <v>565</v>
      </c>
      <c r="D18" s="3227">
        <v>593.30986606802071</v>
      </c>
      <c r="E18" s="3227">
        <v>4148.5681214495344</v>
      </c>
      <c r="F18" s="3227">
        <v>107.21889701795013</v>
      </c>
      <c r="G18" s="3103">
        <f t="shared" si="1"/>
        <v>1.7500000000000002E-2</v>
      </c>
      <c r="H18" s="3103">
        <f t="shared" si="2"/>
        <v>0.1354277303030382</v>
      </c>
      <c r="I18" s="3103">
        <f t="shared" si="3"/>
        <v>0.59150267393795364</v>
      </c>
      <c r="J18" s="3227">
        <v>10.382922656190363</v>
      </c>
      <c r="K18" s="3227">
        <v>561.83116469544939</v>
      </c>
      <c r="L18" s="3227">
        <v>85.319580650372927</v>
      </c>
      <c r="M18" s="3497">
        <v>-21.899316367577349</v>
      </c>
    </row>
    <row r="19" spans="2:13" ht="18" customHeight="1" x14ac:dyDescent="0.2">
      <c r="B19" s="2616" t="s">
        <v>567</v>
      </c>
      <c r="C19" s="2618" t="s">
        <v>567</v>
      </c>
      <c r="D19" s="3227">
        <v>162.18919124244331</v>
      </c>
      <c r="E19" s="3227">
        <v>1134.0666099001669</v>
      </c>
      <c r="F19" s="3227">
        <v>29.309720245330421</v>
      </c>
      <c r="G19" s="3103">
        <f t="shared" si="1"/>
        <v>1.7500000000000002E-2</v>
      </c>
      <c r="H19" s="3103">
        <f t="shared" si="2"/>
        <v>0.1354277303030382</v>
      </c>
      <c r="I19" s="3103">
        <f t="shared" si="3"/>
        <v>0.59150267393795253</v>
      </c>
      <c r="J19" s="3227">
        <v>2.838310846742758</v>
      </c>
      <c r="K19" s="3227">
        <v>153.58406699124063</v>
      </c>
      <c r="L19" s="3227">
        <v>23.323249071408355</v>
      </c>
      <c r="M19" s="3497">
        <v>-5.9864711739220713</v>
      </c>
    </row>
    <row r="20" spans="2:13" ht="18" customHeight="1" x14ac:dyDescent="0.2">
      <c r="B20" s="2616" t="s">
        <v>569</v>
      </c>
      <c r="C20" s="2618" t="s">
        <v>569</v>
      </c>
      <c r="D20" s="3227">
        <v>15.659311603452307</v>
      </c>
      <c r="E20" s="3227">
        <v>109.49374793386497</v>
      </c>
      <c r="F20" s="3227">
        <v>2.8298435846169743</v>
      </c>
      <c r="G20" s="3103">
        <f t="shared" si="1"/>
        <v>1.7500000000000002E-2</v>
      </c>
      <c r="H20" s="3103">
        <f t="shared" si="2"/>
        <v>0.13542773030303817</v>
      </c>
      <c r="I20" s="3103">
        <f t="shared" si="3"/>
        <v>0.59150267393795408</v>
      </c>
      <c r="J20" s="3227">
        <v>0.2740379530604154</v>
      </c>
      <c r="K20" s="3227">
        <v>14.828489765056307</v>
      </c>
      <c r="L20" s="3227">
        <v>2.1925497468680728</v>
      </c>
      <c r="M20" s="3497">
        <v>-0.51868969974096746</v>
      </c>
    </row>
    <row r="21" spans="2:13" ht="18" customHeight="1" x14ac:dyDescent="0.2">
      <c r="B21" s="2616" t="s">
        <v>571</v>
      </c>
      <c r="C21" s="2618" t="s">
        <v>571</v>
      </c>
      <c r="D21" s="3227">
        <v>7.9343640919061063</v>
      </c>
      <c r="E21" s="3227">
        <v>55.479020016636355</v>
      </c>
      <c r="F21" s="3227">
        <v>1.4338439576453481</v>
      </c>
      <c r="G21" s="3103">
        <f t="shared" si="1"/>
        <v>1.7500000000000002E-2</v>
      </c>
      <c r="H21" s="3103">
        <f t="shared" si="2"/>
        <v>0.13542773030303817</v>
      </c>
      <c r="I21" s="3103">
        <f t="shared" si="3"/>
        <v>0.59150267393795342</v>
      </c>
      <c r="J21" s="3227">
        <v>0.13885137160835687</v>
      </c>
      <c r="K21" s="3227">
        <v>7.5133977602898847</v>
      </c>
      <c r="L21" s="3227">
        <v>1.1409832463011753</v>
      </c>
      <c r="M21" s="3497">
        <v>-0.29286071134417435</v>
      </c>
    </row>
    <row r="22" spans="2:13" ht="18" customHeight="1" x14ac:dyDescent="0.2">
      <c r="B22" s="2616" t="s">
        <v>574</v>
      </c>
      <c r="C22" s="2618" t="s">
        <v>574</v>
      </c>
      <c r="D22" s="3227">
        <v>2.0088704582521562</v>
      </c>
      <c r="E22" s="3227">
        <v>11.749082969890356</v>
      </c>
      <c r="F22" s="3227">
        <v>0.36302931588372866</v>
      </c>
      <c r="G22" s="3103">
        <f t="shared" si="1"/>
        <v>1.7500000000000005E-2</v>
      </c>
      <c r="H22" s="3103">
        <f t="shared" si="2"/>
        <v>0.16190945729482972</v>
      </c>
      <c r="I22" s="3103">
        <f t="shared" si="3"/>
        <v>0.59150267393795453</v>
      </c>
      <c r="J22" s="3227">
        <v>3.5155233019412743E-2</v>
      </c>
      <c r="K22" s="3227">
        <v>1.9022876473668737</v>
      </c>
      <c r="L22" s="3227">
        <v>0.28888106347341069</v>
      </c>
      <c r="M22" s="3497">
        <v>-7.4148252410318832E-2</v>
      </c>
    </row>
    <row r="23" spans="2:13" ht="18" customHeight="1" x14ac:dyDescent="0.2">
      <c r="B23" s="2616" t="s">
        <v>576</v>
      </c>
      <c r="C23" s="2618" t="s">
        <v>576</v>
      </c>
      <c r="D23" s="3227">
        <v>10.094367333865904</v>
      </c>
      <c r="E23" s="3227">
        <v>70.58229252954402</v>
      </c>
      <c r="F23" s="3227">
        <v>1.8241849555002108</v>
      </c>
      <c r="G23" s="3103">
        <f t="shared" si="1"/>
        <v>1.7500000000000002E-2</v>
      </c>
      <c r="H23" s="3103">
        <f t="shared" si="2"/>
        <v>0.13542773030303817</v>
      </c>
      <c r="I23" s="3103">
        <f t="shared" si="3"/>
        <v>0.59150267393795375</v>
      </c>
      <c r="J23" s="3227">
        <v>0.17665142834265335</v>
      </c>
      <c r="K23" s="3227">
        <v>9.5587996768612342</v>
      </c>
      <c r="L23" s="3227">
        <v>1.4133700831255975</v>
      </c>
      <c r="M23" s="3497">
        <v>-0.3343598041898358</v>
      </c>
    </row>
    <row r="24" spans="2:13" ht="18" customHeight="1" x14ac:dyDescent="0.2">
      <c r="B24" s="2616" t="s">
        <v>577</v>
      </c>
      <c r="C24" s="2618" t="s">
        <v>577</v>
      </c>
      <c r="D24" s="3227">
        <v>17.364383498976448</v>
      </c>
      <c r="E24" s="3227">
        <v>121.4160288786083</v>
      </c>
      <c r="F24" s="3227">
        <v>3.1379725041408655</v>
      </c>
      <c r="G24" s="3103">
        <f t="shared" si="1"/>
        <v>1.7500000000000002E-2</v>
      </c>
      <c r="H24" s="3103">
        <f t="shared" si="2"/>
        <v>0.13542773030303817</v>
      </c>
      <c r="I24" s="3103">
        <f t="shared" si="3"/>
        <v>0.59150267393795242</v>
      </c>
      <c r="J24" s="3227">
        <v>0.30387671123208787</v>
      </c>
      <c r="K24" s="3227">
        <v>16.443097213438058</v>
      </c>
      <c r="L24" s="3227">
        <v>2.4312866113991447</v>
      </c>
      <c r="M24" s="3497">
        <v>-0.57516748445605037</v>
      </c>
    </row>
    <row r="25" spans="2:13" ht="18" customHeight="1" x14ac:dyDescent="0.2">
      <c r="B25" s="105" t="s">
        <v>669</v>
      </c>
      <c r="C25" s="2508"/>
      <c r="D25" s="2108"/>
      <c r="E25" s="2108"/>
      <c r="F25" s="2108"/>
      <c r="G25" s="2108"/>
      <c r="H25" s="2108"/>
      <c r="I25" s="2108"/>
      <c r="J25" s="3103">
        <f>IF(SUM(J26:J37)=0,"NO",SUM(J26:J37))</f>
        <v>3.8883717782557073E-2</v>
      </c>
      <c r="K25" s="3103">
        <f>IF(SUM(K26:K37)=0,"NO",SUM(K26:K37))</f>
        <v>10.959356665104101</v>
      </c>
      <c r="L25" s="3103">
        <f>IF(SUM(L26:L37)=0,"NO",SUM(L26:L37))</f>
        <v>21.499238065384681</v>
      </c>
      <c r="M25" s="3226">
        <f>IF(SUM(M26:M37)=0,"NO",SUM(M26:M37))</f>
        <v>-4.5289343131926598</v>
      </c>
    </row>
    <row r="26" spans="2:13" ht="18" customHeight="1" x14ac:dyDescent="0.2">
      <c r="B26" s="2616" t="s">
        <v>559</v>
      </c>
      <c r="C26" s="2618" t="s">
        <v>559</v>
      </c>
      <c r="D26" s="3227">
        <v>0.10994777870548783</v>
      </c>
      <c r="E26" s="3227">
        <v>10.999209938926484</v>
      </c>
      <c r="F26" s="3227">
        <v>0.44158427742810097</v>
      </c>
      <c r="G26" s="3103">
        <f>IF(SUM(D26)=0,"NA",J26/D26)</f>
        <v>6.0000000000000001E-3</v>
      </c>
      <c r="H26" s="3103">
        <f>IF(SUM(E26)=0,"NA",K26/E26)</f>
        <v>1.6904156207441901E-2</v>
      </c>
      <c r="I26" s="3103">
        <f t="shared" si="3"/>
        <v>0.65199751658935323</v>
      </c>
      <c r="J26" s="3227">
        <v>6.5968667223292702E-4</v>
      </c>
      <c r="K26" s="3227">
        <v>0.18593236296606075</v>
      </c>
      <c r="L26" s="3227">
        <v>0.36474806483806355</v>
      </c>
      <c r="M26" s="3497">
        <v>-7.6836212590037672E-2</v>
      </c>
    </row>
    <row r="27" spans="2:13" ht="18" customHeight="1" x14ac:dyDescent="0.2">
      <c r="B27" s="2616" t="s">
        <v>560</v>
      </c>
      <c r="C27" s="2618" t="s">
        <v>560</v>
      </c>
      <c r="D27" s="3227">
        <v>0.25604093068436745</v>
      </c>
      <c r="E27" s="3227">
        <v>25.614414249325023</v>
      </c>
      <c r="F27" s="3227">
        <v>1.0283395508256097</v>
      </c>
      <c r="G27" s="3103">
        <f t="shared" ref="G27:G37" si="6">IF(SUM(D27)=0,"NA",J27/D27)</f>
        <v>5.9999999999999993E-3</v>
      </c>
      <c r="H27" s="3103">
        <f t="shared" ref="H27:H37" si="7">IF(SUM(E27)=0,"NA",K27/E27)</f>
        <v>1.6904156207441897E-2</v>
      </c>
      <c r="I27" s="3103">
        <f t="shared" si="3"/>
        <v>0.65199751658935323</v>
      </c>
      <c r="J27" s="3227">
        <v>1.5362455841062045E-3</v>
      </c>
      <c r="K27" s="3227">
        <v>0.43299005963271575</v>
      </c>
      <c r="L27" s="3227">
        <v>0.84940719208725923</v>
      </c>
      <c r="M27" s="3497">
        <v>-0.17893235873835081</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1.1348658151408078</v>
      </c>
      <c r="E29" s="3227">
        <v>113.53232871290044</v>
      </c>
      <c r="F29" s="3227">
        <v>4.5579720377906368</v>
      </c>
      <c r="G29" s="3103">
        <f t="shared" si="6"/>
        <v>5.9999999999999993E-3</v>
      </c>
      <c r="H29" s="3103">
        <f t="shared" si="7"/>
        <v>1.6904156207441897E-2</v>
      </c>
      <c r="I29" s="3103">
        <f t="shared" si="3"/>
        <v>0.65199751658935334</v>
      </c>
      <c r="J29" s="3227">
        <v>6.809194890844846E-3</v>
      </c>
      <c r="K29" s="3227">
        <v>1.9191682191575099</v>
      </c>
      <c r="L29" s="3227">
        <v>3.764879243556924</v>
      </c>
      <c r="M29" s="3497">
        <v>-0.79309279423371504</v>
      </c>
    </row>
    <row r="30" spans="2:13" ht="18" customHeight="1" x14ac:dyDescent="0.2">
      <c r="B30" s="2616" t="s">
        <v>564</v>
      </c>
      <c r="C30" s="2618" t="s">
        <v>564</v>
      </c>
      <c r="D30" s="3227">
        <v>2.2465614622721253E-3</v>
      </c>
      <c r="E30" s="3227">
        <v>0.22474670661990745</v>
      </c>
      <c r="F30" s="3227">
        <v>9.0228855161558468E-3</v>
      </c>
      <c r="G30" s="3103">
        <f t="shared" si="6"/>
        <v>6.000000000000001E-3</v>
      </c>
      <c r="H30" s="3103">
        <f t="shared" si="7"/>
        <v>1.6904156207441897E-2</v>
      </c>
      <c r="I30" s="3103">
        <f t="shared" si="3"/>
        <v>0.65199751658935312</v>
      </c>
      <c r="J30" s="3227">
        <v>1.3479368773632754E-5</v>
      </c>
      <c r="K30" s="3227">
        <v>3.7991534358110318E-3</v>
      </c>
      <c r="L30" s="3227">
        <v>7.4528922325797532E-3</v>
      </c>
      <c r="M30" s="3497">
        <v>-1.5699932835760973E-3</v>
      </c>
    </row>
    <row r="31" spans="2:13" ht="18" customHeight="1" x14ac:dyDescent="0.2">
      <c r="B31" s="2616" t="s">
        <v>565</v>
      </c>
      <c r="C31" s="2618" t="s">
        <v>565</v>
      </c>
      <c r="D31" s="3227">
        <v>3.6524309474915313</v>
      </c>
      <c r="E31" s="3227">
        <v>365.39032667957241</v>
      </c>
      <c r="F31" s="3227">
        <v>14.669292092970492</v>
      </c>
      <c r="G31" s="3103">
        <f t="shared" si="6"/>
        <v>6.000000000000001E-3</v>
      </c>
      <c r="H31" s="3103">
        <f t="shared" si="7"/>
        <v>1.6904156207441897E-2</v>
      </c>
      <c r="I31" s="3103">
        <f t="shared" si="3"/>
        <v>0.65199751658935334</v>
      </c>
      <c r="J31" s="3227">
        <v>2.1914585684949191E-2</v>
      </c>
      <c r="K31" s="3227">
        <v>6.1766151588797165</v>
      </c>
      <c r="L31" s="3227">
        <v>12.116817053855549</v>
      </c>
      <c r="M31" s="3497">
        <v>-2.5524750391149511</v>
      </c>
    </row>
    <row r="32" spans="2:13" ht="18" customHeight="1" x14ac:dyDescent="0.2">
      <c r="B32" s="2616" t="s">
        <v>567</v>
      </c>
      <c r="C32" s="2618" t="s">
        <v>567</v>
      </c>
      <c r="D32" s="3227">
        <v>0.15205555949763069</v>
      </c>
      <c r="E32" s="3227">
        <v>99.884335254215713</v>
      </c>
      <c r="F32" s="3227">
        <v>4.0100472901714506</v>
      </c>
      <c r="G32" s="3103">
        <f t="shared" si="6"/>
        <v>3.9397738997137971E-2</v>
      </c>
      <c r="H32" s="3103">
        <f t="shared" si="7"/>
        <v>1.6904156207441897E-2</v>
      </c>
      <c r="I32" s="3103">
        <f t="shared" si="3"/>
        <v>0.65199751658935323</v>
      </c>
      <c r="J32" s="3227">
        <v>5.9906452461514379E-3</v>
      </c>
      <c r="K32" s="3227">
        <v>1.6884604058137582</v>
      </c>
      <c r="L32" s="3227">
        <v>3.3122940823845521</v>
      </c>
      <c r="M32" s="3497">
        <v>-0.69775320778690053</v>
      </c>
    </row>
    <row r="33" spans="2:13" ht="18" customHeight="1" x14ac:dyDescent="0.2">
      <c r="B33" s="2616" t="s">
        <v>569</v>
      </c>
      <c r="C33" s="2618" t="s">
        <v>569</v>
      </c>
      <c r="D33" s="3227">
        <v>9.6399129001345993E-2</v>
      </c>
      <c r="E33" s="3227">
        <v>9.643798813395561</v>
      </c>
      <c r="F33" s="3227">
        <v>0.3871687106911324</v>
      </c>
      <c r="G33" s="3103">
        <f t="shared" si="6"/>
        <v>6.000000000000001E-3</v>
      </c>
      <c r="H33" s="3103">
        <f t="shared" si="7"/>
        <v>1.6904156207441901E-2</v>
      </c>
      <c r="I33" s="3103">
        <f t="shared" si="3"/>
        <v>0.65199751658935312</v>
      </c>
      <c r="J33" s="3227">
        <v>5.7839477400807604E-4</v>
      </c>
      <c r="K33" s="3227">
        <v>0.16302028157478141</v>
      </c>
      <c r="L33" s="3227">
        <v>0.31980087428142628</v>
      </c>
      <c r="M33" s="3497">
        <v>-6.7367836409706242E-2</v>
      </c>
    </row>
    <row r="34" spans="2:13" ht="18" customHeight="1" x14ac:dyDescent="0.2">
      <c r="B34" s="2616" t="s">
        <v>571</v>
      </c>
      <c r="C34" s="2618" t="s">
        <v>571</v>
      </c>
      <c r="D34" s="3227">
        <v>4.8844151454951509E-2</v>
      </c>
      <c r="E34" s="3227">
        <v>4.8863840858561849</v>
      </c>
      <c r="F34" s="3227">
        <v>0.19617321587368211</v>
      </c>
      <c r="G34" s="3103">
        <f t="shared" si="6"/>
        <v>6.000000000000001E-3</v>
      </c>
      <c r="H34" s="3103">
        <f t="shared" si="7"/>
        <v>1.6904156207441894E-2</v>
      </c>
      <c r="I34" s="3103">
        <f t="shared" si="3"/>
        <v>0.65199751658935301</v>
      </c>
      <c r="J34" s="3227">
        <v>2.930649087297091E-4</v>
      </c>
      <c r="K34" s="3227">
        <v>8.2600199876871117E-2</v>
      </c>
      <c r="L34" s="3227">
        <v>0.16203883272233496</v>
      </c>
      <c r="M34" s="3497">
        <v>-3.4134383151347182E-2</v>
      </c>
    </row>
    <row r="35" spans="2:13" ht="18" customHeight="1" x14ac:dyDescent="0.2">
      <c r="B35" s="2616" t="s">
        <v>574</v>
      </c>
      <c r="C35" s="2618" t="s">
        <v>574</v>
      </c>
      <c r="D35" s="3227">
        <v>1.2366658723960073E-2</v>
      </c>
      <c r="E35" s="3227">
        <v>1.2371643806670578</v>
      </c>
      <c r="F35" s="3227">
        <v>4.9668325464289335E-2</v>
      </c>
      <c r="G35" s="3103">
        <f t="shared" si="6"/>
        <v>6.0000000000000001E-3</v>
      </c>
      <c r="H35" s="3103">
        <f t="shared" si="7"/>
        <v>1.6904156207441897E-2</v>
      </c>
      <c r="I35" s="3103">
        <f t="shared" si="3"/>
        <v>0.65199751658935301</v>
      </c>
      <c r="J35" s="3227">
        <v>7.4199952343760437E-5</v>
      </c>
      <c r="K35" s="3227">
        <v>2.0913219945079053E-2</v>
      </c>
      <c r="L35" s="3227">
        <v>4.1025975160078859E-2</v>
      </c>
      <c r="M35" s="3497">
        <v>-8.6423503042104884E-3</v>
      </c>
    </row>
    <row r="36" spans="2:13" ht="18" customHeight="1" x14ac:dyDescent="0.2">
      <c r="B36" s="2616" t="s">
        <v>576</v>
      </c>
      <c r="C36" s="2618" t="s">
        <v>576</v>
      </c>
      <c r="D36" s="3227">
        <v>6.2141187521281699E-2</v>
      </c>
      <c r="E36" s="3227">
        <v>6.2166237048921884</v>
      </c>
      <c r="F36" s="3227">
        <v>0.24957822443701325</v>
      </c>
      <c r="G36" s="3103">
        <f t="shared" si="6"/>
        <v>6.000000000000001E-3</v>
      </c>
      <c r="H36" s="3103">
        <f t="shared" si="7"/>
        <v>1.6904156207441901E-2</v>
      </c>
      <c r="I36" s="3103">
        <f t="shared" si="3"/>
        <v>0.65199751658935323</v>
      </c>
      <c r="J36" s="3227">
        <v>3.7284712512769026E-4</v>
      </c>
      <c r="K36" s="3227">
        <v>0.10508677819038374</v>
      </c>
      <c r="L36" s="3227">
        <v>0.20615130348236313</v>
      </c>
      <c r="M36" s="3497">
        <v>-4.3426920954650249E-2</v>
      </c>
    </row>
    <row r="37" spans="2:13" ht="18" customHeight="1" x14ac:dyDescent="0.2">
      <c r="B37" s="2616" t="s">
        <v>577</v>
      </c>
      <c r="C37" s="2618" t="s">
        <v>577</v>
      </c>
      <c r="D37" s="3227">
        <v>0.10689559588159915</v>
      </c>
      <c r="E37" s="3227">
        <v>10.69386862100988</v>
      </c>
      <c r="F37" s="3227">
        <v>0.42932576740876149</v>
      </c>
      <c r="G37" s="3103">
        <f t="shared" si="6"/>
        <v>6.0000000000000001E-3</v>
      </c>
      <c r="H37" s="3103">
        <f t="shared" si="7"/>
        <v>1.6904156207441897E-2</v>
      </c>
      <c r="I37" s="3103">
        <f t="shared" si="3"/>
        <v>0.65199751658935323</v>
      </c>
      <c r="J37" s="3227">
        <v>6.4137357528959492E-4</v>
      </c>
      <c r="K37" s="3227">
        <v>0.18077082563141228</v>
      </c>
      <c r="L37" s="3227">
        <v>0.35462255078354621</v>
      </c>
      <c r="M37" s="3497">
        <v>-7.4703216625215466E-2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4.4419982148300425</v>
      </c>
      <c r="K51" s="3103">
        <f>IF(SUM(K52:K63)=0,"NO",SUM(K52:K63))</f>
        <v>93.359876833846812</v>
      </c>
      <c r="L51" s="3103">
        <f>IF(SUM(L52:L63)=0,"NO",SUM(L52:L63))</f>
        <v>31.304900548501003</v>
      </c>
      <c r="M51" s="3226">
        <f>IF(SUM(M52:M63)=0,"NO",SUM(M52:M63))</f>
        <v>-7.6936437223034835</v>
      </c>
    </row>
    <row r="52" spans="2:13" ht="18" customHeight="1" x14ac:dyDescent="0.2">
      <c r="B52" s="2616" t="s">
        <v>559</v>
      </c>
      <c r="C52" s="2618" t="s">
        <v>559</v>
      </c>
      <c r="D52" s="3227">
        <v>1.477672296622625</v>
      </c>
      <c r="E52" s="3227">
        <v>7.5489041072986485</v>
      </c>
      <c r="F52" s="3227">
        <v>0.66163477566119788</v>
      </c>
      <c r="G52" s="3103">
        <f>IF(SUM(D52)=0,"NA",J52/D52)</f>
        <v>5.1000000000000011E-2</v>
      </c>
      <c r="H52" s="3103">
        <f>IF(SUM(E52)=0,"NA",K52/E52)</f>
        <v>0.20981971323804402</v>
      </c>
      <c r="I52" s="3103">
        <f t="shared" si="3"/>
        <v>0.60543944056582744</v>
      </c>
      <c r="J52" s="3227">
        <v>7.536128712775389E-2</v>
      </c>
      <c r="K52" s="3227">
        <v>1.5839088950548952</v>
      </c>
      <c r="L52" s="3227">
        <v>0.53110728204820523</v>
      </c>
      <c r="M52" s="3497">
        <v>-0.13052749361299285</v>
      </c>
    </row>
    <row r="53" spans="2:13" ht="18" customHeight="1" x14ac:dyDescent="0.2">
      <c r="B53" s="2616" t="s">
        <v>560</v>
      </c>
      <c r="C53" s="2618" t="s">
        <v>560</v>
      </c>
      <c r="D53" s="3227">
        <v>3.4411299121123515</v>
      </c>
      <c r="E53" s="3227">
        <v>17.579513256535815</v>
      </c>
      <c r="F53" s="3227">
        <v>1.5407822306916714</v>
      </c>
      <c r="G53" s="3103">
        <f t="shared" ref="G53:G63" si="36">IF(SUM(D53)=0,"NA",J53/D53)</f>
        <v>5.1000000000000011E-2</v>
      </c>
      <c r="H53" s="3103">
        <f t="shared" ref="H53:H63" si="37">IF(SUM(E53)=0,"NA",K53/E53)</f>
        <v>0.20981971323804405</v>
      </c>
      <c r="I53" s="3103">
        <f t="shared" si="3"/>
        <v>0.6054394405658281</v>
      </c>
      <c r="J53" s="3227">
        <v>0.17549762551772996</v>
      </c>
      <c r="K53" s="3227">
        <v>3.6885284303507384</v>
      </c>
      <c r="L53" s="3227">
        <v>1.2368162812377035</v>
      </c>
      <c r="M53" s="3497">
        <v>-0.30396594945396926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15.252329743828856</v>
      </c>
      <c r="E55" s="3227">
        <v>77.918747554666766</v>
      </c>
      <c r="F55" s="3227">
        <v>6.8293029458790944</v>
      </c>
      <c r="G55" s="3103">
        <f t="shared" si="36"/>
        <v>5.1000000000000004E-2</v>
      </c>
      <c r="H55" s="3103">
        <f t="shared" si="37"/>
        <v>0.20981971323804399</v>
      </c>
      <c r="I55" s="3103">
        <f t="shared" si="3"/>
        <v>0.60543944056582755</v>
      </c>
      <c r="J55" s="3227">
        <v>0.77786881693527166</v>
      </c>
      <c r="K55" s="3227">
        <v>16.348889267787722</v>
      </c>
      <c r="L55" s="3227">
        <v>5.4820161504433464</v>
      </c>
      <c r="M55" s="3497">
        <v>-1.3472867954357501</v>
      </c>
    </row>
    <row r="56" spans="2:13" ht="18" customHeight="1" x14ac:dyDescent="0.2">
      <c r="B56" s="2616" t="s">
        <v>564</v>
      </c>
      <c r="C56" s="2618" t="s">
        <v>564</v>
      </c>
      <c r="D56" s="3227">
        <v>3.0193257877012835E-2</v>
      </c>
      <c r="E56" s="3227">
        <v>0.15424665463476459</v>
      </c>
      <c r="F56" s="3227">
        <v>1.3519174344404646E-2</v>
      </c>
      <c r="G56" s="3103">
        <f t="shared" si="36"/>
        <v>5.1000000000000004E-2</v>
      </c>
      <c r="H56" s="3103">
        <f t="shared" si="37"/>
        <v>0.20981971323804402</v>
      </c>
      <c r="I56" s="3103">
        <f t="shared" si="3"/>
        <v>0.60543944056582721</v>
      </c>
      <c r="J56" s="3227">
        <v>1.5398561517276548E-3</v>
      </c>
      <c r="K56" s="3227">
        <v>3.236398884339392E-2</v>
      </c>
      <c r="L56" s="3227">
        <v>1.085210784819644E-2</v>
      </c>
      <c r="M56" s="3497">
        <v>-2.667066496208207E-3</v>
      </c>
    </row>
    <row r="57" spans="2:13" ht="18" customHeight="1" x14ac:dyDescent="0.2">
      <c r="B57" s="2616" t="s">
        <v>565</v>
      </c>
      <c r="C57" s="2618" t="s">
        <v>565</v>
      </c>
      <c r="D57" s="3227">
        <v>49.087813232610365</v>
      </c>
      <c r="E57" s="3227">
        <v>250.77224211140265</v>
      </c>
      <c r="F57" s="3227">
        <v>21.979301073782928</v>
      </c>
      <c r="G57" s="3103">
        <f t="shared" si="36"/>
        <v>5.1000000000000011E-2</v>
      </c>
      <c r="H57" s="3103">
        <f t="shared" si="37"/>
        <v>0.20981971323804405</v>
      </c>
      <c r="I57" s="3103">
        <f t="shared" si="3"/>
        <v>0.60543944056582744</v>
      </c>
      <c r="J57" s="3227">
        <v>2.5034784748631291</v>
      </c>
      <c r="K57" s="3227">
        <v>52.616959927875854</v>
      </c>
      <c r="L57" s="3227">
        <v>17.64321840996098</v>
      </c>
      <c r="M57" s="3497">
        <v>-4.3360826638219541</v>
      </c>
    </row>
    <row r="58" spans="2:13" ht="18" customHeight="1" x14ac:dyDescent="0.2">
      <c r="B58" s="2616" t="s">
        <v>567</v>
      </c>
      <c r="C58" s="2618" t="s">
        <v>567</v>
      </c>
      <c r="D58" s="3227">
        <v>13.418810613785453</v>
      </c>
      <c r="E58" s="3227">
        <v>68.551948080094164</v>
      </c>
      <c r="F58" s="3227">
        <v>6.008336063675582</v>
      </c>
      <c r="G58" s="3103">
        <f t="shared" si="36"/>
        <v>5.1000000000000004E-2</v>
      </c>
      <c r="H58" s="3103">
        <f t="shared" si="37"/>
        <v>0.20981971323804402</v>
      </c>
      <c r="I58" s="3103">
        <f t="shared" si="3"/>
        <v>0.60543944056582799</v>
      </c>
      <c r="J58" s="3227">
        <v>0.6843593413030582</v>
      </c>
      <c r="K58" s="3227">
        <v>14.383550088074641</v>
      </c>
      <c r="L58" s="3227">
        <v>4.8230098443994098</v>
      </c>
      <c r="M58" s="3497">
        <v>-1.1853262192761769</v>
      </c>
    </row>
    <row r="59" spans="2:13" ht="18" customHeight="1" x14ac:dyDescent="0.2">
      <c r="B59" s="2616" t="s">
        <v>569</v>
      </c>
      <c r="C59" s="2618" t="s">
        <v>569</v>
      </c>
      <c r="D59" s="3227">
        <v>1.2955816299427403</v>
      </c>
      <c r="E59" s="3227">
        <v>6.6186674203537219</v>
      </c>
      <c r="F59" s="3227">
        <v>0.58010281646151118</v>
      </c>
      <c r="G59" s="3103">
        <f t="shared" si="36"/>
        <v>5.1000000000000011E-2</v>
      </c>
      <c r="H59" s="3103">
        <f t="shared" si="37"/>
        <v>0.20981971323804405</v>
      </c>
      <c r="I59" s="3103">
        <f t="shared" si="3"/>
        <v>0.6054394405658271</v>
      </c>
      <c r="J59" s="3227">
        <v>6.6074663127079769E-2</v>
      </c>
      <c r="K59" s="3227">
        <v>1.3887269001566027</v>
      </c>
      <c r="L59" s="3227">
        <v>0.46565997056531461</v>
      </c>
      <c r="M59" s="3497">
        <v>-0.11444284589619655</v>
      </c>
    </row>
    <row r="60" spans="2:13" ht="18" customHeight="1" x14ac:dyDescent="0.2">
      <c r="B60" s="2616" t="s">
        <v>571</v>
      </c>
      <c r="C60" s="2618" t="s">
        <v>571</v>
      </c>
      <c r="D60" s="3227">
        <v>0.65645391209180493</v>
      </c>
      <c r="E60" s="3227">
        <v>3.3535904033447905</v>
      </c>
      <c r="F60" s="3227">
        <v>0.29393035103350734</v>
      </c>
      <c r="G60" s="3103">
        <f t="shared" si="36"/>
        <v>5.1000000000000018E-2</v>
      </c>
      <c r="H60" s="3103">
        <f t="shared" si="37"/>
        <v>0.20981971323804408</v>
      </c>
      <c r="I60" s="3103">
        <f t="shared" si="3"/>
        <v>0.60543944056582732</v>
      </c>
      <c r="J60" s="3227">
        <v>3.3479149516682065E-2</v>
      </c>
      <c r="K60" s="3227">
        <v>0.70364937674766048</v>
      </c>
      <c r="L60" s="3227">
        <v>0.23594368916427566</v>
      </c>
      <c r="M60" s="3497">
        <v>-5.798666186923173E-2</v>
      </c>
    </row>
    <row r="61" spans="2:13" ht="18" customHeight="1" x14ac:dyDescent="0.2">
      <c r="B61" s="2616" t="s">
        <v>574</v>
      </c>
      <c r="C61" s="2618" t="s">
        <v>574</v>
      </c>
      <c r="D61" s="3227">
        <v>0.16620498579722737</v>
      </c>
      <c r="E61" s="3227">
        <v>0.84908237286837729</v>
      </c>
      <c r="F61" s="3227">
        <v>7.4419070279020755E-2</v>
      </c>
      <c r="G61" s="3103">
        <f t="shared" si="36"/>
        <v>5.1000000000000011E-2</v>
      </c>
      <c r="H61" s="3103">
        <f t="shared" si="37"/>
        <v>0.20981971323804402</v>
      </c>
      <c r="I61" s="3103">
        <f t="shared" si="3"/>
        <v>0.60543944056582788</v>
      </c>
      <c r="J61" s="3227">
        <v>8.476454275658598E-3</v>
      </c>
      <c r="K61" s="3227">
        <v>0.1781542199907209</v>
      </c>
      <c r="L61" s="3227">
        <v>5.9737655278090079E-2</v>
      </c>
      <c r="M61" s="3497">
        <v>-1.4681415000930724E-2</v>
      </c>
    </row>
    <row r="62" spans="2:13" ht="18" customHeight="1" x14ac:dyDescent="0.2">
      <c r="B62" s="2616" t="s">
        <v>576</v>
      </c>
      <c r="C62" s="2618" t="s">
        <v>576</v>
      </c>
      <c r="D62" s="3227">
        <v>0.83516295063491197</v>
      </c>
      <c r="E62" s="3227">
        <v>4.2665515505171809</v>
      </c>
      <c r="F62" s="3227">
        <v>0.37394817020447452</v>
      </c>
      <c r="G62" s="3103">
        <f t="shared" si="36"/>
        <v>5.1000000000000011E-2</v>
      </c>
      <c r="H62" s="3103">
        <f t="shared" si="37"/>
        <v>0.20981971323804402</v>
      </c>
      <c r="I62" s="3103">
        <f t="shared" si="3"/>
        <v>0.60543944056582766</v>
      </c>
      <c r="J62" s="3227">
        <v>4.259331048238052E-2</v>
      </c>
      <c r="K62" s="3227">
        <v>0.89520662284484698</v>
      </c>
      <c r="L62" s="3227">
        <v>0.3001755705868433</v>
      </c>
      <c r="M62" s="3497">
        <v>-7.3772599617631357E-2</v>
      </c>
    </row>
    <row r="63" spans="2:13" ht="18" customHeight="1" x14ac:dyDescent="0.2">
      <c r="B63" s="2616" t="s">
        <v>577</v>
      </c>
      <c r="C63" s="2618" t="s">
        <v>577</v>
      </c>
      <c r="D63" s="3227">
        <v>1.4366516770504119</v>
      </c>
      <c r="E63" s="3227">
        <v>7.339344298753562</v>
      </c>
      <c r="F63" s="3227">
        <v>0.64326759879107764</v>
      </c>
      <c r="G63" s="3103">
        <f t="shared" si="36"/>
        <v>5.1000000000000004E-2</v>
      </c>
      <c r="H63" s="3103">
        <f t="shared" si="37"/>
        <v>0.20981971323804405</v>
      </c>
      <c r="I63" s="3103">
        <f t="shared" si="3"/>
        <v>0.60543944056582799</v>
      </c>
      <c r="J63" s="3227">
        <v>7.3269235529571014E-2</v>
      </c>
      <c r="K63" s="3227">
        <v>1.5399391161197458</v>
      </c>
      <c r="L63" s="3227">
        <v>0.51636358696863582</v>
      </c>
      <c r="M63" s="3497">
        <v>-0.12690401182244232</v>
      </c>
    </row>
    <row r="64" spans="2:13" ht="18" customHeight="1" x14ac:dyDescent="0.2">
      <c r="B64" s="104" t="s">
        <v>672</v>
      </c>
      <c r="C64" s="2508"/>
      <c r="D64" s="2108"/>
      <c r="E64" s="2108"/>
      <c r="F64" s="2108"/>
      <c r="G64" s="2108"/>
      <c r="H64" s="2108"/>
      <c r="I64" s="2108"/>
      <c r="J64" s="3103">
        <f>IF(SUM(J65:J76)=0,"NO",SUM(J65:J76))</f>
        <v>0.43516790249577275</v>
      </c>
      <c r="K64" s="3103">
        <f>IF(SUM(K65:K76)=0,"NO",SUM(K65:K76))</f>
        <v>363.85048277818856</v>
      </c>
      <c r="L64" s="3103">
        <f>IF(SUM(L65:L76)=0,"NO",SUM(L65:L76))</f>
        <v>42.662260532282701</v>
      </c>
      <c r="M64" s="3226">
        <f>IF(SUM(M65:M76)=0,"NO",SUM(M65:M76))</f>
        <v>-16.184812475311869</v>
      </c>
    </row>
    <row r="65" spans="2:13" ht="18" customHeight="1" x14ac:dyDescent="0.2">
      <c r="B65" s="2616" t="s">
        <v>559</v>
      </c>
      <c r="C65" s="2618" t="s">
        <v>559</v>
      </c>
      <c r="D65" s="3227">
        <v>2.1093990112878007</v>
      </c>
      <c r="E65" s="3227">
        <v>59.043641186244223</v>
      </c>
      <c r="F65" s="3227">
        <v>1.0687095954221024</v>
      </c>
      <c r="G65" s="3103">
        <f>IF(SUM(D65)=0,"NA",J65/D65)</f>
        <v>3.5000000000000001E-3</v>
      </c>
      <c r="H65" s="3103">
        <f>IF(SUM(E65)=0,"NA",K65/E65)</f>
        <v>0.10454896814195756</v>
      </c>
      <c r="I65" s="3103">
        <f t="shared" si="3"/>
        <v>0.42032608592899251</v>
      </c>
      <c r="J65" s="3227">
        <v>7.3828965395073025E-3</v>
      </c>
      <c r="K65" s="3227">
        <v>6.1729517613658205</v>
      </c>
      <c r="L65" s="3227">
        <v>0.72379202106802421</v>
      </c>
      <c r="M65" s="3497">
        <v>-0.27458549982949476</v>
      </c>
    </row>
    <row r="66" spans="2:13" ht="18" customHeight="1" x14ac:dyDescent="0.2">
      <c r="B66" s="2616" t="s">
        <v>560</v>
      </c>
      <c r="C66" s="2618" t="s">
        <v>560</v>
      </c>
      <c r="D66" s="3227">
        <v>4.9122637346001721</v>
      </c>
      <c r="E66" s="3227">
        <v>137.49790144296253</v>
      </c>
      <c r="F66" s="3227">
        <v>2.4887578690985506</v>
      </c>
      <c r="G66" s="3103">
        <f t="shared" ref="G66:G76" si="38">IF(SUM(D66)=0,"NA",J66/D66)</f>
        <v>3.5000000000000001E-3</v>
      </c>
      <c r="H66" s="3103">
        <f t="shared" ref="H66:H76" si="39">IF(SUM(E66)=0,"NA",K66/E66)</f>
        <v>0.10454896814195754</v>
      </c>
      <c r="I66" s="3103">
        <f t="shared" si="3"/>
        <v>0.4203260859289939</v>
      </c>
      <c r="J66" s="3227">
        <v>1.7192923071100603E-2</v>
      </c>
      <c r="K66" s="3227">
        <v>14.375263717546307</v>
      </c>
      <c r="L66" s="3227">
        <v>1.6855309391250728</v>
      </c>
      <c r="M66" s="3497">
        <v>-0.63944108518189569</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21.772925807030035</v>
      </c>
      <c r="E68" s="3227">
        <v>609.44032496732848</v>
      </c>
      <c r="F68" s="3227">
        <v>11.03107311886939</v>
      </c>
      <c r="G68" s="3103">
        <f t="shared" si="38"/>
        <v>3.5000000000000009E-3</v>
      </c>
      <c r="H68" s="3103">
        <f t="shared" si="39"/>
        <v>0.10454896814195754</v>
      </c>
      <c r="I68" s="3103">
        <f t="shared" si="3"/>
        <v>0.42032608592899445</v>
      </c>
      <c r="J68" s="3227">
        <v>7.6205240324605142E-2</v>
      </c>
      <c r="K68" s="3227">
        <v>63.716357119433475</v>
      </c>
      <c r="L68" s="3227">
        <v>7.470881464390871</v>
      </c>
      <c r="M68" s="3497">
        <v>-2.834233676739955</v>
      </c>
    </row>
    <row r="69" spans="2:13" ht="18" customHeight="1" x14ac:dyDescent="0.2">
      <c r="B69" s="2616" t="s">
        <v>564</v>
      </c>
      <c r="C69" s="2618" t="s">
        <v>564</v>
      </c>
      <c r="D69" s="3227">
        <v>4.3101321219121309E-2</v>
      </c>
      <c r="E69" s="3227">
        <v>1.2064379148263664</v>
      </c>
      <c r="F69" s="3227">
        <v>2.1836928582859062E-2</v>
      </c>
      <c r="G69" s="3103">
        <f t="shared" si="38"/>
        <v>3.5000000000000005E-3</v>
      </c>
      <c r="H69" s="3103">
        <f t="shared" si="39"/>
        <v>0.10454896814195755</v>
      </c>
      <c r="I69" s="3103">
        <f t="shared" si="3"/>
        <v>0.42032608592899551</v>
      </c>
      <c r="J69" s="3227">
        <v>1.508546242669246E-4</v>
      </c>
      <c r="K69" s="3227">
        <v>0.12613183912243148</v>
      </c>
      <c r="L69" s="3227">
        <v>1.4789232491791343E-2</v>
      </c>
      <c r="M69" s="3497">
        <v>-5.6106017718471858E-3</v>
      </c>
    </row>
    <row r="70" spans="2:13" ht="18" customHeight="1" x14ac:dyDescent="0.2">
      <c r="B70" s="2616" t="s">
        <v>565</v>
      </c>
      <c r="C70" s="2618" t="s">
        <v>565</v>
      </c>
      <c r="D70" s="3227">
        <v>70.073577839831785</v>
      </c>
      <c r="E70" s="3227">
        <v>1961.4113614690073</v>
      </c>
      <c r="F70" s="3227">
        <v>35.502199736628341</v>
      </c>
      <c r="G70" s="3103">
        <f t="shared" si="38"/>
        <v>3.5000000000000005E-3</v>
      </c>
      <c r="H70" s="3103">
        <f t="shared" si="39"/>
        <v>0.10454896814195755</v>
      </c>
      <c r="I70" s="3103">
        <f t="shared" si="3"/>
        <v>0.42032608592899401</v>
      </c>
      <c r="J70" s="3227">
        <v>0.24525752243941129</v>
      </c>
      <c r="K70" s="3227">
        <v>205.06353394349682</v>
      </c>
      <c r="L70" s="3227">
        <v>24.044145397221655</v>
      </c>
      <c r="M70" s="3497">
        <v>-9.1216447400553022</v>
      </c>
    </row>
    <row r="71" spans="2:13" ht="18" customHeight="1" x14ac:dyDescent="0.2">
      <c r="B71" s="2616" t="s">
        <v>567</v>
      </c>
      <c r="C71" s="2618" t="s">
        <v>567</v>
      </c>
      <c r="D71" s="3227">
        <v>19.155550189357108</v>
      </c>
      <c r="E71" s="3227">
        <v>536.17804220691437</v>
      </c>
      <c r="F71" s="3227">
        <v>9.7050013693035275</v>
      </c>
      <c r="G71" s="3103">
        <f t="shared" si="38"/>
        <v>3.5000000000000005E-3</v>
      </c>
      <c r="H71" s="3103">
        <f t="shared" si="39"/>
        <v>0.10454896814195755</v>
      </c>
      <c r="I71" s="3103">
        <f t="shared" si="3"/>
        <v>0.42032608592899351</v>
      </c>
      <c r="J71" s="3227">
        <v>6.7044425662749887E-2</v>
      </c>
      <c r="K71" s="3227">
        <v>56.056861053107859</v>
      </c>
      <c r="L71" s="3227">
        <v>6.5727888901210463</v>
      </c>
      <c r="M71" s="3497">
        <v>-2.4935236506261722</v>
      </c>
    </row>
    <row r="72" spans="2:13" ht="18" customHeight="1" x14ac:dyDescent="0.2">
      <c r="B72" s="2616" t="s">
        <v>569</v>
      </c>
      <c r="C72" s="2618" t="s">
        <v>569</v>
      </c>
      <c r="D72" s="3227">
        <v>1.8494618972624581</v>
      </c>
      <c r="E72" s="3227">
        <v>51.767808776457343</v>
      </c>
      <c r="F72" s="3227">
        <v>0.93701460245080304</v>
      </c>
      <c r="G72" s="3103">
        <f t="shared" si="38"/>
        <v>3.5000000000000001E-3</v>
      </c>
      <c r="H72" s="3103">
        <f t="shared" si="39"/>
        <v>0.10454896814195755</v>
      </c>
      <c r="I72" s="3103">
        <f t="shared" si="3"/>
        <v>0.42032608592899301</v>
      </c>
      <c r="J72" s="3227">
        <v>6.4731166404186037E-3</v>
      </c>
      <c r="K72" s="3227">
        <v>5.4122709905487891</v>
      </c>
      <c r="L72" s="3227">
        <v>0.63460054610088168</v>
      </c>
      <c r="M72" s="3497">
        <v>-0.2407488657944242</v>
      </c>
    </row>
    <row r="73" spans="2:13" ht="18" customHeight="1" x14ac:dyDescent="0.2">
      <c r="B73" s="2616" t="s">
        <v>571</v>
      </c>
      <c r="C73" s="2618" t="s">
        <v>571</v>
      </c>
      <c r="D73" s="3227">
        <v>0.93709764762281356</v>
      </c>
      <c r="E73" s="3227">
        <v>26.230057455528929</v>
      </c>
      <c r="F73" s="3227">
        <v>0.47477278717911614</v>
      </c>
      <c r="G73" s="3103">
        <f t="shared" si="38"/>
        <v>3.5000000000000001E-3</v>
      </c>
      <c r="H73" s="3103">
        <f t="shared" si="39"/>
        <v>0.10454896814195756</v>
      </c>
      <c r="I73" s="3103">
        <f t="shared" si="3"/>
        <v>0.4203260859289924</v>
      </c>
      <c r="J73" s="3227">
        <v>3.2798417666798476E-3</v>
      </c>
      <c r="K73" s="3227">
        <v>2.7423254412798106</v>
      </c>
      <c r="L73" s="3227">
        <v>0.32154362293785432</v>
      </c>
      <c r="M73" s="3497">
        <v>-0.12198423559725793</v>
      </c>
    </row>
    <row r="74" spans="2:13" ht="18" customHeight="1" x14ac:dyDescent="0.2">
      <c r="B74" s="2616" t="s">
        <v>574</v>
      </c>
      <c r="C74" s="2618" t="s">
        <v>574</v>
      </c>
      <c r="D74" s="3227">
        <v>0.23726007012047978</v>
      </c>
      <c r="E74" s="3227">
        <v>6.6410851493972958</v>
      </c>
      <c r="F74" s="3227">
        <v>0.12020585588189708</v>
      </c>
      <c r="G74" s="3103">
        <f t="shared" si="38"/>
        <v>3.5000000000000001E-3</v>
      </c>
      <c r="H74" s="3103">
        <f t="shared" si="39"/>
        <v>0.10454896814195754</v>
      </c>
      <c r="I74" s="3103">
        <f t="shared" si="3"/>
        <v>0.42032608592899473</v>
      </c>
      <c r="J74" s="3227">
        <v>8.3041024542167925E-4</v>
      </c>
      <c r="K74" s="3227">
        <v>0.6943185997123652</v>
      </c>
      <c r="L74" s="3227">
        <v>8.1410366057962369E-2</v>
      </c>
      <c r="M74" s="3497">
        <v>-3.0884709149379741E-2</v>
      </c>
    </row>
    <row r="75" spans="2:13" ht="18" customHeight="1" x14ac:dyDescent="0.2">
      <c r="B75" s="2616" t="s">
        <v>576</v>
      </c>
      <c r="C75" s="2618" t="s">
        <v>576</v>
      </c>
      <c r="D75" s="3227">
        <v>1.1922074375759881</v>
      </c>
      <c r="E75" s="3227">
        <v>33.370769487956387</v>
      </c>
      <c r="F75" s="3227">
        <v>0.60402205626008887</v>
      </c>
      <c r="G75" s="3103">
        <f t="shared" si="38"/>
        <v>3.5000000000000005E-3</v>
      </c>
      <c r="H75" s="3103">
        <f t="shared" si="39"/>
        <v>0.10454896814195755</v>
      </c>
      <c r="I75" s="3103">
        <f t="shared" si="3"/>
        <v>0.4203260859289929</v>
      </c>
      <c r="J75" s="3227">
        <v>4.172726031515959E-3</v>
      </c>
      <c r="K75" s="3227">
        <v>3.4888795160689612</v>
      </c>
      <c r="L75" s="3227">
        <v>0.40907871206815605</v>
      </c>
      <c r="M75" s="3497">
        <v>-0.15519248534557098</v>
      </c>
    </row>
    <row r="76" spans="2:13" ht="18" customHeight="1" x14ac:dyDescent="0.2">
      <c r="B76" s="2616" t="s">
        <v>577</v>
      </c>
      <c r="C76" s="2618" t="s">
        <v>577</v>
      </c>
      <c r="D76" s="3227">
        <v>2.0508414714558567</v>
      </c>
      <c r="E76" s="3227">
        <v>57.404572260884429</v>
      </c>
      <c r="F76" s="3227">
        <v>1.0390419012742302</v>
      </c>
      <c r="G76" s="3103">
        <f t="shared" si="38"/>
        <v>3.5000000000000005E-3</v>
      </c>
      <c r="H76" s="3103">
        <f t="shared" si="39"/>
        <v>0.10454896814195755</v>
      </c>
      <c r="I76" s="3103">
        <f t="shared" si="3"/>
        <v>0.42032608592899506</v>
      </c>
      <c r="J76" s="3227">
        <v>7.1779451500954992E-3</v>
      </c>
      <c r="K76" s="3227">
        <v>6.0015887965059065</v>
      </c>
      <c r="L76" s="3227">
        <v>0.70369934069938544</v>
      </c>
      <c r="M76" s="3497">
        <v>-0.26696292522056692</v>
      </c>
    </row>
    <row r="77" spans="2:13" ht="18" customHeight="1" x14ac:dyDescent="0.2">
      <c r="B77" s="104" t="s">
        <v>673</v>
      </c>
      <c r="C77" s="2508"/>
      <c r="D77" s="2108"/>
      <c r="E77" s="2108"/>
      <c r="F77" s="2108"/>
      <c r="G77" s="2108"/>
      <c r="H77" s="2108"/>
      <c r="I77" s="2108"/>
      <c r="J77" s="3103">
        <f>IF(SUM(J78:J89)=0,"NO",SUM(J78:J89))</f>
        <v>1.2924611670298198</v>
      </c>
      <c r="K77" s="3103">
        <f>IF(SUM(K78:K89)=0,"NO",SUM(K78:K89))</f>
        <v>294.54336795627694</v>
      </c>
      <c r="L77" s="3103">
        <f>IF(SUM(L78:L89)=0,"NO",SUM(L78:L89))</f>
        <v>271.33430595211183</v>
      </c>
      <c r="M77" s="3226">
        <f>IF(SUM(M78:M89)=0,"NO",SUM(M78:M89))</f>
        <v>-111.43178710753179</v>
      </c>
    </row>
    <row r="78" spans="2:13" ht="18" customHeight="1" x14ac:dyDescent="0.2">
      <c r="B78" s="2616" t="s">
        <v>559</v>
      </c>
      <c r="C78" s="2618" t="s">
        <v>559</v>
      </c>
      <c r="D78" s="3227">
        <v>2.5217999719039992</v>
      </c>
      <c r="E78" s="3227">
        <v>126.14647631078743</v>
      </c>
      <c r="F78" s="3227">
        <v>3.5481599926620908</v>
      </c>
      <c r="G78" s="3103">
        <f>IF(SUM(D78)=0,"NA",J78/D78)</f>
        <v>8.695144333250469E-3</v>
      </c>
      <c r="H78" s="3103">
        <f>IF(SUM(E78)=0,"NA",K78/E78)</f>
        <v>3.9613576323457279E-2</v>
      </c>
      <c r="I78" s="3103">
        <f t="shared" si="3"/>
        <v>0.76457842340067061</v>
      </c>
      <c r="J78" s="3227">
        <v>2.192741473529225E-2</v>
      </c>
      <c r="K78" s="3227">
        <v>4.9971130672725739</v>
      </c>
      <c r="L78" s="3227">
        <v>3.125333154317917</v>
      </c>
      <c r="M78" s="3497">
        <v>-0.41248658115500031</v>
      </c>
    </row>
    <row r="79" spans="2:13" ht="18" customHeight="1" x14ac:dyDescent="0.2">
      <c r="B79" s="2616" t="s">
        <v>560</v>
      </c>
      <c r="C79" s="2618" t="s">
        <v>560</v>
      </c>
      <c r="D79" s="3227">
        <v>5.8726426255111193</v>
      </c>
      <c r="E79" s="3227">
        <v>293.76365377680338</v>
      </c>
      <c r="F79" s="3227">
        <v>8.2627789068092881</v>
      </c>
      <c r="G79" s="3103">
        <f t="shared" ref="G79:G89" si="40">IF(SUM(D79)=0,"NA",J79/D79)</f>
        <v>8.695144333250469E-3</v>
      </c>
      <c r="H79" s="3103">
        <f t="shared" ref="H79:H89" si="41">IF(SUM(E79)=0,"NA",K79/E79)</f>
        <v>3.9613576323457293E-2</v>
      </c>
      <c r="I79" s="3103">
        <f t="shared" ref="I79:I89" si="42">IF(SUM(F79)=0,"NA",(SUM(L79:M79))/F79)</f>
        <v>0.76457842340066906</v>
      </c>
      <c r="J79" s="3227">
        <v>5.1063475246418168E-2</v>
      </c>
      <c r="K79" s="3227">
        <v>11.637028919945084</v>
      </c>
      <c r="L79" s="3227">
        <v>83.735963089316215</v>
      </c>
      <c r="M79" s="3497">
        <v>-77.418420619839665</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26.029671671702918</v>
      </c>
      <c r="E81" s="3227">
        <v>1302.066538779804</v>
      </c>
      <c r="F81" s="3227">
        <v>36.623618318916357</v>
      </c>
      <c r="G81" s="3103">
        <f t="shared" si="40"/>
        <v>8.695144333250469E-3</v>
      </c>
      <c r="H81" s="3103">
        <f t="shared" si="41"/>
        <v>3.9613576323457279E-2</v>
      </c>
      <c r="I81" s="3103">
        <f t="shared" si="42"/>
        <v>0.76457842340067039</v>
      </c>
      <c r="J81" s="3227">
        <v>0.22633175213257789</v>
      </c>
      <c r="K81" s="3227">
        <v>51.579512212173611</v>
      </c>
      <c r="L81" s="3227">
        <v>32.259257981576305</v>
      </c>
      <c r="M81" s="3497">
        <v>-4.2576296280713235</v>
      </c>
    </row>
    <row r="82" spans="2:13" ht="18" customHeight="1" x14ac:dyDescent="0.2">
      <c r="B82" s="2616" t="s">
        <v>564</v>
      </c>
      <c r="C82" s="2618" t="s">
        <v>564</v>
      </c>
      <c r="D82" s="3227">
        <v>5.1527904421007437E-2</v>
      </c>
      <c r="E82" s="3227">
        <v>2.5775492294424458</v>
      </c>
      <c r="F82" s="3227">
        <v>7.2499504722531846E-2</v>
      </c>
      <c r="G82" s="3103">
        <f t="shared" si="40"/>
        <v>8.6951443332504673E-3</v>
      </c>
      <c r="H82" s="3103">
        <f t="shared" si="41"/>
        <v>3.9613576323457279E-2</v>
      </c>
      <c r="I82" s="3103">
        <f t="shared" si="42"/>
        <v>0.76457842340067028</v>
      </c>
      <c r="J82" s="3227">
        <v>4.480425661305945E-4</v>
      </c>
      <c r="K82" s="3227">
        <v>0.10210594312798683</v>
      </c>
      <c r="L82" s="3227">
        <v>0.10236973086989488</v>
      </c>
      <c r="M82" s="3497">
        <v>-4.6938173851812037E-2</v>
      </c>
    </row>
    <row r="83" spans="2:13" ht="18" customHeight="1" x14ac:dyDescent="0.2">
      <c r="B83" s="2616" t="s">
        <v>565</v>
      </c>
      <c r="C83" s="2618" t="s">
        <v>565</v>
      </c>
      <c r="D83" s="3227">
        <v>83.773409242197886</v>
      </c>
      <c r="E83" s="3227">
        <v>4190.5466342225473</v>
      </c>
      <c r="F83" s="3227">
        <v>117.86876930514561</v>
      </c>
      <c r="G83" s="3103">
        <f t="shared" si="40"/>
        <v>8.695144333250469E-3</v>
      </c>
      <c r="H83" s="3103">
        <f t="shared" si="41"/>
        <v>3.9613576323457279E-2</v>
      </c>
      <c r="I83" s="3103">
        <f t="shared" si="42"/>
        <v>0.76457842340067061</v>
      </c>
      <c r="J83" s="3227">
        <v>0.72842188464936941</v>
      </c>
      <c r="K83" s="3227">
        <v>166.00253893178188</v>
      </c>
      <c r="L83" s="3227">
        <v>108.92259349349024</v>
      </c>
      <c r="M83" s="3497">
        <v>-18.802675689984653</v>
      </c>
    </row>
    <row r="84" spans="2:13" ht="18" customHeight="1" x14ac:dyDescent="0.2">
      <c r="B84" s="2616" t="s">
        <v>567</v>
      </c>
      <c r="C84" s="2618" t="s">
        <v>567</v>
      </c>
      <c r="D84" s="3227">
        <v>22.900582426951559</v>
      </c>
      <c r="E84" s="3227">
        <v>1145.5419981004954</v>
      </c>
      <c r="F84" s="3227">
        <v>32.221005345884471</v>
      </c>
      <c r="G84" s="3103">
        <f t="shared" si="40"/>
        <v>8.695144333250469E-3</v>
      </c>
      <c r="H84" s="3103">
        <f t="shared" si="41"/>
        <v>3.9613576323457279E-2</v>
      </c>
      <c r="I84" s="3103">
        <f t="shared" si="42"/>
        <v>0.76457842340067006</v>
      </c>
      <c r="J84" s="3227">
        <v>0.19912386951784311</v>
      </c>
      <c r="K84" s="3227">
        <v>45.379015373479731</v>
      </c>
      <c r="L84" s="3227">
        <v>33.721486432125445</v>
      </c>
      <c r="M84" s="3497">
        <v>-9.0860009643845352</v>
      </c>
    </row>
    <row r="85" spans="2:13" ht="18" customHeight="1" x14ac:dyDescent="0.2">
      <c r="B85" s="2616" t="s">
        <v>569</v>
      </c>
      <c r="C85" s="2618" t="s">
        <v>569</v>
      </c>
      <c r="D85" s="3227" t="s">
        <v>2146</v>
      </c>
      <c r="E85" s="3227">
        <v>106.4114472938769</v>
      </c>
      <c r="F85" s="3227">
        <v>3.0724173360549698</v>
      </c>
      <c r="G85" s="3103" t="str">
        <f t="shared" si="40"/>
        <v>NA</v>
      </c>
      <c r="H85" s="3103">
        <f t="shared" si="41"/>
        <v>4.1173470619227284E-2</v>
      </c>
      <c r="I85" s="3103">
        <f t="shared" si="42"/>
        <v>0.77416168974247324</v>
      </c>
      <c r="J85" s="3227">
        <v>1.9225342309057012E-2</v>
      </c>
      <c r="K85" s="3227">
        <v>4.3813285987038935</v>
      </c>
      <c r="L85" s="3227">
        <v>2.7650288290967149</v>
      </c>
      <c r="M85" s="3497">
        <v>-0.38648103262233113</v>
      </c>
    </row>
    <row r="86" spans="2:13" ht="18" customHeight="1" x14ac:dyDescent="0.2">
      <c r="B86" s="2616" t="s">
        <v>571</v>
      </c>
      <c r="C86" s="2618" t="s">
        <v>571</v>
      </c>
      <c r="D86" s="3227">
        <v>1.1203062146140781</v>
      </c>
      <c r="E86" s="3227">
        <v>56.040400879194983</v>
      </c>
      <c r="F86" s="3227">
        <v>1.5762652607308798</v>
      </c>
      <c r="G86" s="3103">
        <f t="shared" si="40"/>
        <v>8.6951443332504673E-3</v>
      </c>
      <c r="H86" s="3103">
        <f t="shared" si="41"/>
        <v>3.9613576323457286E-2</v>
      </c>
      <c r="I86" s="3103">
        <f t="shared" si="42"/>
        <v>0.76457842340067028</v>
      </c>
      <c r="J86" s="3227">
        <v>9.7412242335068837E-3</v>
      </c>
      <c r="K86" s="3227">
        <v>2.2199606974251331</v>
      </c>
      <c r="L86" s="3227">
        <v>1.4054131608892013</v>
      </c>
      <c r="M86" s="3497">
        <v>-0.20023475297833881</v>
      </c>
    </row>
    <row r="87" spans="2:13" ht="18" customHeight="1" x14ac:dyDescent="0.2">
      <c r="B87" s="2616" t="s">
        <v>574</v>
      </c>
      <c r="C87" s="2618" t="s">
        <v>574</v>
      </c>
      <c r="D87" s="3227">
        <v>0.28364592709204278</v>
      </c>
      <c r="E87" s="3227">
        <v>14.188648830681265</v>
      </c>
      <c r="F87" s="3227">
        <v>0.39908840582215982</v>
      </c>
      <c r="G87" s="3103">
        <f t="shared" si="40"/>
        <v>8.6951443332504708E-3</v>
      </c>
      <c r="H87" s="3103">
        <f t="shared" si="41"/>
        <v>3.9613576323457286E-2</v>
      </c>
      <c r="I87" s="3103">
        <f t="shared" si="42"/>
        <v>0.76457842340067017</v>
      </c>
      <c r="J87" s="3227">
        <v>2.4663422756039518E-3</v>
      </c>
      <c r="K87" s="3227">
        <v>0.56206312338092523</v>
      </c>
      <c r="L87" s="3227">
        <v>0.44918266294274511</v>
      </c>
      <c r="M87" s="3497">
        <v>-0.14404827882175128</v>
      </c>
    </row>
    <row r="88" spans="2:13" ht="18" customHeight="1" x14ac:dyDescent="0.2">
      <c r="B88" s="2616" t="s">
        <v>576</v>
      </c>
      <c r="C88" s="2618" t="s">
        <v>576</v>
      </c>
      <c r="D88" s="3227" t="s">
        <v>2146</v>
      </c>
      <c r="E88" s="3227">
        <v>68.595367709260728</v>
      </c>
      <c r="F88" s="3227">
        <v>1.9805538058415739</v>
      </c>
      <c r="G88" s="3103" t="str">
        <f t="shared" si="40"/>
        <v>NA</v>
      </c>
      <c r="H88" s="3103">
        <f t="shared" si="41"/>
        <v>4.1173470619227277E-2</v>
      </c>
      <c r="I88" s="3103">
        <f t="shared" si="42"/>
        <v>0.77416168974247346</v>
      </c>
      <c r="J88" s="3227">
        <v>1.2393116140823862E-2</v>
      </c>
      <c r="K88" s="3227">
        <v>2.8243093569923383</v>
      </c>
      <c r="L88" s="3227">
        <v>1.8091044349966849</v>
      </c>
      <c r="M88" s="3497">
        <v>-0.27583555404048526</v>
      </c>
    </row>
    <row r="89" spans="2:13" ht="18" customHeight="1" x14ac:dyDescent="0.2">
      <c r="B89" s="2616" t="s">
        <v>577</v>
      </c>
      <c r="C89" s="2618" t="s">
        <v>577</v>
      </c>
      <c r="D89" s="3227" t="s">
        <v>2146</v>
      </c>
      <c r="E89" s="3227">
        <v>117.9981104076524</v>
      </c>
      <c r="F89" s="3227">
        <v>3.4069590185816478</v>
      </c>
      <c r="G89" s="3103" t="str">
        <f t="shared" si="40"/>
        <v>NA</v>
      </c>
      <c r="H89" s="3103">
        <f t="shared" si="41"/>
        <v>4.1173470619227291E-2</v>
      </c>
      <c r="I89" s="3103">
        <f t="shared" si="42"/>
        <v>0.77416168974247312</v>
      </c>
      <c r="J89" s="3227">
        <v>2.13187032231969E-2</v>
      </c>
      <c r="K89" s="3227">
        <v>4.8583917319938141</v>
      </c>
      <c r="L89" s="3227">
        <v>3.0385729824904244</v>
      </c>
      <c r="M89" s="3497">
        <v>-0.401035831781898</v>
      </c>
    </row>
    <row r="90" spans="2:13" ht="18" customHeight="1" x14ac:dyDescent="0.2">
      <c r="B90" s="88" t="s">
        <v>475</v>
      </c>
      <c r="C90" s="2508" t="s">
        <v>623</v>
      </c>
      <c r="D90" s="2108"/>
      <c r="E90" s="2108"/>
      <c r="F90" s="2108"/>
      <c r="G90" s="2108"/>
      <c r="H90" s="2108"/>
      <c r="I90" s="2108"/>
      <c r="J90" s="3103">
        <f>IF(SUM(J91,J104)=0,"NO",SUM(J91,J104))</f>
        <v>21.966899757766129</v>
      </c>
      <c r="K90" s="3103">
        <f t="shared" ref="K90:M90" si="43">IF(SUM(K91,K104)=0,"NO",SUM(K91,K104))</f>
        <v>2.3248119677221748</v>
      </c>
      <c r="L90" s="3103">
        <f t="shared" si="43"/>
        <v>1.2545288925899183</v>
      </c>
      <c r="M90" s="3226" t="str">
        <f t="shared" si="43"/>
        <v>NO</v>
      </c>
    </row>
    <row r="91" spans="2:13" ht="18" customHeight="1" x14ac:dyDescent="0.2">
      <c r="B91" s="104" t="s">
        <v>674</v>
      </c>
      <c r="C91" s="2508"/>
      <c r="D91" s="2108"/>
      <c r="E91" s="2108"/>
      <c r="F91" s="2108"/>
      <c r="G91" s="2108"/>
      <c r="H91" s="2108"/>
      <c r="I91" s="2108"/>
      <c r="J91" s="3103">
        <f>IF(SUM(J92:J103)=0,"NO",SUM(J92:J103))</f>
        <v>21.966899757766129</v>
      </c>
      <c r="K91" s="3103">
        <f>IF(SUM(K92:K103)=0,"NO",SUM(K92:K103))</f>
        <v>2.3248119677221748</v>
      </c>
      <c r="L91" s="3103">
        <f>IF(SUM(L92:L103)=0,"NO",SUM(L92:L103))</f>
        <v>1.2545288925899183</v>
      </c>
      <c r="M91" s="3226" t="str">
        <f>IF(SUM(M92:M103)=0,"NO",SUM(M92:M103))</f>
        <v>NO</v>
      </c>
    </row>
    <row r="92" spans="2:13" ht="18" customHeight="1" x14ac:dyDescent="0.2">
      <c r="B92" s="2616" t="s">
        <v>559</v>
      </c>
      <c r="C92" s="2618" t="s">
        <v>559</v>
      </c>
      <c r="D92" s="3227">
        <v>0.62113706485544695</v>
      </c>
      <c r="E92" s="3227">
        <v>1.6301335911992403</v>
      </c>
      <c r="F92" s="3227">
        <v>2.1283869896411008E-2</v>
      </c>
      <c r="G92" s="3103">
        <f>IF(SUM(D92)=0,"NA",J92/D92)</f>
        <v>0.6</v>
      </c>
      <c r="H92" s="3103">
        <f>IF(SUM(E92)=0,"NA",K92/E92)</f>
        <v>2.4195497900222341E-2</v>
      </c>
      <c r="I92" s="3103">
        <f t="shared" ref="I92:I103" si="44">IF(SUM(F92)=0,"NA",(SUM(L92:M92))/F92)</f>
        <v>0.99999999999999489</v>
      </c>
      <c r="J92" s="3227">
        <v>0.37268223891326813</v>
      </c>
      <c r="K92" s="3227">
        <v>3.944189388294312E-2</v>
      </c>
      <c r="L92" s="3227">
        <v>2.1283869896410901E-2</v>
      </c>
      <c r="M92" s="3497" t="s">
        <v>2146</v>
      </c>
    </row>
    <row r="93" spans="2:13" ht="18" customHeight="1" x14ac:dyDescent="0.2">
      <c r="B93" s="2616" t="s">
        <v>560</v>
      </c>
      <c r="C93" s="2618" t="s">
        <v>560</v>
      </c>
      <c r="D93" s="3227">
        <v>1.4464731715421817</v>
      </c>
      <c r="E93" s="3227">
        <v>3.796174208744346</v>
      </c>
      <c r="F93" s="3227">
        <v>4.9564819962752575E-2</v>
      </c>
      <c r="G93" s="3103">
        <f t="shared" ref="G93:G103" si="45">IF(SUM(D93)=0,"NA",J93/D93)</f>
        <v>0.6</v>
      </c>
      <c r="H93" s="3103">
        <f t="shared" ref="H93:H103" si="46">IF(SUM(E93)=0,"NA",K93/E93)</f>
        <v>2.4195497900222337E-2</v>
      </c>
      <c r="I93" s="3103">
        <f t="shared" si="44"/>
        <v>0.99999999999999234</v>
      </c>
      <c r="J93" s="3227">
        <v>0.86788390292530893</v>
      </c>
      <c r="K93" s="3227">
        <v>9.1850325096552013E-2</v>
      </c>
      <c r="L93" s="3227">
        <v>4.9564819962752193E-2</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6.4112911576826734</v>
      </c>
      <c r="E95" s="3227">
        <v>16.826014209165645</v>
      </c>
      <c r="F95" s="3227">
        <v>0.21968917102038518</v>
      </c>
      <c r="G95" s="3103">
        <f t="shared" si="45"/>
        <v>0.6</v>
      </c>
      <c r="H95" s="3103">
        <f t="shared" si="46"/>
        <v>2.4195497900222337E-2</v>
      </c>
      <c r="I95" s="3103">
        <f t="shared" si="44"/>
        <v>0.99999999999999611</v>
      </c>
      <c r="J95" s="3227">
        <v>3.846774694609604</v>
      </c>
      <c r="K95" s="3227">
        <v>0.40711379146697857</v>
      </c>
      <c r="L95" s="3227">
        <v>0.21968917102038432</v>
      </c>
      <c r="M95" s="3497" t="s">
        <v>2146</v>
      </c>
    </row>
    <row r="96" spans="2:13" ht="18" customHeight="1" x14ac:dyDescent="0.2">
      <c r="B96" s="2616" t="s">
        <v>564</v>
      </c>
      <c r="C96" s="2618" t="s">
        <v>564</v>
      </c>
      <c r="D96" s="3227">
        <v>1.2691685172020841E-2</v>
      </c>
      <c r="E96" s="3227">
        <v>3.3308497429067982E-2</v>
      </c>
      <c r="F96" s="3227">
        <v>4.3489302321761381E-4</v>
      </c>
      <c r="G96" s="3103">
        <f t="shared" si="45"/>
        <v>0.6</v>
      </c>
      <c r="H96" s="3103">
        <f t="shared" si="46"/>
        <v>2.4195497900222341E-2</v>
      </c>
      <c r="I96" s="3103">
        <f t="shared" si="44"/>
        <v>0.99999999999999656</v>
      </c>
      <c r="J96" s="3227">
        <v>7.615011103212505E-3</v>
      </c>
      <c r="K96" s="3227">
        <v>8.0591567960457556E-4</v>
      </c>
      <c r="L96" s="3227">
        <v>4.3489302321761229E-4</v>
      </c>
      <c r="M96" s="3497" t="s">
        <v>2146</v>
      </c>
    </row>
    <row r="97" spans="2:13" ht="18" customHeight="1" x14ac:dyDescent="0.2">
      <c r="B97" s="2616" t="s">
        <v>565</v>
      </c>
      <c r="C97" s="2618" t="s">
        <v>565</v>
      </c>
      <c r="D97" s="3227">
        <v>20.633979740409735</v>
      </c>
      <c r="E97" s="3227">
        <v>54.152529929596795</v>
      </c>
      <c r="F97" s="3227">
        <v>0.7070435256383657</v>
      </c>
      <c r="G97" s="3103">
        <f t="shared" si="45"/>
        <v>0.60000000000000009</v>
      </c>
      <c r="H97" s="3103">
        <f t="shared" si="46"/>
        <v>2.4195497900222341E-2</v>
      </c>
      <c r="I97" s="3103">
        <f t="shared" si="44"/>
        <v>0.99999999999999201</v>
      </c>
      <c r="J97" s="3227">
        <v>12.380387844245842</v>
      </c>
      <c r="K97" s="3227">
        <v>1.3102474242032867</v>
      </c>
      <c r="L97" s="3227">
        <v>0.70704352563836004</v>
      </c>
      <c r="M97" s="3497" t="s">
        <v>2146</v>
      </c>
    </row>
    <row r="98" spans="2:13" ht="18" customHeight="1" x14ac:dyDescent="0.2">
      <c r="B98" s="2616" t="s">
        <v>567</v>
      </c>
      <c r="C98" s="2618" t="s">
        <v>567</v>
      </c>
      <c r="D98" s="3227">
        <v>5.6405744748332554</v>
      </c>
      <c r="E98" s="3227">
        <v>14.803318696214934</v>
      </c>
      <c r="F98" s="3227">
        <v>0.19327980900851097</v>
      </c>
      <c r="G98" s="3103">
        <f t="shared" si="45"/>
        <v>0.6</v>
      </c>
      <c r="H98" s="3103">
        <f t="shared" si="46"/>
        <v>2.4195497900222337E-2</v>
      </c>
      <c r="I98" s="3103">
        <f t="shared" si="44"/>
        <v>0.99999999999999467</v>
      </c>
      <c r="J98" s="3227">
        <v>3.3843446848999532</v>
      </c>
      <c r="K98" s="3227">
        <v>0.35817366643059051</v>
      </c>
      <c r="L98" s="3227">
        <v>0.19327980900850994</v>
      </c>
      <c r="M98" s="3497" t="s">
        <v>2146</v>
      </c>
    </row>
    <row r="99" spans="2:13" ht="18" customHeight="1" x14ac:dyDescent="0.2">
      <c r="B99" s="2616" t="s">
        <v>569</v>
      </c>
      <c r="C99" s="2618" t="s">
        <v>569</v>
      </c>
      <c r="D99" s="3227">
        <v>0.54459555934192783</v>
      </c>
      <c r="E99" s="3227">
        <v>1.4292554174138989</v>
      </c>
      <c r="F99" s="3227">
        <v>1.8661100241851278E-2</v>
      </c>
      <c r="G99" s="3103">
        <f t="shared" si="45"/>
        <v>0.6</v>
      </c>
      <c r="H99" s="3103">
        <f t="shared" si="46"/>
        <v>2.4195497900222341E-2</v>
      </c>
      <c r="I99" s="3103">
        <f t="shared" si="44"/>
        <v>0.99999999999999534</v>
      </c>
      <c r="J99" s="3227">
        <v>0.32675733560515668</v>
      </c>
      <c r="K99" s="3227">
        <v>3.4581546450919397E-2</v>
      </c>
      <c r="L99" s="3227">
        <v>1.8661100241851192E-2</v>
      </c>
      <c r="M99" s="3497" t="s">
        <v>2146</v>
      </c>
    </row>
    <row r="100" spans="2:13" ht="18" customHeight="1" x14ac:dyDescent="0.2">
      <c r="B100" s="2616" t="s">
        <v>571</v>
      </c>
      <c r="C100" s="2618" t="s">
        <v>571</v>
      </c>
      <c r="D100" s="3227">
        <v>0.27593929797664191</v>
      </c>
      <c r="E100" s="3227">
        <v>0.72418463526781107</v>
      </c>
      <c r="F100" s="3227">
        <v>9.4553303123339344E-3</v>
      </c>
      <c r="G100" s="3103">
        <f t="shared" si="45"/>
        <v>0.6</v>
      </c>
      <c r="H100" s="3103">
        <f t="shared" si="46"/>
        <v>2.4195497900222344E-2</v>
      </c>
      <c r="I100" s="3103">
        <f t="shared" si="44"/>
        <v>0.99999999999999267</v>
      </c>
      <c r="J100" s="3227">
        <v>0.16556357878598513</v>
      </c>
      <c r="K100" s="3227">
        <v>1.7522007821995606E-2</v>
      </c>
      <c r="L100" s="3227">
        <v>9.455330312333865E-3</v>
      </c>
      <c r="M100" s="3497" t="s">
        <v>2146</v>
      </c>
    </row>
    <row r="101" spans="2:13" ht="18" customHeight="1" x14ac:dyDescent="0.2">
      <c r="B101" s="2616" t="s">
        <v>574</v>
      </c>
      <c r="C101" s="2618" t="s">
        <v>574</v>
      </c>
      <c r="D101" s="3227">
        <v>6.9863986269748671E-2</v>
      </c>
      <c r="E101" s="3227">
        <v>0.18335346138119149</v>
      </c>
      <c r="F101" s="3227">
        <v>2.3939579174139768E-3</v>
      </c>
      <c r="G101" s="3103">
        <f t="shared" si="45"/>
        <v>0.59999999999999987</v>
      </c>
      <c r="H101" s="3103">
        <f t="shared" si="46"/>
        <v>2.4195497900222341E-2</v>
      </c>
      <c r="I101" s="3103">
        <f t="shared" si="44"/>
        <v>0.99999999999999567</v>
      </c>
      <c r="J101" s="3227">
        <v>4.1918391761849194E-2</v>
      </c>
      <c r="K101" s="3227">
        <v>4.4363282898471166E-3</v>
      </c>
      <c r="L101" s="3227">
        <v>2.3939579174139664E-3</v>
      </c>
      <c r="M101" s="3497" t="s">
        <v>2146</v>
      </c>
    </row>
    <row r="102" spans="2:13" ht="18" customHeight="1" x14ac:dyDescent="0.2">
      <c r="B102" s="2616" t="s">
        <v>576</v>
      </c>
      <c r="C102" s="2618" t="s">
        <v>576</v>
      </c>
      <c r="D102" s="3227">
        <v>0.35105934178981546</v>
      </c>
      <c r="E102" s="3227">
        <v>0.92133227581428401</v>
      </c>
      <c r="F102" s="3227">
        <v>1.2029392189488806E-2</v>
      </c>
      <c r="G102" s="3103">
        <f t="shared" si="45"/>
        <v>0.6</v>
      </c>
      <c r="H102" s="3103">
        <f t="shared" si="46"/>
        <v>2.4195497900222341E-2</v>
      </c>
      <c r="I102" s="3103">
        <f t="shared" si="44"/>
        <v>0.999999999999996</v>
      </c>
      <c r="J102" s="3227">
        <v>0.21063560507388926</v>
      </c>
      <c r="K102" s="3227">
        <v>2.2292093144871579E-2</v>
      </c>
      <c r="L102" s="3227">
        <v>1.2029392189488758E-2</v>
      </c>
      <c r="M102" s="3497" t="s">
        <v>2146</v>
      </c>
    </row>
    <row r="103" spans="2:13" ht="18" customHeight="1" x14ac:dyDescent="0.2">
      <c r="B103" s="2616" t="s">
        <v>577</v>
      </c>
      <c r="C103" s="2618" t="s">
        <v>577</v>
      </c>
      <c r="D103" s="3227">
        <v>0.6038941164034306</v>
      </c>
      <c r="E103" s="3227">
        <v>1.5848806010407959</v>
      </c>
      <c r="F103" s="3227">
        <v>2.069302337919561E-2</v>
      </c>
      <c r="G103" s="3103">
        <f t="shared" si="45"/>
        <v>0.6</v>
      </c>
      <c r="H103" s="3103">
        <f t="shared" si="46"/>
        <v>2.4195497900222341E-2</v>
      </c>
      <c r="I103" s="3103">
        <f t="shared" si="44"/>
        <v>0.99999999999999667</v>
      </c>
      <c r="J103" s="3227">
        <v>0.36233646984205836</v>
      </c>
      <c r="K103" s="3227">
        <v>3.8346975254585698E-2</v>
      </c>
      <c r="L103" s="3227">
        <v>2.0693023379195541E-2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0.12481098697789146</v>
      </c>
      <c r="K117" s="3103">
        <f>IF(SUM(K118:K129)=0,"NO",SUM(K118:K129))</f>
        <v>11.3911780072595</v>
      </c>
      <c r="L117" s="3103">
        <f>IF(SUM(L118:L129)=0,"NO",SUM(L118:L129))</f>
        <v>8.8038429386705719</v>
      </c>
      <c r="M117" s="3226">
        <f>IF(SUM(M118:M129)=0,"NO",SUM(M118:M129))</f>
        <v>-5.2546393061150347</v>
      </c>
    </row>
    <row r="118" spans="2:13" ht="18" customHeight="1" x14ac:dyDescent="0.2">
      <c r="B118" s="2616" t="s">
        <v>559</v>
      </c>
      <c r="C118" s="2618" t="s">
        <v>559</v>
      </c>
      <c r="D118" s="3227">
        <v>0.60499906132570591</v>
      </c>
      <c r="E118" s="3227">
        <v>4.03219968419371</v>
      </c>
      <c r="F118" s="3227">
        <v>0.23851097316801939</v>
      </c>
      <c r="G118" s="3103">
        <f>IF(SUM(D118)=0,"NA",J118/D118)</f>
        <v>3.5000000000000001E-3</v>
      </c>
      <c r="H118" s="3103">
        <f>IF(SUM(E118)=0,"NA",K118/E118)</f>
        <v>4.7928797714795426E-2</v>
      </c>
      <c r="I118" s="3103">
        <f t="shared" ref="I118:I129" si="72">IF(SUM(F118)=0,"NA",(SUM(L118:M118))/F118)</f>
        <v>0.25245994345313921</v>
      </c>
      <c r="J118" s="3227">
        <v>2.1174967146399709E-3</v>
      </c>
      <c r="K118" s="3227">
        <v>0.19325848300938234</v>
      </c>
      <c r="L118" s="3227">
        <v>0.14936271998348538</v>
      </c>
      <c r="M118" s="3497">
        <v>-8.9148253184533996E-2</v>
      </c>
    </row>
    <row r="119" spans="2:13" ht="18" customHeight="1" x14ac:dyDescent="0.2">
      <c r="B119" s="2616" t="s">
        <v>560</v>
      </c>
      <c r="C119" s="2618" t="s">
        <v>560</v>
      </c>
      <c r="D119" s="3227">
        <v>1.4088917898008491</v>
      </c>
      <c r="E119" s="3227">
        <v>9.3899865190695255</v>
      </c>
      <c r="F119" s="3227">
        <v>0.55543251775877622</v>
      </c>
      <c r="G119" s="3103">
        <f t="shared" ref="G119:G129" si="73">IF(SUM(D119)=0,"NA",J119/D119)</f>
        <v>3.5000000000000001E-3</v>
      </c>
      <c r="H119" s="3103">
        <f t="shared" ref="H119:H129" si="74">IF(SUM(E119)=0,"NA",K119/E119)</f>
        <v>4.7928797714795413E-2</v>
      </c>
      <c r="I119" s="3103">
        <f t="shared" si="72"/>
        <v>0.25245994345313938</v>
      </c>
      <c r="J119" s="3227">
        <v>4.931121264302972E-3</v>
      </c>
      <c r="K119" s="3227">
        <v>0.4500507644171392</v>
      </c>
      <c r="L119" s="3227">
        <v>0.34782848989209592</v>
      </c>
      <c r="M119" s="3497">
        <v>-0.20760402786668045</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6.2447169099247182</v>
      </c>
      <c r="E121" s="3227">
        <v>41.619809288467231</v>
      </c>
      <c r="F121" s="3227">
        <v>2.4618773855304936</v>
      </c>
      <c r="G121" s="3103">
        <f t="shared" si="73"/>
        <v>3.5000000000000005E-3</v>
      </c>
      <c r="H121" s="3103">
        <f t="shared" si="74"/>
        <v>4.7928797714795426E-2</v>
      </c>
      <c r="I121" s="3103">
        <f t="shared" si="72"/>
        <v>0.25245994345313916</v>
      </c>
      <c r="J121" s="3227">
        <v>2.1856509184736517E-2</v>
      </c>
      <c r="K121" s="3227">
        <v>1.9947874203153098</v>
      </c>
      <c r="L121" s="3227">
        <v>1.5417014055350418</v>
      </c>
      <c r="M121" s="3497">
        <v>-0.92017597999545131</v>
      </c>
    </row>
    <row r="122" spans="2:13" ht="18" customHeight="1" x14ac:dyDescent="0.2">
      <c r="B122" s="2616" t="s">
        <v>564</v>
      </c>
      <c r="C122" s="2618" t="s">
        <v>564</v>
      </c>
      <c r="D122" s="3227">
        <v>1.2361937566068362E-2</v>
      </c>
      <c r="E122" s="3227">
        <v>8.2389881135845833E-2</v>
      </c>
      <c r="F122" s="3227">
        <v>4.8734914607378825E-3</v>
      </c>
      <c r="G122" s="3103">
        <f t="shared" si="73"/>
        <v>3.5000000000000005E-3</v>
      </c>
      <c r="H122" s="3103">
        <f t="shared" si="74"/>
        <v>4.7928797714795433E-2</v>
      </c>
      <c r="I122" s="3103">
        <f t="shared" si="72"/>
        <v>0.25245994345313932</v>
      </c>
      <c r="J122" s="3227">
        <v>4.3266781481239274E-5</v>
      </c>
      <c r="K122" s="3227">
        <v>3.948847946705995E-3</v>
      </c>
      <c r="L122" s="3227">
        <v>3.0519264196675628E-3</v>
      </c>
      <c r="M122" s="3497">
        <v>-1.8215650410703197E-3</v>
      </c>
    </row>
    <row r="123" spans="2:13" ht="18" customHeight="1" x14ac:dyDescent="0.2">
      <c r="B123" s="2616" t="s">
        <v>565</v>
      </c>
      <c r="C123" s="2618" t="s">
        <v>565</v>
      </c>
      <c r="D123" s="3227">
        <v>20.097880291955747</v>
      </c>
      <c r="E123" s="3227">
        <v>133.94841702499627</v>
      </c>
      <c r="F123" s="3227">
        <v>7.9232602056353763</v>
      </c>
      <c r="G123" s="3103">
        <f t="shared" si="73"/>
        <v>3.4999999999999996E-3</v>
      </c>
      <c r="H123" s="3103">
        <f t="shared" si="74"/>
        <v>4.7928797714795419E-2</v>
      </c>
      <c r="I123" s="3103">
        <f t="shared" si="72"/>
        <v>0.25245994345313927</v>
      </c>
      <c r="J123" s="3227">
        <v>7.034258102184511E-2</v>
      </c>
      <c r="K123" s="3227">
        <v>6.4199865838081056</v>
      </c>
      <c r="L123" s="3227">
        <v>4.9617830145572954</v>
      </c>
      <c r="M123" s="3497">
        <v>-2.9614771910780799</v>
      </c>
    </row>
    <row r="124" spans="2:13" ht="18" customHeight="1" x14ac:dyDescent="0.2">
      <c r="B124" s="2616" t="s">
        <v>567</v>
      </c>
      <c r="C124" s="2618" t="s">
        <v>567</v>
      </c>
      <c r="D124" s="3227">
        <v>5.4940245168045712</v>
      </c>
      <c r="E124" s="3227">
        <v>36.616592219282232</v>
      </c>
      <c r="F124" s="3227">
        <v>2.1659292020067444</v>
      </c>
      <c r="G124" s="3103">
        <f t="shared" si="73"/>
        <v>3.5000000000000001E-3</v>
      </c>
      <c r="H124" s="3103">
        <f t="shared" si="74"/>
        <v>4.7928797714795413E-2</v>
      </c>
      <c r="I124" s="3103">
        <f t="shared" si="72"/>
        <v>0.25245994345313943</v>
      </c>
      <c r="J124" s="3227">
        <v>1.9229085808816E-2</v>
      </c>
      <c r="K124" s="3227">
        <v>1.7549892414831298</v>
      </c>
      <c r="L124" s="3227">
        <v>1.3563697829344354</v>
      </c>
      <c r="M124" s="3497">
        <v>-0.80955941907230933</v>
      </c>
    </row>
    <row r="125" spans="2:13" ht="18" customHeight="1" x14ac:dyDescent="0.2">
      <c r="B125" s="2616" t="s">
        <v>569</v>
      </c>
      <c r="C125" s="2618" t="s">
        <v>569</v>
      </c>
      <c r="D125" s="3227">
        <v>0.53044621042006534</v>
      </c>
      <c r="E125" s="3227">
        <v>3.5353196043821016</v>
      </c>
      <c r="F125" s="3227">
        <v>0.20911973248908269</v>
      </c>
      <c r="G125" s="3103">
        <f t="shared" si="73"/>
        <v>3.4999999999999992E-3</v>
      </c>
      <c r="H125" s="3103">
        <f t="shared" si="74"/>
        <v>4.7928797714795426E-2</v>
      </c>
      <c r="I125" s="3103">
        <f t="shared" si="72"/>
        <v>0.25245994345313943</v>
      </c>
      <c r="J125" s="3227">
        <v>1.8565617364702284E-3</v>
      </c>
      <c r="K125" s="3227">
        <v>0.16944361817558035</v>
      </c>
      <c r="L125" s="3227">
        <v>0.13095704416410608</v>
      </c>
      <c r="M125" s="3497">
        <v>-7.8162688324976623E-2</v>
      </c>
    </row>
    <row r="126" spans="2:13" ht="18" customHeight="1" x14ac:dyDescent="0.2">
      <c r="B126" s="2616" t="s">
        <v>571</v>
      </c>
      <c r="C126" s="2618" t="s">
        <v>571</v>
      </c>
      <c r="D126" s="3227">
        <v>0.26877001181308374</v>
      </c>
      <c r="E126" s="3227">
        <v>1.7912992366942191</v>
      </c>
      <c r="F126" s="3227">
        <v>0.10595817609278482</v>
      </c>
      <c r="G126" s="3103">
        <f t="shared" si="73"/>
        <v>3.5000000000000001E-3</v>
      </c>
      <c r="H126" s="3103">
        <f t="shared" si="74"/>
        <v>4.7928797714795426E-2</v>
      </c>
      <c r="I126" s="3103">
        <f t="shared" si="72"/>
        <v>0.25245994345313938</v>
      </c>
      <c r="J126" s="3227">
        <v>9.4069504134579307E-4</v>
      </c>
      <c r="K126" s="3227">
        <v>8.5854818762184676E-2</v>
      </c>
      <c r="L126" s="3227">
        <v>6.6354185618783534E-2</v>
      </c>
      <c r="M126" s="3497">
        <v>-3.9603990474001295E-2</v>
      </c>
    </row>
    <row r="127" spans="2:13" ht="18" customHeight="1" x14ac:dyDescent="0.2">
      <c r="B127" s="2616" t="s">
        <v>574</v>
      </c>
      <c r="C127" s="2618" t="s">
        <v>574</v>
      </c>
      <c r="D127" s="3227">
        <v>6.8048822885020746E-2</v>
      </c>
      <c r="E127" s="3227">
        <v>0.45353201300095297</v>
      </c>
      <c r="F127" s="3227">
        <v>2.6827134134191209E-2</v>
      </c>
      <c r="G127" s="3103">
        <f t="shared" si="73"/>
        <v>3.4999999999999996E-3</v>
      </c>
      <c r="H127" s="3103">
        <f t="shared" si="74"/>
        <v>4.7928797714795419E-2</v>
      </c>
      <c r="I127" s="3103">
        <f t="shared" si="72"/>
        <v>0.25245994345313916</v>
      </c>
      <c r="J127" s="3227">
        <v>2.381708800975726E-4</v>
      </c>
      <c r="K127" s="3227">
        <v>2.1737244108306641E-2</v>
      </c>
      <c r="L127" s="3227">
        <v>1.6799955450359449E-2</v>
      </c>
      <c r="M127" s="3497">
        <v>-1.0027178683831758E-2</v>
      </c>
    </row>
    <row r="128" spans="2:13" ht="18" customHeight="1" x14ac:dyDescent="0.2">
      <c r="B128" s="2616" t="s">
        <v>576</v>
      </c>
      <c r="C128" s="2618" t="s">
        <v>576</v>
      </c>
      <c r="D128" s="3227">
        <v>0.34193833256736456</v>
      </c>
      <c r="E128" s="3227">
        <v>2.2789516955127693</v>
      </c>
      <c r="F128" s="3227">
        <v>0.13480358843100029</v>
      </c>
      <c r="G128" s="3103">
        <f t="shared" si="73"/>
        <v>3.5000000000000001E-3</v>
      </c>
      <c r="H128" s="3103">
        <f t="shared" si="74"/>
        <v>4.7928797714795426E-2</v>
      </c>
      <c r="I128" s="3103">
        <f t="shared" si="72"/>
        <v>0.25245994345313932</v>
      </c>
      <c r="J128" s="3227">
        <v>1.1967841639857759E-3</v>
      </c>
      <c r="K128" s="3227">
        <v>0.10922741481602158</v>
      </c>
      <c r="L128" s="3227">
        <v>8.441804737178546E-2</v>
      </c>
      <c r="M128" s="3497">
        <v>-5.0385541059214861E-2</v>
      </c>
    </row>
    <row r="129" spans="2:13" ht="18" customHeight="1" x14ac:dyDescent="0.2">
      <c r="B129" s="2616" t="s">
        <v>577</v>
      </c>
      <c r="C129" s="2618" t="s">
        <v>577</v>
      </c>
      <c r="D129" s="3227">
        <v>0.58820410862008188</v>
      </c>
      <c r="E129" s="3227">
        <v>3.9202646295387948</v>
      </c>
      <c r="F129" s="3227">
        <v>0.23188983807840191</v>
      </c>
      <c r="G129" s="3103">
        <f t="shared" si="73"/>
        <v>3.4999999999999996E-3</v>
      </c>
      <c r="H129" s="3103">
        <f t="shared" si="74"/>
        <v>4.7928797714795419E-2</v>
      </c>
      <c r="I129" s="3103">
        <f t="shared" si="72"/>
        <v>0.25245994345313938</v>
      </c>
      <c r="J129" s="3227">
        <v>2.0587143801702864E-3</v>
      </c>
      <c r="K129" s="3227">
        <v>0.1878935704176323</v>
      </c>
      <c r="L129" s="3227">
        <v>0.14521636674351646</v>
      </c>
      <c r="M129" s="3497">
        <v>-8.6673471334885469E-2</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67.406815021448068</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67.406815021448068</v>
      </c>
      <c r="L131" s="3229"/>
      <c r="M131" s="3226" t="str">
        <f>IF(SUM(M132:M143)=0,"NO",SUM(M132:M143))</f>
        <v>NO</v>
      </c>
    </row>
    <row r="132" spans="2:13" ht="18" customHeight="1" x14ac:dyDescent="0.2">
      <c r="B132" s="2616" t="s">
        <v>559</v>
      </c>
      <c r="C132" s="2618" t="s">
        <v>559</v>
      </c>
      <c r="D132" s="3227" t="s">
        <v>2146</v>
      </c>
      <c r="E132" s="3227">
        <v>1.6026624215978515</v>
      </c>
      <c r="F132" s="3229"/>
      <c r="G132" s="3103" t="str">
        <f>IF(SUM(D132)=0,"NA",J132/D132)</f>
        <v>NA</v>
      </c>
      <c r="H132" s="3103">
        <f>IF(SUM(E132)=0,"NA",K132/E132)</f>
        <v>0.71356194548739105</v>
      </c>
      <c r="I132" s="4327"/>
      <c r="J132" s="3227" t="s">
        <v>2146</v>
      </c>
      <c r="K132" s="3227">
        <v>1.1435989155148962</v>
      </c>
      <c r="L132" s="3229"/>
      <c r="M132" s="3497" t="s">
        <v>2146</v>
      </c>
    </row>
    <row r="133" spans="2:13" ht="18" customHeight="1" x14ac:dyDescent="0.2">
      <c r="B133" s="2616" t="s">
        <v>560</v>
      </c>
      <c r="C133" s="2618" t="s">
        <v>560</v>
      </c>
      <c r="D133" s="3227" t="s">
        <v>2146</v>
      </c>
      <c r="E133" s="3227">
        <v>3.7322007122850072</v>
      </c>
      <c r="F133" s="3229"/>
      <c r="G133" s="3103" t="str">
        <f t="shared" ref="G133:G143" si="75">IF(SUM(D133)=0,"NA",J133/D133)</f>
        <v>NA</v>
      </c>
      <c r="H133" s="3103">
        <f t="shared" ref="H133:H143" si="76">IF(SUM(E133)=0,"NA",K133/E133)</f>
        <v>0.71356194548739094</v>
      </c>
      <c r="I133" s="4327"/>
      <c r="J133" s="3227" t="s">
        <v>2146</v>
      </c>
      <c r="K133" s="3227">
        <v>2.663156401207516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16.542460583529778</v>
      </c>
      <c r="F135" s="3229"/>
      <c r="G135" s="3103" t="str">
        <f t="shared" si="75"/>
        <v>NA</v>
      </c>
      <c r="H135" s="3103">
        <f t="shared" si="76"/>
        <v>0.71356194548739083</v>
      </c>
      <c r="I135" s="4327"/>
      <c r="J135" s="3227" t="s">
        <v>2146</v>
      </c>
      <c r="K135" s="3227">
        <v>11.804070357131987</v>
      </c>
      <c r="L135" s="3229"/>
      <c r="M135" s="3497" t="s">
        <v>2146</v>
      </c>
    </row>
    <row r="136" spans="2:13" ht="18" customHeight="1" x14ac:dyDescent="0.2">
      <c r="B136" s="2616" t="s">
        <v>564</v>
      </c>
      <c r="C136" s="2618" t="s">
        <v>564</v>
      </c>
      <c r="D136" s="3227" t="s">
        <v>2146</v>
      </c>
      <c r="E136" s="3227">
        <v>3.2747179395391866E-2</v>
      </c>
      <c r="F136" s="3229"/>
      <c r="G136" s="3103" t="str">
        <f t="shared" si="75"/>
        <v>NA</v>
      </c>
      <c r="H136" s="3103">
        <f t="shared" si="76"/>
        <v>0.71356194548739094</v>
      </c>
      <c r="I136" s="4327"/>
      <c r="J136" s="3227" t="s">
        <v>2146</v>
      </c>
      <c r="K136" s="3227">
        <v>2.3367141038600422E-2</v>
      </c>
      <c r="L136" s="3229"/>
      <c r="M136" s="3497" t="s">
        <v>2146</v>
      </c>
    </row>
    <row r="137" spans="2:13" ht="18" customHeight="1" x14ac:dyDescent="0.2">
      <c r="B137" s="2616" t="s">
        <v>565</v>
      </c>
      <c r="C137" s="2618" t="s">
        <v>565</v>
      </c>
      <c r="D137" s="3227" t="s">
        <v>2146</v>
      </c>
      <c r="E137" s="3227">
        <v>53.239946235799138</v>
      </c>
      <c r="F137" s="3229"/>
      <c r="G137" s="3103" t="str">
        <f t="shared" si="75"/>
        <v>NA</v>
      </c>
      <c r="H137" s="3103">
        <f t="shared" si="76"/>
        <v>0.71356194548739105</v>
      </c>
      <c r="I137" s="4327"/>
      <c r="J137" s="3227" t="s">
        <v>2146</v>
      </c>
      <c r="K137" s="3227">
        <v>37.989999613660935</v>
      </c>
      <c r="L137" s="3229"/>
      <c r="M137" s="3497" t="s">
        <v>2146</v>
      </c>
    </row>
    <row r="138" spans="2:13" ht="18" customHeight="1" x14ac:dyDescent="0.2">
      <c r="B138" s="2616" t="s">
        <v>567</v>
      </c>
      <c r="C138" s="2618" t="s">
        <v>567</v>
      </c>
      <c r="D138" s="3227" t="s">
        <v>2146</v>
      </c>
      <c r="E138" s="3227">
        <v>14.553851731812367</v>
      </c>
      <c r="F138" s="3229"/>
      <c r="G138" s="3103" t="str">
        <f t="shared" si="75"/>
        <v>NA</v>
      </c>
      <c r="H138" s="3103">
        <f t="shared" si="76"/>
        <v>0.71356194548739105</v>
      </c>
      <c r="I138" s="4327"/>
      <c r="J138" s="3227" t="s">
        <v>2146</v>
      </c>
      <c r="K138" s="3227">
        <v>10.385074756087068</v>
      </c>
      <c r="L138" s="3229"/>
      <c r="M138" s="3497" t="s">
        <v>2146</v>
      </c>
    </row>
    <row r="139" spans="2:13" ht="18" customHeight="1" x14ac:dyDescent="0.2">
      <c r="B139" s="2616" t="s">
        <v>569</v>
      </c>
      <c r="C139" s="2618" t="s">
        <v>569</v>
      </c>
      <c r="D139" s="3227" t="s">
        <v>2146</v>
      </c>
      <c r="E139" s="3227">
        <v>1.4051694663069128</v>
      </c>
      <c r="F139" s="3229"/>
      <c r="G139" s="3103" t="str">
        <f t="shared" si="75"/>
        <v>NA</v>
      </c>
      <c r="H139" s="3103">
        <f t="shared" si="76"/>
        <v>0.71356194548739094</v>
      </c>
      <c r="I139" s="4327"/>
      <c r="J139" s="3227" t="s">
        <v>2146</v>
      </c>
      <c r="K139" s="3227">
        <v>1.0026754581174395</v>
      </c>
      <c r="L139" s="3229"/>
      <c r="M139" s="3497" t="s">
        <v>2146</v>
      </c>
    </row>
    <row r="140" spans="2:13" ht="18" customHeight="1" x14ac:dyDescent="0.2">
      <c r="B140" s="2616" t="s">
        <v>571</v>
      </c>
      <c r="C140" s="2618" t="s">
        <v>571</v>
      </c>
      <c r="D140" s="3227" t="s">
        <v>2146</v>
      </c>
      <c r="E140" s="3227">
        <v>0.71198060545972264</v>
      </c>
      <c r="F140" s="3229"/>
      <c r="G140" s="3103" t="str">
        <f t="shared" si="75"/>
        <v>NA</v>
      </c>
      <c r="H140" s="3103">
        <f t="shared" si="76"/>
        <v>0.71356194548739094</v>
      </c>
      <c r="I140" s="4327"/>
      <c r="J140" s="3227" t="s">
        <v>2146</v>
      </c>
      <c r="K140" s="3227">
        <v>0.50804226598113023</v>
      </c>
      <c r="L140" s="3229"/>
      <c r="M140" s="3497" t="s">
        <v>2146</v>
      </c>
    </row>
    <row r="141" spans="2:13" ht="18" customHeight="1" x14ac:dyDescent="0.2">
      <c r="B141" s="2616" t="s">
        <v>574</v>
      </c>
      <c r="C141" s="2618" t="s">
        <v>574</v>
      </c>
      <c r="D141" s="3227" t="s">
        <v>2146</v>
      </c>
      <c r="E141" s="3227">
        <v>0.18026357104226604</v>
      </c>
      <c r="F141" s="3229"/>
      <c r="G141" s="3103" t="str">
        <f t="shared" si="75"/>
        <v>NA</v>
      </c>
      <c r="H141" s="3103">
        <f t="shared" si="76"/>
        <v>0.71356194548739094</v>
      </c>
      <c r="I141" s="4327"/>
      <c r="J141" s="3227" t="s">
        <v>2146</v>
      </c>
      <c r="K141" s="3227">
        <v>0.12862922445342387</v>
      </c>
      <c r="L141" s="3229"/>
      <c r="M141" s="3497" t="s">
        <v>2146</v>
      </c>
    </row>
    <row r="142" spans="2:13" ht="18" customHeight="1" x14ac:dyDescent="0.2">
      <c r="B142" s="2616" t="s">
        <v>576</v>
      </c>
      <c r="C142" s="2618" t="s">
        <v>576</v>
      </c>
      <c r="D142" s="3227" t="s">
        <v>2146</v>
      </c>
      <c r="E142" s="3227">
        <v>0.90580589482025287</v>
      </c>
      <c r="F142" s="3229"/>
      <c r="G142" s="3103" t="str">
        <f t="shared" si="75"/>
        <v>NA</v>
      </c>
      <c r="H142" s="3103">
        <f t="shared" si="76"/>
        <v>0.71356194548739094</v>
      </c>
      <c r="I142" s="4327"/>
      <c r="J142" s="3227" t="s">
        <v>2146</v>
      </c>
      <c r="K142" s="3227">
        <v>0.64634861654188669</v>
      </c>
      <c r="L142" s="3229"/>
      <c r="M142" s="3497" t="s">
        <v>2146</v>
      </c>
    </row>
    <row r="143" spans="2:13" ht="18" customHeight="1" x14ac:dyDescent="0.2">
      <c r="B143" s="2616" t="s">
        <v>577</v>
      </c>
      <c r="C143" s="2618" t="s">
        <v>577</v>
      </c>
      <c r="D143" s="3227" t="s">
        <v>2146</v>
      </c>
      <c r="E143" s="3227">
        <v>1.5581720392246368</v>
      </c>
      <c r="F143" s="3229"/>
      <c r="G143" s="3103" t="str">
        <f t="shared" si="75"/>
        <v>NA</v>
      </c>
      <c r="H143" s="3103">
        <f t="shared" si="76"/>
        <v>0.71356194548739083</v>
      </c>
      <c r="I143" s="4327"/>
      <c r="J143" s="3227" t="s">
        <v>2146</v>
      </c>
      <c r="K143" s="3227">
        <v>1.1118522717131869</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28.168952777626096</v>
      </c>
      <c r="L146" s="3103">
        <f>IF(SUM(L147:L158)=0,"NO",SUM(L147:L158))</f>
        <v>9.8968631874202142</v>
      </c>
      <c r="M146" s="3226" t="str">
        <f>IF(SUM(M147:M158)=0,"NO",SUM(M147:M158))</f>
        <v>NO</v>
      </c>
    </row>
    <row r="147" spans="2:13" ht="18" customHeight="1" x14ac:dyDescent="0.2">
      <c r="B147" s="2616" t="s">
        <v>559</v>
      </c>
      <c r="C147" s="2618" t="s">
        <v>559</v>
      </c>
      <c r="D147" s="3227">
        <v>0.71800140197033835</v>
      </c>
      <c r="E147" s="3227">
        <v>1.314808621517638</v>
      </c>
      <c r="F147" s="3227">
        <v>0.16790649438831642</v>
      </c>
      <c r="G147" s="3103" t="str">
        <f>IFERROR(J147/D147,"NA")</f>
        <v>NA</v>
      </c>
      <c r="H147" s="3103">
        <f>IF(SUM(E147)=0,"NA",K147/E147)</f>
        <v>0.36347796359488915</v>
      </c>
      <c r="I147" s="3103">
        <f t="shared" ref="I147:I158" si="77">IF(SUM(F147)=0,"NA",(SUM(L147:M147))/F147)</f>
        <v>0.99999999999999989</v>
      </c>
      <c r="J147" s="3227" t="s">
        <v>2146</v>
      </c>
      <c r="K147" s="3227">
        <v>0.47790396026623438</v>
      </c>
      <c r="L147" s="3227">
        <v>0.1679064943883164</v>
      </c>
      <c r="M147" s="3497" t="s">
        <v>2146</v>
      </c>
    </row>
    <row r="148" spans="2:13" ht="18" customHeight="1" x14ac:dyDescent="0.2">
      <c r="B148" s="2616" t="s">
        <v>560</v>
      </c>
      <c r="C148" s="2618" t="s">
        <v>560</v>
      </c>
      <c r="D148" s="3227">
        <v>1.6720460327407245</v>
      </c>
      <c r="E148" s="3227">
        <v>3.0618610679435516</v>
      </c>
      <c r="F148" s="3227">
        <v>0.39101231145644094</v>
      </c>
      <c r="G148" s="3103" t="str">
        <f t="shared" ref="G148:G158" si="78">IFERROR(J148/D148,"NA")</f>
        <v>NA</v>
      </c>
      <c r="H148" s="3103">
        <f t="shared" ref="H148:H158" si="79">IF(SUM(E148)=0,"NA",K148/E148)</f>
        <v>0.36347796359488915</v>
      </c>
      <c r="I148" s="3103">
        <f t="shared" si="77"/>
        <v>1.0000000000000002</v>
      </c>
      <c r="J148" s="3227" t="s">
        <v>2146</v>
      </c>
      <c r="K148" s="3227">
        <v>1.1129190257865946</v>
      </c>
      <c r="L148" s="3227">
        <v>0.391012311456441</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7.4111114923201251</v>
      </c>
      <c r="E150" s="3227">
        <v>13.571273340680042</v>
      </c>
      <c r="F150" s="3227">
        <v>1.7331076886223726</v>
      </c>
      <c r="G150" s="3103" t="str">
        <f t="shared" si="78"/>
        <v>NA</v>
      </c>
      <c r="H150" s="3103">
        <f t="shared" si="79"/>
        <v>0.36347796359488921</v>
      </c>
      <c r="I150" s="3103">
        <f t="shared" si="77"/>
        <v>0.99999999999999967</v>
      </c>
      <c r="J150" s="3227" t="s">
        <v>2146</v>
      </c>
      <c r="K150" s="3227">
        <v>4.9328587972599909</v>
      </c>
      <c r="L150" s="3227">
        <v>1.733107688622372</v>
      </c>
      <c r="M150" s="3497" t="s">
        <v>2146</v>
      </c>
    </row>
    <row r="151" spans="2:13" ht="18" customHeight="1" x14ac:dyDescent="0.2">
      <c r="B151" s="2616" t="s">
        <v>564</v>
      </c>
      <c r="C151" s="2618" t="s">
        <v>564</v>
      </c>
      <c r="D151" s="3227">
        <v>1.4670912850769652E-2</v>
      </c>
      <c r="E151" s="3227">
        <v>2.6865466625541103E-2</v>
      </c>
      <c r="F151" s="3227">
        <v>3.4308311090888344E-3</v>
      </c>
      <c r="G151" s="3103" t="str">
        <f t="shared" si="78"/>
        <v>NA</v>
      </c>
      <c r="H151" s="3103">
        <f t="shared" si="79"/>
        <v>0.36347796359488915</v>
      </c>
      <c r="I151" s="3103">
        <f t="shared" si="77"/>
        <v>1.0000000000000004</v>
      </c>
      <c r="J151" s="3227" t="s">
        <v>2146</v>
      </c>
      <c r="K151" s="3227">
        <v>9.7650051000781387E-3</v>
      </c>
      <c r="L151" s="3227">
        <v>3.4308311090888357E-3</v>
      </c>
      <c r="M151" s="3497" t="s">
        <v>2146</v>
      </c>
    </row>
    <row r="152" spans="2:13" ht="18" customHeight="1" x14ac:dyDescent="0.2">
      <c r="B152" s="2616" t="s">
        <v>565</v>
      </c>
      <c r="C152" s="2618" t="s">
        <v>565</v>
      </c>
      <c r="D152" s="3227">
        <v>23.851782835225904</v>
      </c>
      <c r="E152" s="3227">
        <v>43.67753269598348</v>
      </c>
      <c r="F152" s="3227">
        <v>5.5778014218134446</v>
      </c>
      <c r="G152" s="3103" t="str">
        <f t="shared" si="78"/>
        <v>NA</v>
      </c>
      <c r="H152" s="3103">
        <f t="shared" si="79"/>
        <v>0.36347796359488915</v>
      </c>
      <c r="I152" s="3103">
        <f t="shared" si="77"/>
        <v>1.0000000000000004</v>
      </c>
      <c r="J152" s="3227" t="s">
        <v>2146</v>
      </c>
      <c r="K152" s="3227">
        <v>15.875820639185264</v>
      </c>
      <c r="L152" s="3227">
        <v>5.5778014218134473</v>
      </c>
      <c r="M152" s="3497" t="s">
        <v>2146</v>
      </c>
    </row>
    <row r="153" spans="2:13" ht="18" customHeight="1" x14ac:dyDescent="0.2">
      <c r="B153" s="2616" t="s">
        <v>567</v>
      </c>
      <c r="C153" s="2618" t="s">
        <v>567</v>
      </c>
      <c r="D153" s="3227">
        <v>6.5202040097074194</v>
      </c>
      <c r="E153" s="3227">
        <v>11.939838031641257</v>
      </c>
      <c r="F153" s="3227">
        <v>1.5247666577841086</v>
      </c>
      <c r="G153" s="3103" t="str">
        <f t="shared" si="78"/>
        <v>NA</v>
      </c>
      <c r="H153" s="3103">
        <f t="shared" si="79"/>
        <v>0.36347796359488921</v>
      </c>
      <c r="I153" s="3103">
        <f t="shared" si="77"/>
        <v>1</v>
      </c>
      <c r="J153" s="3227" t="s">
        <v>2146</v>
      </c>
      <c r="K153" s="3227">
        <v>4.3398680133937741</v>
      </c>
      <c r="L153" s="3227">
        <v>1.5247666577841086</v>
      </c>
      <c r="M153" s="3497" t="s">
        <v>2146</v>
      </c>
    </row>
    <row r="154" spans="2:13" ht="18" customHeight="1" x14ac:dyDescent="0.2">
      <c r="B154" s="2616" t="s">
        <v>569</v>
      </c>
      <c r="C154" s="2618" t="s">
        <v>569</v>
      </c>
      <c r="D154" s="3227">
        <v>0.62952349366773708</v>
      </c>
      <c r="E154" s="3227">
        <v>1.1527873269479196</v>
      </c>
      <c r="F154" s="3227">
        <v>0.14721570552198157</v>
      </c>
      <c r="G154" s="3103" t="str">
        <f t="shared" si="78"/>
        <v>NA</v>
      </c>
      <c r="H154" s="3103">
        <f t="shared" si="79"/>
        <v>0.36347796359488904</v>
      </c>
      <c r="I154" s="3103">
        <f t="shared" si="77"/>
        <v>1.0000000000000009</v>
      </c>
      <c r="J154" s="3227" t="s">
        <v>2146</v>
      </c>
      <c r="K154" s="3227">
        <v>0.41901279005702541</v>
      </c>
      <c r="L154" s="3227">
        <v>0.14721570552198171</v>
      </c>
      <c r="M154" s="3497" t="s">
        <v>2146</v>
      </c>
    </row>
    <row r="155" spans="2:13" ht="18" customHeight="1" x14ac:dyDescent="0.2">
      <c r="B155" s="2616" t="s">
        <v>571</v>
      </c>
      <c r="C155" s="2618" t="s">
        <v>571</v>
      </c>
      <c r="D155" s="3227">
        <v>0.31897114826346434</v>
      </c>
      <c r="E155" s="3227">
        <v>0.58410194548548966</v>
      </c>
      <c r="F155" s="3227">
        <v>7.4592232228185479E-2</v>
      </c>
      <c r="G155" s="3103" t="str">
        <f t="shared" si="78"/>
        <v>NA</v>
      </c>
      <c r="H155" s="3103">
        <f t="shared" si="79"/>
        <v>0.36347796359488915</v>
      </c>
      <c r="I155" s="3103">
        <f t="shared" si="77"/>
        <v>1</v>
      </c>
      <c r="J155" s="3227" t="s">
        <v>2146</v>
      </c>
      <c r="K155" s="3227">
        <v>0.21230818567687873</v>
      </c>
      <c r="L155" s="3227">
        <v>7.4592232228185479E-2</v>
      </c>
      <c r="M155" s="3497" t="s">
        <v>2146</v>
      </c>
    </row>
    <row r="156" spans="2:13" ht="18" customHeight="1" x14ac:dyDescent="0.2">
      <c r="B156" s="2616" t="s">
        <v>574</v>
      </c>
      <c r="C156" s="2618" t="s">
        <v>574</v>
      </c>
      <c r="D156" s="3227">
        <v>8.0759051306316706E-2</v>
      </c>
      <c r="E156" s="3227">
        <v>0.14788647575303346</v>
      </c>
      <c r="F156" s="3227">
        <v>1.8885714091586143E-2</v>
      </c>
      <c r="G156" s="3103" t="str">
        <f t="shared" si="78"/>
        <v>NA</v>
      </c>
      <c r="H156" s="3103">
        <f t="shared" si="79"/>
        <v>0.36347796359488915</v>
      </c>
      <c r="I156" s="3103">
        <f t="shared" si="77"/>
        <v>1.0000000000000002</v>
      </c>
      <c r="J156" s="3227" t="s">
        <v>2146</v>
      </c>
      <c r="K156" s="3227">
        <v>5.3753475049937556E-2</v>
      </c>
      <c r="L156" s="3227">
        <v>1.8885714091586146E-2</v>
      </c>
      <c r="M156" s="3497" t="s">
        <v>2146</v>
      </c>
    </row>
    <row r="157" spans="2:13" ht="18" customHeight="1" x14ac:dyDescent="0.2">
      <c r="B157" s="2616" t="s">
        <v>576</v>
      </c>
      <c r="C157" s="2618" t="s">
        <v>576</v>
      </c>
      <c r="D157" s="3227">
        <v>0.40580592246339731</v>
      </c>
      <c r="E157" s="3227">
        <v>0.74311432269297284</v>
      </c>
      <c r="F157" s="3227">
        <v>9.4898769913071612E-2</v>
      </c>
      <c r="G157" s="3103" t="str">
        <f t="shared" si="78"/>
        <v>NA</v>
      </c>
      <c r="H157" s="3103">
        <f t="shared" si="79"/>
        <v>0.3634779635948891</v>
      </c>
      <c r="I157" s="3103">
        <f t="shared" si="77"/>
        <v>1.0000000000000007</v>
      </c>
      <c r="J157" s="3227" t="s">
        <v>2146</v>
      </c>
      <c r="K157" s="3227">
        <v>0.27010568073063707</v>
      </c>
      <c r="L157" s="3227">
        <v>9.4898769913071668E-2</v>
      </c>
      <c r="M157" s="3497" t="s">
        <v>2146</v>
      </c>
    </row>
    <row r="158" spans="2:13" ht="18" customHeight="1" x14ac:dyDescent="0.2">
      <c r="B158" s="2616" t="s">
        <v>577</v>
      </c>
      <c r="C158" s="2618" t="s">
        <v>577</v>
      </c>
      <c r="D158" s="3227">
        <v>0.69806947089884253</v>
      </c>
      <c r="E158" s="3227">
        <v>1.2783091456887863</v>
      </c>
      <c r="F158" s="3227">
        <v>0.16324536049161315</v>
      </c>
      <c r="G158" s="3103" t="str">
        <f t="shared" si="78"/>
        <v>NA</v>
      </c>
      <c r="H158" s="3103">
        <f t="shared" si="79"/>
        <v>0.36347796359488915</v>
      </c>
      <c r="I158" s="3103">
        <f t="shared" si="77"/>
        <v>1.0000000000000004</v>
      </c>
      <c r="J158" s="3227" t="s">
        <v>2146</v>
      </c>
      <c r="K158" s="3227">
        <v>0.46463720511968254</v>
      </c>
      <c r="L158" s="3227">
        <v>0.1632453604916132</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0.85500966610237272</v>
      </c>
      <c r="K162" s="3233">
        <f t="shared" ref="K162:M162" si="85">IF(SUM(K163,K165,K175)=0,"NO",SUM(K163,K165,K175))</f>
        <v>5.8523475678242312</v>
      </c>
      <c r="L162" s="3233">
        <f t="shared" si="85"/>
        <v>0.45600000000000002</v>
      </c>
      <c r="M162" s="3234" t="str">
        <f t="shared" si="85"/>
        <v>NO</v>
      </c>
    </row>
    <row r="163" spans="2:13" ht="18" customHeight="1" x14ac:dyDescent="0.2">
      <c r="B163" s="88" t="s">
        <v>681</v>
      </c>
      <c r="C163" s="2508"/>
      <c r="D163" s="4326"/>
      <c r="E163" s="4326"/>
      <c r="F163" s="4326"/>
      <c r="G163" s="4327"/>
      <c r="H163" s="4327"/>
      <c r="I163" s="4327"/>
      <c r="J163" s="3230">
        <f>J164</f>
        <v>0.85500966610237272</v>
      </c>
      <c r="K163" s="3230">
        <f t="shared" ref="K163:M163" si="86">K164</f>
        <v>5.1167631582322359</v>
      </c>
      <c r="L163" s="3230">
        <f t="shared" si="86"/>
        <v>0.45600000000000002</v>
      </c>
      <c r="M163" s="3226" t="str">
        <f t="shared" si="86"/>
        <v>NO</v>
      </c>
    </row>
    <row r="164" spans="2:13" ht="18" customHeight="1" x14ac:dyDescent="0.2">
      <c r="B164" s="2616" t="s">
        <v>1621</v>
      </c>
      <c r="C164" s="2618" t="s">
        <v>1621</v>
      </c>
      <c r="D164" s="3235">
        <v>10.058937248263206</v>
      </c>
      <c r="E164" s="3235">
        <v>548.28745783917634</v>
      </c>
      <c r="F164" s="3235">
        <v>0.45600000000000002</v>
      </c>
      <c r="G164" s="3103">
        <f t="shared" ref="G164" si="87">IF(SUM(D164)=0,"NA",J164/D164)</f>
        <v>8.500000000000002E-2</v>
      </c>
      <c r="H164" s="3103">
        <f t="shared" ref="H164" si="88">IF(SUM(E164)=0,"NA",K164/E164)</f>
        <v>9.3322637333299804E-3</v>
      </c>
      <c r="I164" s="3103">
        <f t="shared" ref="I164" si="89">IF(SUM(F164)=0,"NA",(SUM(L164:M164))/F164)</f>
        <v>1</v>
      </c>
      <c r="J164" s="3142">
        <v>0.85500966610237272</v>
      </c>
      <c r="K164" s="3142">
        <v>5.1167631582322359</v>
      </c>
      <c r="L164" s="3142">
        <v>0.45600000000000002</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0.73558440959199523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0.73558440959199523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0.73558440959199523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0.73558440959199523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1830.382472917935</v>
      </c>
      <c r="D10" s="2500">
        <f t="shared" ref="D10:I10" si="0">IF(SUM(D11,D20,D31:D32,D42:D47)=0,"NO",SUM(D11,D20,D31:D32,D42:D47))</f>
        <v>2331.0684481509161</v>
      </c>
      <c r="E10" s="2500">
        <f t="shared" si="0"/>
        <v>39.445000995473158</v>
      </c>
      <c r="F10" s="2500">
        <f t="shared" si="0"/>
        <v>15.196468914646726</v>
      </c>
      <c r="G10" s="2500">
        <f t="shared" si="0"/>
        <v>247.57953249374822</v>
      </c>
      <c r="H10" s="2915">
        <f t="shared" si="0"/>
        <v>14.442139395468645</v>
      </c>
      <c r="I10" s="2924" t="str">
        <f t="shared" si="0"/>
        <v>NO</v>
      </c>
      <c r="J10" s="2925">
        <f>IF(SUM(C10:E10)=0,"NO",SUM(C10)+28*SUM(D10)+265*SUM(E10))</f>
        <v>77553.224284943964</v>
      </c>
    </row>
    <row r="11" spans="1:10" ht="18" customHeight="1" x14ac:dyDescent="0.2">
      <c r="B11" s="234" t="s">
        <v>694</v>
      </c>
      <c r="C11" s="2926"/>
      <c r="D11" s="2137">
        <f>SUM(D16:D19)</f>
        <v>2086.3216602399038</v>
      </c>
      <c r="E11" s="1929"/>
      <c r="F11" s="1929"/>
      <c r="G11" s="1929"/>
      <c r="H11" s="2927"/>
      <c r="I11" s="2928"/>
      <c r="J11" s="1880">
        <f>IF(SUM(C11:E11)=0,"NO",SUM(C11)+28*SUM(D11)+265*SUM(E11))</f>
        <v>58417.006486717306</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1535.2657018868683</v>
      </c>
      <c r="E16" s="628"/>
      <c r="F16" s="628"/>
      <c r="G16" s="628"/>
      <c r="H16" s="2930"/>
      <c r="I16" s="2931"/>
      <c r="J16" s="2934">
        <f>IF(SUM(C16:E16)=0,"NO",SUM(C16)+28*SUM(D16)+265*SUM(E16))</f>
        <v>42987.439652832312</v>
      </c>
    </row>
    <row r="17" spans="2:10" ht="18" customHeight="1" x14ac:dyDescent="0.2">
      <c r="B17" s="228" t="s">
        <v>699</v>
      </c>
      <c r="C17" s="2936"/>
      <c r="D17" s="2920">
        <f>Table3.A!G24</f>
        <v>537.04465888403888</v>
      </c>
      <c r="E17" s="628"/>
      <c r="F17" s="628"/>
      <c r="G17" s="628"/>
      <c r="H17" s="2930"/>
      <c r="I17" s="2931"/>
      <c r="J17" s="2934">
        <f t="shared" ref="J17:J21" si="1">IF(SUM(C17:E17)=0,"NO",SUM(C17)+28*SUM(D17)+265*SUM(E17))</f>
        <v>15037.25044875309</v>
      </c>
    </row>
    <row r="18" spans="2:10" ht="18" customHeight="1" x14ac:dyDescent="0.2">
      <c r="B18" s="228" t="s">
        <v>700</v>
      </c>
      <c r="C18" s="2936"/>
      <c r="D18" s="2920">
        <f>Table3.A!G27</f>
        <v>3.6771815385363076</v>
      </c>
      <c r="E18" s="628"/>
      <c r="F18" s="628"/>
      <c r="G18" s="628"/>
      <c r="H18" s="2930"/>
      <c r="I18" s="2931"/>
      <c r="J18" s="2934">
        <f t="shared" si="1"/>
        <v>102.96108307901662</v>
      </c>
    </row>
    <row r="19" spans="2:10" ht="18" customHeight="1" thickBot="1" x14ac:dyDescent="0.25">
      <c r="B19" s="1297" t="s">
        <v>701</v>
      </c>
      <c r="C19" s="2937"/>
      <c r="D19" s="2500">
        <f>Table3.A!G30</f>
        <v>10.334117930460318</v>
      </c>
      <c r="E19" s="1923"/>
      <c r="F19" s="1923"/>
      <c r="G19" s="1923"/>
      <c r="H19" s="2938"/>
      <c r="I19" s="2939"/>
      <c r="J19" s="2934">
        <f t="shared" si="1"/>
        <v>289.35530205288887</v>
      </c>
    </row>
    <row r="20" spans="2:10" ht="18" customHeight="1" x14ac:dyDescent="0.2">
      <c r="B20" s="1456" t="s">
        <v>702</v>
      </c>
      <c r="C20" s="2940"/>
      <c r="D20" s="2920">
        <f>IF(SUM(D26:D30)=0,"NO",SUM(D26:D30))</f>
        <v>238.06935397014655</v>
      </c>
      <c r="E20" s="2920">
        <f>IF(SUM(E26:E30)=0,"NO",SUM(E26:E30))</f>
        <v>1.5211139747914264</v>
      </c>
      <c r="F20" s="2134"/>
      <c r="G20" s="2134"/>
      <c r="H20" s="2920" t="str">
        <f>IF(SUM(H26:H30)=0,"NE",SUM(H26:H30))</f>
        <v>NE</v>
      </c>
      <c r="I20" s="2931"/>
      <c r="J20" s="2941">
        <f t="shared" si="1"/>
        <v>7069.0371144838318</v>
      </c>
    </row>
    <row r="21" spans="2:10" ht="18" customHeight="1" x14ac:dyDescent="0.2">
      <c r="B21" s="228" t="s">
        <v>2019</v>
      </c>
      <c r="C21" s="2936"/>
      <c r="D21" s="2920">
        <f>D26</f>
        <v>153.2050734905018</v>
      </c>
      <c r="E21" s="2920">
        <f>E26</f>
        <v>0.65875330298211876</v>
      </c>
      <c r="F21" s="2942"/>
      <c r="G21" s="2942"/>
      <c r="H21" s="2920" t="str">
        <f>H26</f>
        <v>NE</v>
      </c>
      <c r="I21" s="2931"/>
      <c r="J21" s="2934">
        <f t="shared" si="1"/>
        <v>4464.3116830243125</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153.2050734905018</v>
      </c>
      <c r="E26" s="2920">
        <f>'Table3.B(b)'!X15</f>
        <v>0.65875330298211876</v>
      </c>
      <c r="F26" s="628"/>
      <c r="G26" s="628"/>
      <c r="H26" s="2944" t="s">
        <v>2154</v>
      </c>
      <c r="I26" s="2931"/>
      <c r="J26" s="2934">
        <f t="shared" ref="J26:J48" si="2">IF(SUM(C26:E26)=0,"NO",SUM(C26)+28*SUM(D26)+265*SUM(E26))</f>
        <v>4464.3116830243125</v>
      </c>
    </row>
    <row r="27" spans="2:10" ht="18" customHeight="1" x14ac:dyDescent="0.2">
      <c r="B27" s="228" t="s">
        <v>705</v>
      </c>
      <c r="C27" s="2936"/>
      <c r="D27" s="2920">
        <f>'Table3.B(a)'!K24</f>
        <v>27.429323284381589</v>
      </c>
      <c r="E27" s="2920" t="str">
        <f>'Table3.B(b)'!X24</f>
        <v>NA</v>
      </c>
      <c r="F27" s="2942"/>
      <c r="G27" s="2942"/>
      <c r="H27" s="2944" t="s">
        <v>2154</v>
      </c>
      <c r="I27" s="2931"/>
      <c r="J27" s="2934">
        <f t="shared" si="2"/>
        <v>768.02105196268451</v>
      </c>
    </row>
    <row r="28" spans="2:10" ht="18" customHeight="1" x14ac:dyDescent="0.2">
      <c r="B28" s="228" t="s">
        <v>706</v>
      </c>
      <c r="C28" s="2936"/>
      <c r="D28" s="2920">
        <f>'Table3.B(a)'!K27</f>
        <v>53.656483421417391</v>
      </c>
      <c r="E28" s="2920">
        <f>'Table3.B(b)'!X27</f>
        <v>0.24532447592078679</v>
      </c>
      <c r="F28" s="2942"/>
      <c r="G28" s="2942"/>
      <c r="H28" s="2944" t="s">
        <v>2154</v>
      </c>
      <c r="I28" s="2931"/>
      <c r="J28" s="2934">
        <f t="shared" si="2"/>
        <v>1567.3925219186954</v>
      </c>
    </row>
    <row r="29" spans="2:10" ht="18" customHeight="1" x14ac:dyDescent="0.2">
      <c r="B29" s="228" t="s">
        <v>707</v>
      </c>
      <c r="C29" s="2936"/>
      <c r="D29" s="2920">
        <f>'Table3.B(a)'!K30</f>
        <v>3.7784737738457661</v>
      </c>
      <c r="E29" s="2920">
        <f>'Table3.B(b)'!X30</f>
        <v>0.32012983432398789</v>
      </c>
      <c r="F29" s="2942"/>
      <c r="G29" s="2942"/>
      <c r="H29" s="2944" t="s">
        <v>2154</v>
      </c>
      <c r="I29" s="2931"/>
      <c r="J29" s="2934">
        <f t="shared" si="2"/>
        <v>190.63167176353824</v>
      </c>
    </row>
    <row r="30" spans="2:10" ht="18" customHeight="1" thickBot="1" x14ac:dyDescent="0.25">
      <c r="B30" s="1297" t="s">
        <v>708</v>
      </c>
      <c r="C30" s="2945"/>
      <c r="D30" s="2946"/>
      <c r="E30" s="2947">
        <f>SUM('Table3.B(b)'!Y46:Z46)</f>
        <v>0.29690636156453287</v>
      </c>
      <c r="F30" s="2948"/>
      <c r="G30" s="2948"/>
      <c r="H30" s="2949"/>
      <c r="I30" s="2950"/>
      <c r="J30" s="2934">
        <f t="shared" si="2"/>
        <v>78.680185814601217</v>
      </c>
    </row>
    <row r="31" spans="2:10" ht="18" customHeight="1" thickBot="1" x14ac:dyDescent="0.25">
      <c r="B31" s="2639" t="s">
        <v>709</v>
      </c>
      <c r="C31" s="2951"/>
      <c r="D31" s="2952">
        <f>Table3.C!G11</f>
        <v>0.3292408</v>
      </c>
      <c r="E31" s="2953"/>
      <c r="F31" s="2953"/>
      <c r="G31" s="2953"/>
      <c r="H31" s="2954" t="s">
        <v>2154</v>
      </c>
      <c r="I31" s="2955"/>
      <c r="J31" s="2956">
        <f t="shared" si="2"/>
        <v>9.2187424</v>
      </c>
    </row>
    <row r="32" spans="2:10" ht="18" customHeight="1" x14ac:dyDescent="0.2">
      <c r="B32" s="2638" t="s">
        <v>2020</v>
      </c>
      <c r="C32" s="2957"/>
      <c r="D32" s="2958" t="s">
        <v>2154</v>
      </c>
      <c r="E32" s="2958">
        <f>IF(SUM(E33,E41)=0,"NO",SUM(E33,E41))</f>
        <v>37.660859111517247</v>
      </c>
      <c r="F32" s="2958" t="str">
        <f>IF(SUM(F33,F41)=0,"NO",SUM(F33,F41))</f>
        <v>NO</v>
      </c>
      <c r="G32" s="2958" t="str">
        <f>IF(SUM(G33,G41)=0,"NO",SUM(G33,G41))</f>
        <v>NO</v>
      </c>
      <c r="H32" s="2958" t="str">
        <f>IF(SUM(H33,H41)=0,"NO",SUM(H33,H41))</f>
        <v>NO</v>
      </c>
      <c r="I32" s="2959"/>
      <c r="J32" s="2960">
        <f t="shared" si="2"/>
        <v>9980.1276645520702</v>
      </c>
    </row>
    <row r="33" spans="2:10" ht="18" customHeight="1" x14ac:dyDescent="0.2">
      <c r="B33" s="228" t="s">
        <v>710</v>
      </c>
      <c r="C33" s="2961"/>
      <c r="D33" s="2962" t="s">
        <v>2154</v>
      </c>
      <c r="E33" s="2962">
        <f>IF(SUM(E34:E40)=0,"NO",SUM(E34:E40))</f>
        <v>28.575211992942627</v>
      </c>
      <c r="F33" s="2962" t="str">
        <f>IF(SUM(F34:F40)=0,"NO",SUM(F34:F40))</f>
        <v>NO</v>
      </c>
      <c r="G33" s="2962" t="str">
        <f>IF(SUM(G34:G40)=0,"NO",SUM(G34:G40))</f>
        <v>NO</v>
      </c>
      <c r="H33" s="2962" t="str">
        <f>IF(SUM(H34:H40)=0,"NO",SUM(H34:H40))</f>
        <v>NO</v>
      </c>
      <c r="I33" s="2931"/>
      <c r="J33" s="2963">
        <f t="shared" si="2"/>
        <v>7572.4311781297965</v>
      </c>
    </row>
    <row r="34" spans="2:10" ht="18" customHeight="1" x14ac:dyDescent="0.2">
      <c r="B34" s="232" t="s">
        <v>711</v>
      </c>
      <c r="C34" s="2961"/>
      <c r="D34" s="2905" t="s">
        <v>2154</v>
      </c>
      <c r="E34" s="2962">
        <f>Table3.D!F11</f>
        <v>5.4788470498830328</v>
      </c>
      <c r="F34" s="2964" t="s">
        <v>2147</v>
      </c>
      <c r="G34" s="2964" t="s">
        <v>2147</v>
      </c>
      <c r="H34" s="2964" t="s">
        <v>2147</v>
      </c>
      <c r="I34" s="2931"/>
      <c r="J34" s="2963">
        <f t="shared" si="2"/>
        <v>1451.8944682190038</v>
      </c>
    </row>
    <row r="35" spans="2:10" ht="18" customHeight="1" x14ac:dyDescent="0.2">
      <c r="B35" s="232" t="s">
        <v>712</v>
      </c>
      <c r="C35" s="2961"/>
      <c r="D35" s="2905" t="s">
        <v>2154</v>
      </c>
      <c r="E35" s="2962">
        <f>Table3.D!F12</f>
        <v>1.2624581302733757</v>
      </c>
      <c r="F35" s="2964" t="s">
        <v>2147</v>
      </c>
      <c r="G35" s="2964" t="s">
        <v>2147</v>
      </c>
      <c r="H35" s="2965" t="s">
        <v>2147</v>
      </c>
      <c r="I35" s="2931"/>
      <c r="J35" s="2963">
        <f t="shared" si="2"/>
        <v>334.55140452244456</v>
      </c>
    </row>
    <row r="36" spans="2:10" ht="18" customHeight="1" x14ac:dyDescent="0.2">
      <c r="B36" s="232" t="s">
        <v>713</v>
      </c>
      <c r="C36" s="2961"/>
      <c r="D36" s="2905" t="s">
        <v>2154</v>
      </c>
      <c r="E36" s="2962">
        <f>Table3.D!F16</f>
        <v>10.694247055436181</v>
      </c>
      <c r="F36" s="2964" t="s">
        <v>2147</v>
      </c>
      <c r="G36" s="2964" t="s">
        <v>2147</v>
      </c>
      <c r="H36" s="2965" t="s">
        <v>2147</v>
      </c>
      <c r="I36" s="2931"/>
      <c r="J36" s="2963">
        <f t="shared" si="2"/>
        <v>2833.9754696905879</v>
      </c>
    </row>
    <row r="37" spans="2:10" ht="18" customHeight="1" x14ac:dyDescent="0.2">
      <c r="B37" s="232" t="s">
        <v>714</v>
      </c>
      <c r="C37" s="2961"/>
      <c r="D37" s="2905" t="s">
        <v>2154</v>
      </c>
      <c r="E37" s="2962">
        <f>Table3.D!F17</f>
        <v>10.504016418609453</v>
      </c>
      <c r="F37" s="2964" t="s">
        <v>2147</v>
      </c>
      <c r="G37" s="2964" t="s">
        <v>2147</v>
      </c>
      <c r="H37" s="2965" t="s">
        <v>2147</v>
      </c>
      <c r="I37" s="2931"/>
      <c r="J37" s="2963">
        <f t="shared" si="2"/>
        <v>2783.564350931505</v>
      </c>
    </row>
    <row r="38" spans="2:10" ht="18" customHeight="1" x14ac:dyDescent="0.2">
      <c r="B38" s="1705" t="s">
        <v>715</v>
      </c>
      <c r="C38" s="2961"/>
      <c r="D38" s="2905" t="s">
        <v>2154</v>
      </c>
      <c r="E38" s="2962">
        <f>Table3.D!F18</f>
        <v>0.54764333874058624</v>
      </c>
      <c r="F38" s="2964" t="s">
        <v>2147</v>
      </c>
      <c r="G38" s="2964" t="s">
        <v>2147</v>
      </c>
      <c r="H38" s="2965" t="s">
        <v>2147</v>
      </c>
      <c r="I38" s="2931"/>
      <c r="J38" s="2963">
        <f t="shared" si="2"/>
        <v>145.12548476625534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9.0856471185746219</v>
      </c>
      <c r="F41" s="2969" t="s">
        <v>2147</v>
      </c>
      <c r="G41" s="2969" t="s">
        <v>2147</v>
      </c>
      <c r="H41" s="2970" t="s">
        <v>2147</v>
      </c>
      <c r="I41" s="2971"/>
      <c r="J41" s="2972">
        <f t="shared" si="2"/>
        <v>2407.696486422275</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6.3481931408653383</v>
      </c>
      <c r="E43" s="2979">
        <f>SUM(Table3.F!J10,Table3.F!J20,Table3.F!J23,Table3.F!J26:J27)</f>
        <v>0.26302790916448582</v>
      </c>
      <c r="F43" s="2909">
        <v>15.196468914646726</v>
      </c>
      <c r="G43" s="2909">
        <v>247.57953249374822</v>
      </c>
      <c r="H43" s="2910">
        <v>14.442139395468645</v>
      </c>
      <c r="I43" s="2980" t="s">
        <v>2146</v>
      </c>
      <c r="J43" s="2981">
        <f t="shared" si="2"/>
        <v>247.4518038728182</v>
      </c>
    </row>
    <row r="44" spans="2:10" ht="18" customHeight="1" thickBot="1" x14ac:dyDescent="0.25">
      <c r="B44" s="2641" t="s">
        <v>721</v>
      </c>
      <c r="C44" s="2982">
        <f>'Table3.G-J'!E10</f>
        <v>1065.5307007157301</v>
      </c>
      <c r="D44" s="2983"/>
      <c r="E44" s="2983"/>
      <c r="F44" s="2983"/>
      <c r="G44" s="2983"/>
      <c r="H44" s="2984"/>
      <c r="I44" s="2985"/>
      <c r="J44" s="2981">
        <f t="shared" si="2"/>
        <v>1065.5307007157301</v>
      </c>
    </row>
    <row r="45" spans="2:10" ht="18" customHeight="1" thickBot="1" x14ac:dyDescent="0.25">
      <c r="B45" s="2641" t="s">
        <v>722</v>
      </c>
      <c r="C45" s="2982">
        <f>'Table3.G-J'!E13</f>
        <v>764.85177220220487</v>
      </c>
      <c r="D45" s="2983"/>
      <c r="E45" s="2983"/>
      <c r="F45" s="2983"/>
      <c r="G45" s="2983"/>
      <c r="H45" s="2984"/>
      <c r="I45" s="2985"/>
      <c r="J45" s="2981">
        <f t="shared" si="2"/>
        <v>764.85177220220487</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27321.121999999999</v>
      </c>
      <c r="D10" s="3241"/>
      <c r="E10" s="3241"/>
      <c r="F10" s="3131">
        <f>IF(SUM(C10)=0,"NA",G10*1000/C10)</f>
        <v>56.193362113271498</v>
      </c>
      <c r="G10" s="3242">
        <f>G15</f>
        <v>1535.2657018868683</v>
      </c>
      <c r="I10" s="275" t="s">
        <v>738</v>
      </c>
      <c r="J10" s="276" t="s">
        <v>739</v>
      </c>
      <c r="K10" s="691">
        <v>469.62966770453301</v>
      </c>
      <c r="L10" s="691">
        <v>365.71114808754697</v>
      </c>
      <c r="M10" s="3147">
        <v>530.79689268128595</v>
      </c>
      <c r="N10" s="3147">
        <v>45.971680442582297</v>
      </c>
      <c r="O10" s="2911">
        <v>58.021071151364403</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14.886159843205499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27321.121999999999</v>
      </c>
      <c r="D15" s="3248"/>
      <c r="E15" s="3248"/>
      <c r="F15" s="3131">
        <f>IF(SUM(C15)=0,"NA",G15*1000/C15)</f>
        <v>56.193362113271498</v>
      </c>
      <c r="G15" s="3249">
        <f>G20</f>
        <v>1535.2657018868683</v>
      </c>
      <c r="I15" s="1777" t="s">
        <v>748</v>
      </c>
      <c r="J15" s="1849" t="s">
        <v>297</v>
      </c>
      <c r="K15" s="3445">
        <v>75</v>
      </c>
      <c r="L15" s="3445">
        <v>57.7711796266004</v>
      </c>
      <c r="M15" s="1560">
        <v>80.266087290517902</v>
      </c>
      <c r="N15" s="1560">
        <v>66.606878814716595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1535.2657018868683</v>
      </c>
      <c r="I20" s="72"/>
      <c r="J20" s="288"/>
      <c r="K20" s="288"/>
      <c r="L20" s="288"/>
      <c r="M20" s="288"/>
      <c r="N20" s="288"/>
      <c r="O20" s="288"/>
    </row>
    <row r="21" spans="2:15" ht="18" customHeight="1" x14ac:dyDescent="0.2">
      <c r="B21" s="2633" t="s">
        <v>2196</v>
      </c>
      <c r="C21" s="3272">
        <v>2537.029</v>
      </c>
      <c r="D21" s="3257">
        <v>235.04771519984101</v>
      </c>
      <c r="E21" s="3257">
        <v>6.1741293891807896</v>
      </c>
      <c r="F21" s="3131">
        <f t="shared" ref="F21:F30" si="0">IF(SUM(C21)=0,"NA",G21*1000/C21)</f>
        <v>95.924205715376289</v>
      </c>
      <c r="G21" s="3239">
        <v>243.3624917018754</v>
      </c>
      <c r="I21" s="72"/>
      <c r="J21" s="288"/>
      <c r="K21" s="288"/>
      <c r="L21" s="288"/>
      <c r="M21" s="288"/>
      <c r="N21" s="288"/>
      <c r="O21" s="288"/>
    </row>
    <row r="22" spans="2:15" ht="18" customHeight="1" x14ac:dyDescent="0.2">
      <c r="B22" s="2633" t="s">
        <v>2197</v>
      </c>
      <c r="C22" s="3272">
        <v>24098.530999999999</v>
      </c>
      <c r="D22" s="3257">
        <v>125.85554809283801</v>
      </c>
      <c r="E22" s="3257">
        <v>6.21225</v>
      </c>
      <c r="F22" s="3131">
        <f t="shared" si="0"/>
        <v>51.679435082498422</v>
      </c>
      <c r="G22" s="3239">
        <v>1245.3984683980757</v>
      </c>
      <c r="I22" s="72"/>
      <c r="J22" s="288"/>
      <c r="K22" s="288"/>
      <c r="L22" s="288"/>
      <c r="M22" s="288"/>
      <c r="N22" s="288"/>
      <c r="O22" s="288"/>
    </row>
    <row r="23" spans="2:15" ht="18" customHeight="1" x14ac:dyDescent="0.2">
      <c r="B23" s="2633" t="s">
        <v>2198</v>
      </c>
      <c r="C23" s="3272">
        <v>685.56200000000001</v>
      </c>
      <c r="D23" s="3257">
        <v>203.079243307605</v>
      </c>
      <c r="E23" s="3257">
        <v>5.0534583736008303</v>
      </c>
      <c r="F23" s="3131">
        <f t="shared" si="0"/>
        <v>67.834480013357251</v>
      </c>
      <c r="G23" s="3239">
        <v>46.504741786917222</v>
      </c>
      <c r="I23" s="72"/>
      <c r="J23" s="288"/>
      <c r="K23" s="288"/>
      <c r="L23" s="288"/>
      <c r="M23" s="288"/>
      <c r="N23" s="288"/>
      <c r="O23" s="288"/>
    </row>
    <row r="24" spans="2:15" ht="18" customHeight="1" x14ac:dyDescent="0.2">
      <c r="B24" s="287" t="s">
        <v>753</v>
      </c>
      <c r="C24" s="2635">
        <f>C25</f>
        <v>76937.490000000005</v>
      </c>
      <c r="D24" s="3258"/>
      <c r="E24" s="3258"/>
      <c r="F24" s="3131">
        <f t="shared" si="0"/>
        <v>6.9802726718019903</v>
      </c>
      <c r="G24" s="3128">
        <f>G25</f>
        <v>537.04465888403888</v>
      </c>
      <c r="I24" s="72"/>
    </row>
    <row r="25" spans="2:15" ht="18" customHeight="1" x14ac:dyDescent="0.2">
      <c r="B25" s="282" t="s">
        <v>754</v>
      </c>
      <c r="C25" s="2635">
        <f>C26</f>
        <v>76937.490000000005</v>
      </c>
      <c r="D25" s="3258"/>
      <c r="E25" s="3258"/>
      <c r="F25" s="3131">
        <f t="shared" si="0"/>
        <v>6.9802726718019903</v>
      </c>
      <c r="G25" s="3128">
        <f>G26</f>
        <v>537.04465888403888</v>
      </c>
    </row>
    <row r="26" spans="2:15" ht="18" customHeight="1" x14ac:dyDescent="0.2">
      <c r="B26" s="2634" t="s">
        <v>2201</v>
      </c>
      <c r="C26" s="289">
        <v>76937.490000000005</v>
      </c>
      <c r="D26" s="3259">
        <v>17.1707573828558</v>
      </c>
      <c r="E26" s="3259">
        <v>6.1501608434687203</v>
      </c>
      <c r="F26" s="3131">
        <f t="shared" si="0"/>
        <v>6.9802726718019903</v>
      </c>
      <c r="G26" s="3240">
        <v>537.04465888403888</v>
      </c>
    </row>
    <row r="27" spans="2:15" ht="18" customHeight="1" x14ac:dyDescent="0.2">
      <c r="B27" s="287" t="s">
        <v>755</v>
      </c>
      <c r="C27" s="2635">
        <f>C28</f>
        <v>2411.5160000000001</v>
      </c>
      <c r="D27" s="3258"/>
      <c r="E27" s="3258"/>
      <c r="F27" s="3131">
        <f t="shared" si="0"/>
        <v>1.5248422728840727</v>
      </c>
      <c r="G27" s="3128">
        <f>G28</f>
        <v>3.6771815385363076</v>
      </c>
    </row>
    <row r="28" spans="2:15" ht="18" customHeight="1" x14ac:dyDescent="0.2">
      <c r="B28" s="282" t="s">
        <v>756</v>
      </c>
      <c r="C28" s="2635">
        <f>C29</f>
        <v>2411.5160000000001</v>
      </c>
      <c r="D28" s="3258"/>
      <c r="E28" s="3258"/>
      <c r="F28" s="3131">
        <f t="shared" si="0"/>
        <v>1.5248422728840727</v>
      </c>
      <c r="G28" s="3128">
        <f>G29</f>
        <v>3.6771815385363076</v>
      </c>
    </row>
    <row r="29" spans="2:15" ht="18" customHeight="1" x14ac:dyDescent="0.2">
      <c r="B29" s="2634" t="s">
        <v>817</v>
      </c>
      <c r="C29" s="289">
        <v>2411.5160000000001</v>
      </c>
      <c r="D29" s="3259">
        <v>32.955684974837801</v>
      </c>
      <c r="E29" s="3259">
        <v>0.7</v>
      </c>
      <c r="F29" s="3131">
        <f t="shared" si="0"/>
        <v>1.5248422728840727</v>
      </c>
      <c r="G29" s="3240">
        <v>3.6771815385363076</v>
      </c>
    </row>
    <row r="30" spans="2:15" ht="18" customHeight="1" x14ac:dyDescent="0.2">
      <c r="B30" s="287" t="s">
        <v>757</v>
      </c>
      <c r="C30" s="2635">
        <f>SUM(C32:C39)</f>
        <v>70690.195000000007</v>
      </c>
      <c r="D30" s="3258"/>
      <c r="E30" s="3258"/>
      <c r="F30" s="3131">
        <f t="shared" si="0"/>
        <v>0.14618884458389619</v>
      </c>
      <c r="G30" s="3128">
        <f>SUM(G32:G39)</f>
        <v>10.334117930460318</v>
      </c>
    </row>
    <row r="31" spans="2:15" ht="18" customHeight="1" x14ac:dyDescent="0.2">
      <c r="B31" s="1305" t="s">
        <v>345</v>
      </c>
      <c r="C31" s="3273"/>
      <c r="D31" s="3261"/>
      <c r="E31" s="3261"/>
      <c r="F31" s="3261"/>
      <c r="G31" s="3262"/>
    </row>
    <row r="32" spans="2:15" ht="18" customHeight="1" x14ac:dyDescent="0.2">
      <c r="B32" s="286" t="s">
        <v>758</v>
      </c>
      <c r="C32" s="3267">
        <v>3.262</v>
      </c>
      <c r="D32" s="3263" t="s">
        <v>2147</v>
      </c>
      <c r="E32" s="3263" t="s">
        <v>2147</v>
      </c>
      <c r="F32" s="3131">
        <f t="shared" ref="F32:F40" si="1">IF(SUM(C32)=0,"NA",G32*1000/C32)</f>
        <v>75.998718577559771</v>
      </c>
      <c r="G32" s="3239">
        <v>0.24790781999999997</v>
      </c>
    </row>
    <row r="33" spans="2:7" ht="18" customHeight="1" x14ac:dyDescent="0.2">
      <c r="B33" s="286" t="s">
        <v>759</v>
      </c>
      <c r="C33" s="3267">
        <v>2.2229999999999999</v>
      </c>
      <c r="D33" s="3263" t="s">
        <v>2147</v>
      </c>
      <c r="E33" s="3263" t="s">
        <v>2147</v>
      </c>
      <c r="F33" s="3131">
        <f t="shared" si="1"/>
        <v>45.992652612312611</v>
      </c>
      <c r="G33" s="3239">
        <v>0.10224166675717093</v>
      </c>
    </row>
    <row r="34" spans="2:7" ht="18" customHeight="1" x14ac:dyDescent="0.2">
      <c r="B34" s="286" t="s">
        <v>760</v>
      </c>
      <c r="C34" s="3267">
        <v>62.36</v>
      </c>
      <c r="D34" s="3263" t="s">
        <v>2147</v>
      </c>
      <c r="E34" s="3263" t="s">
        <v>2147</v>
      </c>
      <c r="F34" s="3131">
        <f t="shared" si="1"/>
        <v>20.000131494547787</v>
      </c>
      <c r="G34" s="3239">
        <v>1.2472082</v>
      </c>
    </row>
    <row r="35" spans="2:7" ht="18" customHeight="1" x14ac:dyDescent="0.2">
      <c r="B35" s="286" t="s">
        <v>761</v>
      </c>
      <c r="C35" s="3267">
        <v>622.85699999999997</v>
      </c>
      <c r="D35" s="3263" t="s">
        <v>2147</v>
      </c>
      <c r="E35" s="3263" t="s">
        <v>2147</v>
      </c>
      <c r="F35" s="3131">
        <f t="shared" si="1"/>
        <v>5.0000008027524769</v>
      </c>
      <c r="G35" s="3239">
        <v>3.1142854999999994</v>
      </c>
    </row>
    <row r="36" spans="2:7" ht="18" customHeight="1" x14ac:dyDescent="0.2">
      <c r="B36" s="286" t="s">
        <v>762</v>
      </c>
      <c r="C36" s="3267">
        <v>259.85399999999998</v>
      </c>
      <c r="D36" s="3263" t="s">
        <v>2147</v>
      </c>
      <c r="E36" s="3263" t="s">
        <v>2147</v>
      </c>
      <c r="F36" s="3131">
        <f t="shared" si="1"/>
        <v>18.000017086517815</v>
      </c>
      <c r="G36" s="3239">
        <v>4.6773764399999997</v>
      </c>
    </row>
    <row r="37" spans="2:7" ht="18" customHeight="1" x14ac:dyDescent="0.2">
      <c r="B37" s="286" t="s">
        <v>763</v>
      </c>
      <c r="C37" s="3267">
        <v>0.45800000000000002</v>
      </c>
      <c r="D37" s="3263" t="s">
        <v>2147</v>
      </c>
      <c r="E37" s="3263" t="s">
        <v>2147</v>
      </c>
      <c r="F37" s="3131">
        <f t="shared" si="1"/>
        <v>9.9996748896220584</v>
      </c>
      <c r="G37" s="3239">
        <v>4.5798510994469032E-3</v>
      </c>
    </row>
    <row r="38" spans="2:7" ht="18" customHeight="1" x14ac:dyDescent="0.2">
      <c r="B38" s="286" t="s">
        <v>764</v>
      </c>
      <c r="C38" s="3274">
        <v>69613.221000000005</v>
      </c>
      <c r="D38" s="3263" t="s">
        <v>2147</v>
      </c>
      <c r="E38" s="3263" t="s">
        <v>2147</v>
      </c>
      <c r="F38" s="3131" t="s">
        <v>2147</v>
      </c>
      <c r="G38" s="3264" t="s">
        <v>2154</v>
      </c>
    </row>
    <row r="39" spans="2:7" ht="18" customHeight="1" x14ac:dyDescent="0.2">
      <c r="B39" s="286" t="s">
        <v>765</v>
      </c>
      <c r="C39" s="2635">
        <f>SUM(C40:C44)</f>
        <v>125.96</v>
      </c>
      <c r="D39" s="3258"/>
      <c r="E39" s="3258"/>
      <c r="F39" s="3131">
        <f t="shared" si="1"/>
        <v>7.4668025770379582</v>
      </c>
      <c r="G39" s="3128">
        <f>SUM(G40:G44)</f>
        <v>0.94051845260370115</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22.385999999999999</v>
      </c>
      <c r="D42" s="2967" t="s">
        <v>2147</v>
      </c>
      <c r="E42" s="2967" t="s">
        <v>2147</v>
      </c>
      <c r="F42" s="3131">
        <f t="shared" si="2"/>
        <v>4.9998956966866075</v>
      </c>
      <c r="G42" s="3201">
        <v>0.11192766506602639</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103.574</v>
      </c>
      <c r="D44" s="3258"/>
      <c r="E44" s="3258"/>
      <c r="F44" s="3131">
        <f>IF(SUM(C44)=0,"NA",G44*1000/C44)</f>
        <v>7.999988293757843</v>
      </c>
      <c r="G44" s="3128">
        <f>G45</f>
        <v>0.82859078753767479</v>
      </c>
    </row>
    <row r="45" spans="2:7" ht="18" customHeight="1" thickBot="1" x14ac:dyDescent="0.25">
      <c r="B45" s="2636" t="s">
        <v>2199</v>
      </c>
      <c r="C45" s="3276">
        <v>103.574</v>
      </c>
      <c r="D45" s="3137" t="s">
        <v>2147</v>
      </c>
      <c r="E45" s="3137" t="s">
        <v>2147</v>
      </c>
      <c r="F45" s="3265">
        <f>IF(SUM(C45)=0,"NA",G45*1000/C45)</f>
        <v>7.999988293757843</v>
      </c>
      <c r="G45" s="3203">
        <v>0.82859078753767479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27321.121999999999</v>
      </c>
      <c r="D10" s="2942"/>
      <c r="E10" s="2942"/>
      <c r="F10" s="2942"/>
      <c r="G10" s="2942"/>
      <c r="H10" s="2942"/>
      <c r="I10" s="3279"/>
      <c r="J10" s="3280">
        <f>IF(SUM(C10)=0,"NA",K10*1000/C10)</f>
        <v>5.6075688798762284</v>
      </c>
      <c r="K10" s="3281">
        <f>K15</f>
        <v>153.2050734905018</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27321.121999999999</v>
      </c>
      <c r="D15" s="3293"/>
      <c r="E15" s="3293"/>
      <c r="F15" s="3293"/>
      <c r="G15" s="3293"/>
      <c r="H15" s="3293"/>
      <c r="I15" s="3288"/>
      <c r="J15" s="3287">
        <f>IF(SUM(C15)=0,"NA",K15*1000/C15)</f>
        <v>5.6075688798762284</v>
      </c>
      <c r="K15" s="3281">
        <f>SUM(K17:K20)</f>
        <v>153.2050734905018</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27321.121999999999</v>
      </c>
      <c r="D20" s="3293"/>
      <c r="E20" s="3293"/>
      <c r="F20" s="3293"/>
      <c r="G20" s="3293"/>
      <c r="H20" s="3293"/>
      <c r="I20" s="3288"/>
      <c r="J20" s="3301">
        <f>IF(SUM(C20)=0,"NA",K20*1000/C20)</f>
        <v>5.6075688798762284</v>
      </c>
      <c r="K20" s="3281">
        <f>SUM(K21:K23)</f>
        <v>153.2050734905018</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2537.029</v>
      </c>
      <c r="D21" s="3325">
        <v>7.8083855164979896</v>
      </c>
      <c r="E21" s="3325">
        <v>92.185941069541485</v>
      </c>
      <c r="F21" s="3325">
        <v>5.6734139605199999E-3</v>
      </c>
      <c r="G21" s="3298">
        <f>Table3.A!K10</f>
        <v>469.62966770453301</v>
      </c>
      <c r="H21" s="3299">
        <v>3.3882036048470798</v>
      </c>
      <c r="I21" s="3300">
        <v>0.24</v>
      </c>
      <c r="J21" s="3301">
        <f>IF(SUM(C21)=0,"NA",K21*1000/C21)</f>
        <v>13.850709997488499</v>
      </c>
      <c r="K21" s="3277">
        <v>35.139652934218248</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24098.530999999999</v>
      </c>
      <c r="D22" s="3325" t="s">
        <v>2146</v>
      </c>
      <c r="E22" s="3325">
        <v>83.131238620666807</v>
      </c>
      <c r="F22" s="3325">
        <v>16.868761379333201</v>
      </c>
      <c r="G22" s="3298">
        <f>Table3.A!L10</f>
        <v>365.71114808754697</v>
      </c>
      <c r="H22" s="3299" t="s">
        <v>2147</v>
      </c>
      <c r="I22" s="3300" t="s">
        <v>2147</v>
      </c>
      <c r="J22" s="3301">
        <f t="shared" ref="J22:J45" si="0">IF(SUM(C22)=0,"NA",K22*1000/C22)</f>
        <v>4.8015274412827429</v>
      </c>
      <c r="K22" s="3277">
        <v>115.70975789110285</v>
      </c>
      <c r="M22" s="1594" t="s">
        <v>800</v>
      </c>
      <c r="N22" s="4486" t="s">
        <v>2196</v>
      </c>
      <c r="O22" s="1690" t="s">
        <v>802</v>
      </c>
      <c r="P22" s="1691" t="s">
        <v>791</v>
      </c>
      <c r="Q22" s="3774">
        <v>5.2866938712304199</v>
      </c>
      <c r="R22" s="300" t="s">
        <v>2146</v>
      </c>
      <c r="S22" s="3772">
        <v>4.40279868140325</v>
      </c>
      <c r="T22" s="3772">
        <v>0.70044524476869907</v>
      </c>
      <c r="U22" s="3772" t="s">
        <v>2146</v>
      </c>
      <c r="V22" s="3772" t="s">
        <v>2153</v>
      </c>
      <c r="W22" s="3772" t="s">
        <v>2146</v>
      </c>
      <c r="X22" s="3772">
        <v>89.610062202597604</v>
      </c>
      <c r="Y22" s="301" t="s">
        <v>2146</v>
      </c>
      <c r="Z22" s="301" t="s">
        <v>2146</v>
      </c>
      <c r="AA22" s="301" t="s">
        <v>2146</v>
      </c>
      <c r="AB22" s="1306" t="s">
        <v>2146</v>
      </c>
    </row>
    <row r="23" spans="2:28" s="84" customFormat="1" ht="18" customHeight="1" x14ac:dyDescent="0.2">
      <c r="B23" s="2642" t="s">
        <v>2198</v>
      </c>
      <c r="C23" s="3325">
        <f>Table3.A!C23</f>
        <v>685.56200000000001</v>
      </c>
      <c r="D23" s="3325" t="s">
        <v>2146</v>
      </c>
      <c r="E23" s="3325">
        <v>100</v>
      </c>
      <c r="F23" s="3325" t="s">
        <v>2146</v>
      </c>
      <c r="G23" s="3298">
        <f>Table3.A!M10</f>
        <v>530.79689268128595</v>
      </c>
      <c r="H23" s="3299">
        <v>1.75330227648623</v>
      </c>
      <c r="I23" s="3300">
        <v>0.19</v>
      </c>
      <c r="J23" s="3301">
        <f t="shared" si="0"/>
        <v>3.4361044882602885</v>
      </c>
      <c r="K23" s="3277">
        <v>2.3556626651807</v>
      </c>
      <c r="M23" s="1664" t="s">
        <v>813</v>
      </c>
      <c r="N23" s="4487"/>
      <c r="O23" s="1692" t="s">
        <v>794</v>
      </c>
      <c r="P23" s="1693" t="s">
        <v>792</v>
      </c>
      <c r="Q23" s="3776">
        <v>7.9887813678183299</v>
      </c>
      <c r="R23" s="277" t="s">
        <v>2146</v>
      </c>
      <c r="S23" s="691">
        <v>2.3200548491543298</v>
      </c>
      <c r="T23" s="3147">
        <v>1.6900341131191814</v>
      </c>
      <c r="U23" s="3147" t="s">
        <v>2146</v>
      </c>
      <c r="V23" s="3147" t="s">
        <v>2153</v>
      </c>
      <c r="W23" s="3147" t="s">
        <v>2146</v>
      </c>
      <c r="X23" s="3147">
        <v>88.001129669908195</v>
      </c>
      <c r="Y23" s="278" t="s">
        <v>2146</v>
      </c>
      <c r="Z23" s="278" t="s">
        <v>2146</v>
      </c>
      <c r="AA23" s="278" t="s">
        <v>2146</v>
      </c>
      <c r="AB23" s="279" t="s">
        <v>2146</v>
      </c>
    </row>
    <row r="24" spans="2:28" s="84" customFormat="1" ht="18" customHeight="1" thickBot="1" x14ac:dyDescent="0.25">
      <c r="B24" s="1643" t="s">
        <v>811</v>
      </c>
      <c r="C24" s="4184">
        <f>C25</f>
        <v>76937.490000000005</v>
      </c>
      <c r="D24" s="3303"/>
      <c r="E24" s="3303"/>
      <c r="F24" s="3303"/>
      <c r="G24" s="3303"/>
      <c r="H24" s="3303"/>
      <c r="I24" s="3304"/>
      <c r="J24" s="3301">
        <f t="shared" si="0"/>
        <v>0.35651440259334671</v>
      </c>
      <c r="K24" s="3281">
        <f>K25</f>
        <v>27.429323284381589</v>
      </c>
      <c r="M24" s="1656"/>
      <c r="N24" s="4487"/>
      <c r="O24" s="1694"/>
      <c r="P24" s="1693" t="s">
        <v>793</v>
      </c>
      <c r="Q24" s="4208">
        <v>7.1824288206706797</v>
      </c>
      <c r="R24" s="304" t="s">
        <v>2146</v>
      </c>
      <c r="S24" s="1559">
        <v>5.7888232286002497</v>
      </c>
      <c r="T24" s="1560">
        <v>2.9918665508085462</v>
      </c>
      <c r="U24" s="1560" t="s">
        <v>2146</v>
      </c>
      <c r="V24" s="1560" t="s">
        <v>2153</v>
      </c>
      <c r="W24" s="1560" t="s">
        <v>2146</v>
      </c>
      <c r="X24" s="1560">
        <v>84.036881399920503</v>
      </c>
      <c r="Y24" s="305" t="s">
        <v>2146</v>
      </c>
      <c r="Z24" s="305" t="s">
        <v>2146</v>
      </c>
      <c r="AA24" s="305" t="s">
        <v>2146</v>
      </c>
      <c r="AB24" s="442" t="s">
        <v>2146</v>
      </c>
    </row>
    <row r="25" spans="2:28" s="84" customFormat="1" ht="18" customHeight="1" x14ac:dyDescent="0.2">
      <c r="B25" s="1644" t="s">
        <v>812</v>
      </c>
      <c r="C25" s="4184">
        <f>C26</f>
        <v>76937.490000000005</v>
      </c>
      <c r="D25" s="3250"/>
      <c r="E25" s="3250"/>
      <c r="F25" s="3250"/>
      <c r="G25" s="3250"/>
      <c r="H25" s="3250"/>
      <c r="I25" s="3260"/>
      <c r="J25" s="3301">
        <f t="shared" si="0"/>
        <v>0.35651440259334671</v>
      </c>
      <c r="K25" s="3281">
        <f>K26</f>
        <v>27.429323284381589</v>
      </c>
      <c r="M25" s="1656"/>
      <c r="N25" s="4487"/>
      <c r="O25" s="1695" t="s">
        <v>2026</v>
      </c>
      <c r="P25" s="1691" t="s">
        <v>791</v>
      </c>
      <c r="Q25" s="4209">
        <v>0.7</v>
      </c>
      <c r="R25" s="1308" t="s">
        <v>2146</v>
      </c>
      <c r="S25" s="692">
        <v>4.66875E-2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76937.490000000005</v>
      </c>
      <c r="D26" s="3325" t="s">
        <v>2146</v>
      </c>
      <c r="E26" s="3325">
        <v>100</v>
      </c>
      <c r="F26" s="3325" t="s">
        <v>2146</v>
      </c>
      <c r="G26" s="3305">
        <f>Table3.A!N10</f>
        <v>45.971680442582297</v>
      </c>
      <c r="H26" s="3033" t="s">
        <v>2147</v>
      </c>
      <c r="I26" s="3126" t="s">
        <v>2147</v>
      </c>
      <c r="J26" s="3301">
        <f t="shared" si="0"/>
        <v>0.35651440259334671</v>
      </c>
      <c r="K26" s="3277">
        <v>27.429323284381589</v>
      </c>
      <c r="M26" s="1656"/>
      <c r="N26" s="4487"/>
      <c r="O26" s="1696"/>
      <c r="P26" s="1693" t="s">
        <v>792</v>
      </c>
      <c r="Q26" s="3776">
        <v>0.74403363029677005</v>
      </c>
      <c r="R26" s="277" t="s">
        <v>2146</v>
      </c>
      <c r="S26" s="691">
        <v>7.4269780439679994E-2</v>
      </c>
      <c r="T26" s="3147">
        <v>1.9999999999999998</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2411.5160000000001</v>
      </c>
      <c r="D27" s="3250"/>
      <c r="E27" s="3250"/>
      <c r="F27" s="3250"/>
      <c r="G27" s="3250"/>
      <c r="H27" s="3250"/>
      <c r="I27" s="3260"/>
      <c r="J27" s="3301">
        <f t="shared" si="0"/>
        <v>22.250104673333034</v>
      </c>
      <c r="K27" s="3281">
        <f>K28</f>
        <v>53.656483421417391</v>
      </c>
      <c r="M27" s="1656"/>
      <c r="N27" s="4488"/>
      <c r="O27" s="1697"/>
      <c r="P27" s="1693" t="s">
        <v>793</v>
      </c>
      <c r="Q27" s="4208">
        <v>0.8</v>
      </c>
      <c r="R27" s="304" t="s">
        <v>2146</v>
      </c>
      <c r="S27" s="1559">
        <v>0.27314814814815003</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2411.5160000000001</v>
      </c>
      <c r="D28" s="3250"/>
      <c r="E28" s="3250"/>
      <c r="F28" s="3250"/>
      <c r="G28" s="3250"/>
      <c r="H28" s="3250"/>
      <c r="I28" s="3260"/>
      <c r="J28" s="3301">
        <f t="shared" si="0"/>
        <v>22.250104673333034</v>
      </c>
      <c r="K28" s="3281">
        <f>K29</f>
        <v>53.656483421417391</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2411.5160000000001</v>
      </c>
      <c r="D29" s="3325">
        <v>0.51788989771603999</v>
      </c>
      <c r="E29" s="3325">
        <v>99.482110102283954</v>
      </c>
      <c r="F29" s="3325" t="s">
        <v>2146</v>
      </c>
      <c r="G29" s="3305">
        <f>Table3.A!O10</f>
        <v>58.021071151364403</v>
      </c>
      <c r="H29" s="3033">
        <v>0.37243330648902001</v>
      </c>
      <c r="I29" s="3126">
        <v>0.45</v>
      </c>
      <c r="J29" s="3301">
        <f t="shared" si="0"/>
        <v>22.250104673333034</v>
      </c>
      <c r="K29" s="3277">
        <v>53.656483421417391</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70690.195000000007</v>
      </c>
      <c r="D30" s="3250"/>
      <c r="E30" s="3250"/>
      <c r="F30" s="3250"/>
      <c r="G30" s="3250"/>
      <c r="H30" s="3250"/>
      <c r="I30" s="3260"/>
      <c r="J30" s="3301">
        <f t="shared" si="0"/>
        <v>5.3451172030941005E-2</v>
      </c>
      <c r="K30" s="3281">
        <f>SUM(K32:K39)</f>
        <v>3.7784737738457661</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3.262</v>
      </c>
      <c r="D32" s="3325" t="s">
        <v>2146</v>
      </c>
      <c r="E32" s="3325" t="s">
        <v>2146</v>
      </c>
      <c r="F32" s="3325">
        <v>100</v>
      </c>
      <c r="G32" s="3307" t="s">
        <v>2147</v>
      </c>
      <c r="H32" s="3307" t="s">
        <v>2147</v>
      </c>
      <c r="I32" s="3307" t="s">
        <v>2147</v>
      </c>
      <c r="J32" s="3301">
        <f t="shared" si="0"/>
        <v>11.569801602749743</v>
      </c>
      <c r="K32" s="3277">
        <v>3.7740692828169664E-2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2.2229999999999999</v>
      </c>
      <c r="D33" s="3325" t="s">
        <v>2146</v>
      </c>
      <c r="E33" s="3325">
        <v>22.953182808518406</v>
      </c>
      <c r="F33" s="3325">
        <v>77.046817191481594</v>
      </c>
      <c r="G33" s="3307" t="s">
        <v>2147</v>
      </c>
      <c r="H33" s="3307" t="s">
        <v>2147</v>
      </c>
      <c r="I33" s="3307" t="s">
        <v>2147</v>
      </c>
      <c r="J33" s="3287">
        <f t="shared" si="0"/>
        <v>9.6012906489859464</v>
      </c>
      <c r="K33" s="3277">
        <v>2.1343669112695758E-2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62.36</v>
      </c>
      <c r="D34" s="3325" t="s">
        <v>2146</v>
      </c>
      <c r="E34" s="3325">
        <v>100</v>
      </c>
      <c r="F34" s="3325" t="e">
        <v>#VALUE!</v>
      </c>
      <c r="G34" s="3307" t="s">
        <v>2147</v>
      </c>
      <c r="H34" s="3307" t="s">
        <v>2147</v>
      </c>
      <c r="I34" s="3307" t="s">
        <v>2147</v>
      </c>
      <c r="J34" s="3287">
        <f t="shared" si="0"/>
        <v>0.99988283041747117</v>
      </c>
      <c r="K34" s="3277">
        <v>6.2352693304833499E-2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622.85699999999997</v>
      </c>
      <c r="D35" s="3325" t="s">
        <v>2146</v>
      </c>
      <c r="E35" s="3325">
        <v>99.917416049363496</v>
      </c>
      <c r="F35" s="3325">
        <v>8.2583950636510001E-2</v>
      </c>
      <c r="G35" s="3307" t="s">
        <v>2147</v>
      </c>
      <c r="H35" s="3307" t="s">
        <v>2147</v>
      </c>
      <c r="I35" s="3307" t="s">
        <v>2147</v>
      </c>
      <c r="J35" s="3287">
        <f t="shared" si="0"/>
        <v>0.35816572421485465</v>
      </c>
      <c r="K35" s="3277">
        <v>0.22308602848729173</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259.85399999999998</v>
      </c>
      <c r="D36" s="3325" t="s">
        <v>2146</v>
      </c>
      <c r="E36" s="3325">
        <v>97.558073388679404</v>
      </c>
      <c r="F36" s="3325">
        <v>2.4419266113206</v>
      </c>
      <c r="G36" s="3307" t="s">
        <v>2147</v>
      </c>
      <c r="H36" s="3307" t="s">
        <v>2147</v>
      </c>
      <c r="I36" s="3307" t="s">
        <v>2147</v>
      </c>
      <c r="J36" s="3287">
        <f t="shared" si="0"/>
        <v>3.2089139103257045</v>
      </c>
      <c r="K36" s="3277">
        <v>0.83384911525377559</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0.45800000000000002</v>
      </c>
      <c r="D37" s="3325" t="s">
        <v>2146</v>
      </c>
      <c r="E37" s="3325">
        <v>91.855270033638305</v>
      </c>
      <c r="F37" s="3325">
        <v>8.1447299663616999</v>
      </c>
      <c r="G37" s="3307" t="s">
        <v>2147</v>
      </c>
      <c r="H37" s="3307" t="s">
        <v>2147</v>
      </c>
      <c r="I37" s="3307" t="s">
        <v>2147</v>
      </c>
      <c r="J37" s="3287">
        <f t="shared" si="0"/>
        <v>1.2325139594358019</v>
      </c>
      <c r="K37" s="3277">
        <v>5.6449139342159725E-4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69613.221000000005</v>
      </c>
      <c r="D38" s="3325">
        <v>1.3304008331905799</v>
      </c>
      <c r="E38" s="3325">
        <v>98.669599166809419</v>
      </c>
      <c r="F38" s="3325" t="s">
        <v>2146</v>
      </c>
      <c r="G38" s="3307" t="s">
        <v>2147</v>
      </c>
      <c r="H38" s="3307" t="s">
        <v>2147</v>
      </c>
      <c r="I38" s="3307" t="s">
        <v>2147</v>
      </c>
      <c r="J38" s="3287">
        <f t="shared" si="0"/>
        <v>3.6696031579545325E-2</v>
      </c>
      <c r="K38" s="3277">
        <v>2.5545289561698676</v>
      </c>
      <c r="M38" s="1656"/>
      <c r="N38" s="4487"/>
      <c r="O38" s="1696"/>
      <c r="P38" s="1693" t="s">
        <v>792</v>
      </c>
      <c r="Q38" s="3776">
        <v>0.76193023889457001</v>
      </c>
      <c r="R38" s="277" t="s">
        <v>2146</v>
      </c>
      <c r="S38" s="277" t="s">
        <v>2146</v>
      </c>
      <c r="T38" s="3147" t="s">
        <v>2153</v>
      </c>
      <c r="U38" s="3147" t="s">
        <v>2146</v>
      </c>
      <c r="V38" s="3147">
        <v>2.0504917202911043E-2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125.96</v>
      </c>
      <c r="D39" s="3294"/>
      <c r="E39" s="3294"/>
      <c r="F39" s="3294"/>
      <c r="G39" s="3294"/>
      <c r="H39" s="3294"/>
      <c r="I39" s="3295"/>
      <c r="J39" s="3287">
        <f t="shared" si="0"/>
        <v>0.35732079466268002</v>
      </c>
      <c r="K39" s="3281">
        <f>SUM(K40:K44)</f>
        <v>4.500812729571118E-2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59.9</v>
      </c>
      <c r="R40" s="300" t="s">
        <v>2146</v>
      </c>
      <c r="S40" s="300" t="s">
        <v>2146</v>
      </c>
      <c r="T40" s="3773" t="s">
        <v>2153</v>
      </c>
      <c r="U40" s="3773" t="s">
        <v>2153</v>
      </c>
      <c r="V40" s="3773">
        <v>36.1</v>
      </c>
      <c r="W40" s="3773" t="s">
        <v>2153</v>
      </c>
      <c r="X40" s="301" t="s">
        <v>2146</v>
      </c>
      <c r="Y40" s="301" t="s">
        <v>2146</v>
      </c>
      <c r="Z40" s="3773" t="s">
        <v>2146</v>
      </c>
      <c r="AA40" s="301" t="s">
        <v>2146</v>
      </c>
      <c r="AB40" s="3775">
        <v>32.5</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68.590761075102094</v>
      </c>
      <c r="R41" s="277" t="s">
        <v>2146</v>
      </c>
      <c r="S41" s="277" t="s">
        <v>2146</v>
      </c>
      <c r="T41" s="3147" t="s">
        <v>2153</v>
      </c>
      <c r="U41" s="3147" t="s">
        <v>2153</v>
      </c>
      <c r="V41" s="3147">
        <v>28.108211994285664</v>
      </c>
      <c r="W41" s="3147" t="s">
        <v>2153</v>
      </c>
      <c r="X41" s="278" t="s">
        <v>2146</v>
      </c>
      <c r="Y41" s="278" t="s">
        <v>2146</v>
      </c>
      <c r="Z41" s="3147">
        <v>0.55599737177515995</v>
      </c>
      <c r="AA41" s="278" t="s">
        <v>2146</v>
      </c>
      <c r="AB41" s="2911">
        <v>23.795885037017399</v>
      </c>
    </row>
    <row r="42" spans="2:28" s="84" customFormat="1" ht="18" customHeight="1" thickBot="1" x14ac:dyDescent="0.25">
      <c r="B42" s="350" t="s">
        <v>828</v>
      </c>
      <c r="C42" s="3307">
        <f>Table3.A!C42</f>
        <v>22.385999999999999</v>
      </c>
      <c r="D42" s="3325" t="s">
        <v>2146</v>
      </c>
      <c r="E42" s="3325">
        <v>100</v>
      </c>
      <c r="F42" s="3325" t="s">
        <v>2146</v>
      </c>
      <c r="G42" s="3307" t="s">
        <v>2147</v>
      </c>
      <c r="H42" s="3307" t="s">
        <v>2147</v>
      </c>
      <c r="I42" s="3307" t="s">
        <v>2147</v>
      </c>
      <c r="J42" s="3287">
        <f t="shared" si="0"/>
        <v>0.35731509536096689</v>
      </c>
      <c r="K42" s="3277">
        <v>7.9988557247506042E-3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1.8337950138504155</v>
      </c>
      <c r="W43" s="3773" t="s">
        <v>2153</v>
      </c>
      <c r="X43" s="301" t="s">
        <v>2146</v>
      </c>
      <c r="Y43" s="301" t="s">
        <v>2146</v>
      </c>
      <c r="Z43" s="3773" t="s">
        <v>2146</v>
      </c>
      <c r="AA43" s="301" t="s">
        <v>2146</v>
      </c>
      <c r="AB43" s="3775">
        <v>3.9230769230769999E-2</v>
      </c>
    </row>
    <row r="44" spans="2:28" s="84" customFormat="1" ht="18" customHeight="1" x14ac:dyDescent="0.2">
      <c r="B44" s="2644" t="s">
        <v>2091</v>
      </c>
      <c r="C44" s="4184">
        <f>C45</f>
        <v>103.574</v>
      </c>
      <c r="D44" s="3294"/>
      <c r="E44" s="3294"/>
      <c r="F44" s="3294"/>
      <c r="G44" s="3294"/>
      <c r="H44" s="3294"/>
      <c r="I44" s="3295"/>
      <c r="J44" s="3287">
        <f t="shared" si="0"/>
        <v>0.35732202648309974</v>
      </c>
      <c r="K44" s="3281">
        <f>K45</f>
        <v>3.7009271570960574E-2</v>
      </c>
      <c r="M44" s="4491"/>
      <c r="N44" s="4492"/>
      <c r="O44" s="1696"/>
      <c r="P44" s="1693" t="s">
        <v>792</v>
      </c>
      <c r="Q44" s="3776">
        <v>0.75562295724800999</v>
      </c>
      <c r="R44" s="277" t="s">
        <v>2146</v>
      </c>
      <c r="S44" s="277" t="s">
        <v>2146</v>
      </c>
      <c r="T44" s="3147" t="s">
        <v>2153</v>
      </c>
      <c r="U44" s="3147" t="s">
        <v>2153</v>
      </c>
      <c r="V44" s="3147">
        <v>1.8989699937837083</v>
      </c>
      <c r="W44" s="3147" t="s">
        <v>2153</v>
      </c>
      <c r="X44" s="278" t="s">
        <v>2146</v>
      </c>
      <c r="Y44" s="278" t="s">
        <v>2146</v>
      </c>
      <c r="Z44" s="3147">
        <v>0.1</v>
      </c>
      <c r="AA44" s="278" t="s">
        <v>2146</v>
      </c>
      <c r="AB44" s="2911">
        <v>3.9457950556130002E-2</v>
      </c>
    </row>
    <row r="45" spans="2:28" s="84" customFormat="1" ht="18" customHeight="1" thickBot="1" x14ac:dyDescent="0.25">
      <c r="B45" s="2648" t="s">
        <v>2199</v>
      </c>
      <c r="C45" s="4186">
        <f>Table3.A!C45</f>
        <v>103.574</v>
      </c>
      <c r="D45" s="3040" t="s">
        <v>2146</v>
      </c>
      <c r="E45" s="3040">
        <v>100</v>
      </c>
      <c r="F45" s="3040" t="s">
        <v>2146</v>
      </c>
      <c r="G45" s="3040" t="s">
        <v>2147</v>
      </c>
      <c r="H45" s="3040" t="s">
        <v>2147</v>
      </c>
      <c r="I45" s="3308" t="s">
        <v>2147</v>
      </c>
      <c r="J45" s="3309">
        <f t="shared" si="0"/>
        <v>0.35732202648309974</v>
      </c>
      <c r="K45" s="3278">
        <v>3.7009271570960574E-2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45.174117425352755</v>
      </c>
      <c r="U46" s="3773" t="s">
        <v>2146</v>
      </c>
      <c r="V46" s="3773" t="s">
        <v>2146</v>
      </c>
      <c r="W46" s="3773" t="s">
        <v>2153</v>
      </c>
      <c r="X46" s="3773">
        <v>0.95478261173852996</v>
      </c>
      <c r="Y46" s="3773">
        <v>18.717052273438</v>
      </c>
      <c r="Z46" s="3773">
        <v>0.30871041400811</v>
      </c>
      <c r="AA46" s="301" t="s">
        <v>2146</v>
      </c>
      <c r="AB46" s="3775">
        <v>99.045217388261506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44.723391960202925</v>
      </c>
      <c r="U47" s="3147" t="s">
        <v>2146</v>
      </c>
      <c r="V47" s="3147" t="s">
        <v>2146</v>
      </c>
      <c r="W47" s="3147" t="s">
        <v>2153</v>
      </c>
      <c r="X47" s="3147">
        <v>0.95763276955100995</v>
      </c>
      <c r="Y47" s="3147">
        <v>18.8102738100898</v>
      </c>
      <c r="Z47" s="3147">
        <v>0.28925167408284003</v>
      </c>
      <c r="AA47" s="278" t="s">
        <v>2146</v>
      </c>
      <c r="AB47" s="2911">
        <v>99.042367230449003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1.3261680116179999E-2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27321.121999999999</v>
      </c>
      <c r="D10" s="3490"/>
      <c r="E10" s="3491"/>
      <c r="F10" s="3478">
        <f>F15</f>
        <v>25931862.420917504</v>
      </c>
      <c r="G10" s="3478" t="str">
        <f t="shared" ref="G10:R10" si="0">G15</f>
        <v>NO</v>
      </c>
      <c r="H10" s="3478">
        <f t="shared" si="0"/>
        <v>7864501.9648731202</v>
      </c>
      <c r="I10" s="3478">
        <f t="shared" si="0"/>
        <v>5139084.8724607481</v>
      </c>
      <c r="J10" s="3478" t="str">
        <f t="shared" si="0"/>
        <v>NO</v>
      </c>
      <c r="K10" s="3478">
        <f t="shared" si="0"/>
        <v>60339356.941612728</v>
      </c>
      <c r="L10" s="3478">
        <f t="shared" si="0"/>
        <v>7175754.545756991</v>
      </c>
      <c r="M10" s="3478">
        <f t="shared" si="0"/>
        <v>1137195937.0365481</v>
      </c>
      <c r="N10" s="3478">
        <f t="shared" si="0"/>
        <v>7175754.545756991</v>
      </c>
      <c r="O10" s="3478" t="str">
        <f t="shared" si="0"/>
        <v>NO</v>
      </c>
      <c r="P10" s="3478" t="str">
        <f t="shared" si="0"/>
        <v>NO</v>
      </c>
      <c r="Q10" s="3478" t="str">
        <f t="shared" si="0"/>
        <v>NO</v>
      </c>
      <c r="R10" s="3478">
        <f t="shared" si="0"/>
        <v>1250822252.3279264</v>
      </c>
      <c r="S10" s="2651"/>
      <c r="T10" s="2652"/>
      <c r="U10" s="3456">
        <f>IF(SUM(X10)=0,"NA",X10*1000/C10)</f>
        <v>2.4111502557695792E-2</v>
      </c>
      <c r="V10" s="3448"/>
      <c r="W10" s="3449"/>
      <c r="X10" s="3311">
        <f t="shared" ref="X10" si="1">X15</f>
        <v>0.65875330298211876</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27321.121999999999</v>
      </c>
      <c r="D15" s="3493"/>
      <c r="E15" s="3493"/>
      <c r="F15" s="2649">
        <f>F20</f>
        <v>25931862.420917504</v>
      </c>
      <c r="G15" s="2649" t="str">
        <f t="shared" ref="G15:R15" si="2">G20</f>
        <v>NO</v>
      </c>
      <c r="H15" s="2649">
        <f t="shared" si="2"/>
        <v>7864501.9648731202</v>
      </c>
      <c r="I15" s="2649">
        <f t="shared" si="2"/>
        <v>5139084.8724607481</v>
      </c>
      <c r="J15" s="2649" t="str">
        <f t="shared" si="2"/>
        <v>NO</v>
      </c>
      <c r="K15" s="2649">
        <f t="shared" si="2"/>
        <v>60339356.941612728</v>
      </c>
      <c r="L15" s="2649">
        <f t="shared" si="2"/>
        <v>7175754.545756991</v>
      </c>
      <c r="M15" s="2649">
        <f t="shared" si="2"/>
        <v>1137195937.0365481</v>
      </c>
      <c r="N15" s="2649">
        <f t="shared" si="2"/>
        <v>7175754.545756991</v>
      </c>
      <c r="O15" s="2649" t="str">
        <f t="shared" si="2"/>
        <v>NO</v>
      </c>
      <c r="P15" s="2649" t="str">
        <f t="shared" si="2"/>
        <v>NO</v>
      </c>
      <c r="Q15" s="2649" t="str">
        <f t="shared" si="2"/>
        <v>NO</v>
      </c>
      <c r="R15" s="2649">
        <f t="shared" si="2"/>
        <v>1250822252.3279264</v>
      </c>
      <c r="S15" s="2657"/>
      <c r="T15" s="2658"/>
      <c r="U15" s="3456">
        <f>IF(SUM(X15)=0,"NA",X15*1000/C15)</f>
        <v>2.4111502557695792E-2</v>
      </c>
      <c r="V15" s="3454"/>
      <c r="W15" s="3455"/>
      <c r="X15" s="3314">
        <f t="shared" ref="X15" si="3">X20</f>
        <v>0.65875330298211876</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27321.121999999999</v>
      </c>
      <c r="D20" s="3492"/>
      <c r="E20" s="3492"/>
      <c r="F20" s="2649">
        <f>IF(SUM(F21:F23)=0,"NO",SUM(F21:F23))</f>
        <v>25931862.420917504</v>
      </c>
      <c r="G20" s="2649" t="str">
        <f t="shared" ref="G20:Q20" si="6">IF(SUM(G21:G23)=0,"NO",SUM(G21:G23))</f>
        <v>NO</v>
      </c>
      <c r="H20" s="2649">
        <f t="shared" si="6"/>
        <v>7864501.9648731202</v>
      </c>
      <c r="I20" s="2649">
        <f t="shared" si="6"/>
        <v>5139084.8724607481</v>
      </c>
      <c r="J20" s="2649" t="str">
        <f t="shared" si="6"/>
        <v>NO</v>
      </c>
      <c r="K20" s="2649">
        <f t="shared" si="6"/>
        <v>60339356.941612728</v>
      </c>
      <c r="L20" s="2649">
        <f t="shared" si="6"/>
        <v>7175754.545756991</v>
      </c>
      <c r="M20" s="2649">
        <f t="shared" si="6"/>
        <v>1137195937.0365481</v>
      </c>
      <c r="N20" s="2649">
        <f t="shared" si="6"/>
        <v>7175754.545756991</v>
      </c>
      <c r="O20" s="2649" t="str">
        <f t="shared" si="6"/>
        <v>NO</v>
      </c>
      <c r="P20" s="2649" t="str">
        <f t="shared" si="6"/>
        <v>NO</v>
      </c>
      <c r="Q20" s="2649" t="str">
        <f t="shared" si="6"/>
        <v>NO</v>
      </c>
      <c r="R20" s="3482">
        <f>IF(SUM(F20:Q20)=0,"NO",SUM(F20:Q20))</f>
        <v>1250822252.3279264</v>
      </c>
      <c r="S20" s="2657"/>
      <c r="T20" s="2658"/>
      <c r="U20" s="3456">
        <f t="shared" si="4"/>
        <v>2.4111502557695792E-2</v>
      </c>
      <c r="V20" s="3454"/>
      <c r="W20" s="3455"/>
      <c r="X20" s="3314">
        <f t="shared" ref="X20" si="7">IF(SUM(X21:X23)=0,"NO",SUM(X21:X23))</f>
        <v>0.65875330298211876</v>
      </c>
      <c r="Y20" s="3173"/>
      <c r="Z20" s="3457"/>
    </row>
    <row r="21" spans="2:26" ht="18" customHeight="1" x14ac:dyDescent="0.2">
      <c r="B21" s="2647" t="s">
        <v>2196</v>
      </c>
      <c r="C21" s="3495">
        <f>Table3.A!C21</f>
        <v>2537.029</v>
      </c>
      <c r="D21" s="3307">
        <v>128.64713182233319</v>
      </c>
      <c r="E21" s="3494">
        <f>'Table3.B(a)'!G21</f>
        <v>469.62966770453301</v>
      </c>
      <c r="F21" s="3479">
        <v>25029302.2438231</v>
      </c>
      <c r="G21" s="3479" t="s">
        <v>2146</v>
      </c>
      <c r="H21" s="3479">
        <v>7864501.9648731202</v>
      </c>
      <c r="I21" s="3479">
        <v>5139084.8724607481</v>
      </c>
      <c r="J21" s="3479" t="s">
        <v>2146</v>
      </c>
      <c r="K21" s="3479" t="s">
        <v>2153</v>
      </c>
      <c r="L21" s="3479" t="s">
        <v>2146</v>
      </c>
      <c r="M21" s="3479">
        <v>288348606.90530002</v>
      </c>
      <c r="N21" s="3479" t="s">
        <v>2146</v>
      </c>
      <c r="O21" s="3479" t="s">
        <v>2146</v>
      </c>
      <c r="P21" s="3479" t="s">
        <v>2146</v>
      </c>
      <c r="Q21" s="3479" t="s">
        <v>2146</v>
      </c>
      <c r="R21" s="3482">
        <f t="shared" ref="R21:R45" si="8">IF(SUM(F21:Q21)=0,"NO",SUM(F21:Q21))</f>
        <v>326381495.98645699</v>
      </c>
      <c r="S21" s="2657"/>
      <c r="T21" s="2658"/>
      <c r="U21" s="3456">
        <f t="shared" si="4"/>
        <v>1.5915673016708078E-2</v>
      </c>
      <c r="V21" s="3454"/>
      <c r="W21" s="3455"/>
      <c r="X21" s="3315">
        <v>4.0378523997905875E-2</v>
      </c>
      <c r="Y21" s="3173"/>
      <c r="Z21" s="3457"/>
    </row>
    <row r="22" spans="2:26" ht="18" customHeight="1" x14ac:dyDescent="0.2">
      <c r="B22" s="2647" t="s">
        <v>2197</v>
      </c>
      <c r="C22" s="3495">
        <f>Table3.A!C22</f>
        <v>24098.530999999999</v>
      </c>
      <c r="D22" s="3307">
        <v>35.22402753537704</v>
      </c>
      <c r="E22" s="3494">
        <f>'Table3.B(a)'!G22</f>
        <v>365.71114808754697</v>
      </c>
      <c r="F22" s="3483" t="s">
        <v>2146</v>
      </c>
      <c r="G22" s="3479" t="s">
        <v>2146</v>
      </c>
      <c r="H22" s="3483" t="s">
        <v>2146</v>
      </c>
      <c r="I22" s="3483" t="s">
        <v>2146</v>
      </c>
      <c r="J22" s="3483" t="s">
        <v>2146</v>
      </c>
      <c r="K22" s="3483" t="s">
        <v>2146</v>
      </c>
      <c r="L22" s="3483" t="s">
        <v>2146</v>
      </c>
      <c r="M22" s="3483">
        <v>848847330.131248</v>
      </c>
      <c r="N22" s="3483" t="s">
        <v>2146</v>
      </c>
      <c r="O22" s="3483" t="s">
        <v>2146</v>
      </c>
      <c r="P22" s="3483" t="s">
        <v>2146</v>
      </c>
      <c r="Q22" s="3483" t="s">
        <v>2146</v>
      </c>
      <c r="R22" s="3482">
        <f t="shared" si="8"/>
        <v>848847330.131248</v>
      </c>
      <c r="S22" s="2657"/>
      <c r="T22" s="2658"/>
      <c r="U22" s="3456" t="str">
        <f>IF(SUM(X22)=0,"NA",X22*1000/C22)</f>
        <v>NA</v>
      </c>
      <c r="V22" s="3454"/>
      <c r="W22" s="3455"/>
      <c r="X22" s="3315" t="s">
        <v>2147</v>
      </c>
      <c r="Y22" s="3173"/>
      <c r="Z22" s="3457"/>
    </row>
    <row r="23" spans="2:26" ht="18" customHeight="1" x14ac:dyDescent="0.2">
      <c r="B23" s="2647" t="s">
        <v>2198</v>
      </c>
      <c r="C23" s="3495">
        <f>Table3.A!C23</f>
        <v>685.56200000000001</v>
      </c>
      <c r="D23" s="3307">
        <v>73.140363852051294</v>
      </c>
      <c r="E23" s="3494">
        <f>'Table3.B(a)'!G23</f>
        <v>530.79689268128595</v>
      </c>
      <c r="F23" s="3483">
        <v>902560.17709440296</v>
      </c>
      <c r="G23" s="3479" t="s">
        <v>2146</v>
      </c>
      <c r="H23" s="3483" t="s">
        <v>2146</v>
      </c>
      <c r="I23" s="3483" t="s">
        <v>2153</v>
      </c>
      <c r="J23" s="3483" t="s">
        <v>2153</v>
      </c>
      <c r="K23" s="3483">
        <v>60339356.941612728</v>
      </c>
      <c r="L23" s="3483">
        <v>7175754.545756991</v>
      </c>
      <c r="M23" s="3483" t="s">
        <v>2146</v>
      </c>
      <c r="N23" s="3483">
        <v>7175754.545756991</v>
      </c>
      <c r="O23" s="3483" t="s">
        <v>2146</v>
      </c>
      <c r="P23" s="3483" t="s">
        <v>2146</v>
      </c>
      <c r="Q23" s="3483" t="s">
        <v>2146</v>
      </c>
      <c r="R23" s="3482">
        <f t="shared" si="8"/>
        <v>75593426.210221112</v>
      </c>
      <c r="S23" s="2657"/>
      <c r="T23" s="2658"/>
      <c r="U23" s="3456">
        <f t="shared" ref="U23:U30" si="9">IF(SUM(X23)=0,"NA",X23*1000/C23)</f>
        <v>0.90199687115711324</v>
      </c>
      <c r="V23" s="3454"/>
      <c r="W23" s="3455"/>
      <c r="X23" s="3315">
        <v>0.61837477898421289</v>
      </c>
      <c r="Y23" s="3173"/>
      <c r="Z23" s="3457"/>
    </row>
    <row r="24" spans="2:26" ht="18" customHeight="1" x14ac:dyDescent="0.2">
      <c r="B24" s="351" t="s">
        <v>811</v>
      </c>
      <c r="C24" s="3314">
        <f>C25</f>
        <v>76937.490000000005</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547169185.35933995</v>
      </c>
      <c r="N24" s="2649" t="str">
        <f t="shared" si="10"/>
        <v>NO</v>
      </c>
      <c r="O24" s="2649" t="str">
        <f t="shared" si="10"/>
        <v>NO</v>
      </c>
      <c r="P24" s="2649" t="str">
        <f t="shared" si="10"/>
        <v>NO</v>
      </c>
      <c r="Q24" s="2649" t="str">
        <f t="shared" si="10"/>
        <v>NO</v>
      </c>
      <c r="R24" s="3482">
        <f t="shared" si="8"/>
        <v>547169185.35933995</v>
      </c>
      <c r="S24" s="2657"/>
      <c r="T24" s="2658"/>
      <c r="U24" s="3456" t="str">
        <f t="shared" si="9"/>
        <v>NA</v>
      </c>
      <c r="V24" s="3454"/>
      <c r="W24" s="3455"/>
      <c r="X24" s="3314" t="str">
        <f t="shared" ref="X24:X25" si="11">X25</f>
        <v>NA</v>
      </c>
      <c r="Y24" s="3173"/>
      <c r="Z24" s="3457"/>
    </row>
    <row r="25" spans="2:26" ht="18" customHeight="1" x14ac:dyDescent="0.2">
      <c r="B25" s="350" t="s">
        <v>812</v>
      </c>
      <c r="C25" s="3314">
        <f>C26</f>
        <v>76937.490000000005</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547169185.35933995</v>
      </c>
      <c r="N25" s="2649" t="str">
        <f t="shared" si="10"/>
        <v>NO</v>
      </c>
      <c r="O25" s="2649" t="str">
        <f t="shared" si="10"/>
        <v>NO</v>
      </c>
      <c r="P25" s="2649" t="str">
        <f t="shared" si="10"/>
        <v>NO</v>
      </c>
      <c r="Q25" s="2649" t="str">
        <f t="shared" si="10"/>
        <v>NO</v>
      </c>
      <c r="R25" s="3482">
        <f t="shared" si="8"/>
        <v>547169185.35933995</v>
      </c>
      <c r="S25" s="2657"/>
      <c r="T25" s="2658"/>
      <c r="U25" s="3456" t="str">
        <f t="shared" si="9"/>
        <v>NA</v>
      </c>
      <c r="V25" s="3454"/>
      <c r="W25" s="3455"/>
      <c r="X25" s="3314" t="str">
        <f t="shared" si="11"/>
        <v>NA</v>
      </c>
      <c r="Y25" s="3173"/>
      <c r="Z25" s="3457"/>
    </row>
    <row r="26" spans="2:26" ht="18" customHeight="1" x14ac:dyDescent="0.2">
      <c r="B26" s="2642" t="s">
        <v>2201</v>
      </c>
      <c r="C26" s="3495">
        <f>Table3.A!C26</f>
        <v>76937.490000000005</v>
      </c>
      <c r="D26" s="3307">
        <v>7.1118668591780123</v>
      </c>
      <c r="E26" s="3494">
        <f>'Table3.B(a)'!G26</f>
        <v>45.971680442582297</v>
      </c>
      <c r="F26" s="3483" t="s">
        <v>2146</v>
      </c>
      <c r="G26" s="3479" t="s">
        <v>2146</v>
      </c>
      <c r="H26" s="3483" t="s">
        <v>2146</v>
      </c>
      <c r="I26" s="3483" t="s">
        <v>2146</v>
      </c>
      <c r="J26" s="3483" t="s">
        <v>2146</v>
      </c>
      <c r="K26" s="3483" t="s">
        <v>2146</v>
      </c>
      <c r="L26" s="3483" t="s">
        <v>2146</v>
      </c>
      <c r="M26" s="3479">
        <v>547169185.35933995</v>
      </c>
      <c r="N26" s="3483" t="s">
        <v>2146</v>
      </c>
      <c r="O26" s="3483" t="s">
        <v>2146</v>
      </c>
      <c r="P26" s="3483" t="s">
        <v>2146</v>
      </c>
      <c r="Q26" s="3483" t="s">
        <v>2146</v>
      </c>
      <c r="R26" s="3482">
        <f t="shared" si="8"/>
        <v>547169185.35933995</v>
      </c>
      <c r="S26" s="2657"/>
      <c r="T26" s="2658"/>
      <c r="U26" s="3456" t="str">
        <f t="shared" si="9"/>
        <v>NA</v>
      </c>
      <c r="V26" s="3454"/>
      <c r="W26" s="3455"/>
      <c r="X26" s="3315" t="s">
        <v>2147</v>
      </c>
      <c r="Y26" s="3173"/>
      <c r="Z26" s="3457"/>
    </row>
    <row r="27" spans="2:26" ht="18" customHeight="1" x14ac:dyDescent="0.2">
      <c r="B27" s="351" t="s">
        <v>814</v>
      </c>
      <c r="C27" s="3314">
        <f>C28</f>
        <v>2411.5160000000001</v>
      </c>
      <c r="D27" s="3492"/>
      <c r="E27" s="3492"/>
      <c r="F27" s="2649">
        <f>F28</f>
        <v>24859232.132091101</v>
      </c>
      <c r="G27" s="2649" t="str">
        <f t="shared" ref="G27:G28" si="12">G28</f>
        <v>NO</v>
      </c>
      <c r="H27" s="2649" t="str">
        <f t="shared" ref="H27:H28" si="13">H28</f>
        <v>NO</v>
      </c>
      <c r="I27" s="2649" t="str">
        <f t="shared" ref="I27:I28" si="14">I28</f>
        <v>IE</v>
      </c>
      <c r="J27" s="2649" t="str">
        <f t="shared" ref="J27:J28" si="15">J28</f>
        <v>IE</v>
      </c>
      <c r="K27" s="2649">
        <f t="shared" ref="K27:K28" si="16">K28</f>
        <v>9466780.6352674346</v>
      </c>
      <c r="L27" s="2649" t="str">
        <f t="shared" ref="L27:L28" si="17">L28</f>
        <v>IE</v>
      </c>
      <c r="M27" s="2649" t="str">
        <f t="shared" ref="M27:M28" si="18">M28</f>
        <v>NO</v>
      </c>
      <c r="N27" s="2649" t="str">
        <f t="shared" ref="N27:N28" si="19">N28</f>
        <v>NO</v>
      </c>
      <c r="O27" s="2649">
        <f t="shared" ref="O27:O28" si="20">O28</f>
        <v>200962.43788437499</v>
      </c>
      <c r="P27" s="2649" t="str">
        <f t="shared" ref="P27:P28" si="21">P28</f>
        <v>NO</v>
      </c>
      <c r="Q27" s="2649">
        <f t="shared" ref="Q27:Q28" si="22">Q28</f>
        <v>8604131.2600064091</v>
      </c>
      <c r="R27" s="3482">
        <f t="shared" si="8"/>
        <v>43131106.465249315</v>
      </c>
      <c r="S27" s="2657"/>
      <c r="T27" s="2658"/>
      <c r="U27" s="3456">
        <f t="shared" si="9"/>
        <v>0.10173039528694265</v>
      </c>
      <c r="V27" s="3454"/>
      <c r="W27" s="3455"/>
      <c r="X27" s="3314">
        <f t="shared" ref="X27:X28" si="23">X28</f>
        <v>0.24532447592078679</v>
      </c>
      <c r="Y27" s="3173"/>
      <c r="Z27" s="3457"/>
    </row>
    <row r="28" spans="2:26" ht="18" customHeight="1" x14ac:dyDescent="0.2">
      <c r="B28" s="350" t="s">
        <v>815</v>
      </c>
      <c r="C28" s="3314">
        <f>C29</f>
        <v>2411.5160000000001</v>
      </c>
      <c r="D28" s="3492"/>
      <c r="E28" s="3492"/>
      <c r="F28" s="2649">
        <f>F29</f>
        <v>24859232.132091101</v>
      </c>
      <c r="G28" s="2649" t="str">
        <f t="shared" si="12"/>
        <v>NO</v>
      </c>
      <c r="H28" s="2649" t="str">
        <f t="shared" si="13"/>
        <v>NO</v>
      </c>
      <c r="I28" s="2649" t="str">
        <f t="shared" si="14"/>
        <v>IE</v>
      </c>
      <c r="J28" s="2649" t="str">
        <f t="shared" si="15"/>
        <v>IE</v>
      </c>
      <c r="K28" s="2649">
        <f t="shared" si="16"/>
        <v>9466780.6352674346</v>
      </c>
      <c r="L28" s="2649" t="str">
        <f t="shared" si="17"/>
        <v>IE</v>
      </c>
      <c r="M28" s="2649" t="str">
        <f t="shared" si="18"/>
        <v>NO</v>
      </c>
      <c r="N28" s="2649" t="str">
        <f t="shared" si="19"/>
        <v>NO</v>
      </c>
      <c r="O28" s="2649">
        <f t="shared" si="20"/>
        <v>200962.43788437499</v>
      </c>
      <c r="P28" s="2649" t="str">
        <f t="shared" si="21"/>
        <v>NO</v>
      </c>
      <c r="Q28" s="2649">
        <f t="shared" si="22"/>
        <v>8604131.2600064091</v>
      </c>
      <c r="R28" s="3482">
        <f t="shared" si="8"/>
        <v>43131106.465249315</v>
      </c>
      <c r="S28" s="2657"/>
      <c r="T28" s="2658"/>
      <c r="U28" s="3456">
        <f t="shared" si="9"/>
        <v>0.10173039528694265</v>
      </c>
      <c r="V28" s="3454"/>
      <c r="W28" s="3455"/>
      <c r="X28" s="3314">
        <f t="shared" si="23"/>
        <v>0.24532447592078679</v>
      </c>
      <c r="Y28" s="3173"/>
      <c r="Z28" s="3457"/>
    </row>
    <row r="29" spans="2:26" ht="18" customHeight="1" x14ac:dyDescent="0.2">
      <c r="B29" s="2642" t="s">
        <v>817</v>
      </c>
      <c r="C29" s="3495">
        <f>Table3.A!C29</f>
        <v>2411.5160000000001</v>
      </c>
      <c r="D29" s="3307">
        <v>14.876791421419105</v>
      </c>
      <c r="E29" s="3494">
        <f>'Table3.B(a)'!G29</f>
        <v>58.021071151364403</v>
      </c>
      <c r="F29" s="3479">
        <v>24859232.132091101</v>
      </c>
      <c r="G29" s="3479" t="s">
        <v>2146</v>
      </c>
      <c r="H29" s="3479" t="s">
        <v>2146</v>
      </c>
      <c r="I29" s="3479" t="s">
        <v>2153</v>
      </c>
      <c r="J29" s="3479" t="s">
        <v>2153</v>
      </c>
      <c r="K29" s="3479">
        <v>9466780.6352674346</v>
      </c>
      <c r="L29" s="3479" t="s">
        <v>2153</v>
      </c>
      <c r="M29" s="3479" t="s">
        <v>2146</v>
      </c>
      <c r="N29" s="3479" t="s">
        <v>2146</v>
      </c>
      <c r="O29" s="3479">
        <v>200962.43788437499</v>
      </c>
      <c r="P29" s="3479" t="s">
        <v>2146</v>
      </c>
      <c r="Q29" s="3479">
        <v>8604131.2600064091</v>
      </c>
      <c r="R29" s="3482">
        <f t="shared" si="8"/>
        <v>43131106.465249315</v>
      </c>
      <c r="S29" s="2657"/>
      <c r="T29" s="2658"/>
      <c r="U29" s="3456">
        <f t="shared" si="9"/>
        <v>0.10173039528694265</v>
      </c>
      <c r="V29" s="3454"/>
      <c r="W29" s="3455"/>
      <c r="X29" s="3315">
        <v>0.24532447592078679</v>
      </c>
      <c r="Y29" s="3173"/>
      <c r="Z29" s="3457"/>
    </row>
    <row r="30" spans="2:26" ht="18" customHeight="1" x14ac:dyDescent="0.2">
      <c r="B30" s="351" t="s">
        <v>861</v>
      </c>
      <c r="C30" s="3314">
        <f>IF(SUM(C32:C39)=0,"NO",SUM(C32:C39))</f>
        <v>70690.195000000007</v>
      </c>
      <c r="D30" s="3492"/>
      <c r="E30" s="3492"/>
      <c r="F30" s="2649" t="str">
        <f>IF(SUM(F32:F39)=0,"NO",SUM(F32:F39))</f>
        <v>NO</v>
      </c>
      <c r="G30" s="2649" t="str">
        <f t="shared" ref="G30:Q30" si="24">IF(SUM(G32:G39)=0,"NO",SUM(G32:G39))</f>
        <v>NO</v>
      </c>
      <c r="H30" s="2649" t="str">
        <f t="shared" si="24"/>
        <v>NO</v>
      </c>
      <c r="I30" s="2649">
        <f t="shared" si="24"/>
        <v>17256955.899126023</v>
      </c>
      <c r="J30" s="2649" t="str">
        <f t="shared" si="24"/>
        <v>NO</v>
      </c>
      <c r="K30" s="2649" t="str">
        <f t="shared" si="24"/>
        <v>NO</v>
      </c>
      <c r="L30" s="2649" t="str">
        <f t="shared" si="24"/>
        <v>NO</v>
      </c>
      <c r="M30" s="2649">
        <f t="shared" si="24"/>
        <v>16992363.696231157</v>
      </c>
      <c r="N30" s="2649">
        <f t="shared" si="24"/>
        <v>7198761.9962111497</v>
      </c>
      <c r="O30" s="2649">
        <f t="shared" si="24"/>
        <v>109819.95999115299</v>
      </c>
      <c r="P30" s="2649" t="str">
        <f t="shared" si="24"/>
        <v>NO</v>
      </c>
      <c r="Q30" s="2649">
        <f t="shared" si="24"/>
        <v>45446586.021159798</v>
      </c>
      <c r="R30" s="3482">
        <f t="shared" si="8"/>
        <v>87004487.572719276</v>
      </c>
      <c r="S30" s="2657"/>
      <c r="T30" s="2658"/>
      <c r="U30" s="3456">
        <f t="shared" si="9"/>
        <v>4.528631365693472E-3</v>
      </c>
      <c r="V30" s="3454"/>
      <c r="W30" s="3455"/>
      <c r="X30" s="3314">
        <f t="shared" ref="X30" si="25">IF(SUM(X32:X39)=0,"NO",SUM(X32:X39))</f>
        <v>0.32012983432398789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3.262</v>
      </c>
      <c r="D32" s="3307">
        <v>39.5</v>
      </c>
      <c r="E32" s="3494" t="str">
        <f>'Table3.B(a)'!G32</f>
        <v>NA</v>
      </c>
      <c r="F32" s="3479" t="s">
        <v>2146</v>
      </c>
      <c r="G32" s="3479" t="s">
        <v>2146</v>
      </c>
      <c r="H32" s="3479" t="s">
        <v>2146</v>
      </c>
      <c r="I32" s="3479" t="s">
        <v>2146</v>
      </c>
      <c r="J32" s="3479" t="s">
        <v>2146</v>
      </c>
      <c r="K32" s="3479" t="s">
        <v>2146</v>
      </c>
      <c r="L32" s="3479" t="s">
        <v>2146</v>
      </c>
      <c r="M32" s="3479">
        <v>128846.82749999998</v>
      </c>
      <c r="N32" s="3479" t="s">
        <v>2146</v>
      </c>
      <c r="O32" s="3479" t="s">
        <v>2146</v>
      </c>
      <c r="P32" s="3479" t="s">
        <v>2146</v>
      </c>
      <c r="Q32" s="3479" t="s">
        <v>2146</v>
      </c>
      <c r="R32" s="3482">
        <f t="shared" si="8"/>
        <v>128846.82749999998</v>
      </c>
      <c r="S32" s="2657"/>
      <c r="T32" s="2658"/>
      <c r="U32" s="3456" t="str">
        <f>IF(SUM(X32)=0,"NA",X32*1000/C32)</f>
        <v>NA</v>
      </c>
      <c r="V32" s="3454"/>
      <c r="W32" s="3455"/>
      <c r="X32" s="3315" t="s">
        <v>2147</v>
      </c>
      <c r="Y32" s="3173"/>
      <c r="Z32" s="3457"/>
    </row>
    <row r="33" spans="2:26" ht="18" customHeight="1" x14ac:dyDescent="0.2">
      <c r="B33" s="350" t="s">
        <v>819</v>
      </c>
      <c r="C33" s="3495">
        <f>Table3.A!C33</f>
        <v>2.2229999999999999</v>
      </c>
      <c r="D33" s="3307">
        <v>39.5</v>
      </c>
      <c r="E33" s="3494" t="str">
        <f>'Table3.B(a)'!G33</f>
        <v>NA</v>
      </c>
      <c r="F33" s="3479" t="s">
        <v>2146</v>
      </c>
      <c r="G33" s="3479" t="s">
        <v>2146</v>
      </c>
      <c r="H33" s="3479" t="s">
        <v>2146</v>
      </c>
      <c r="I33" s="3479" t="s">
        <v>2146</v>
      </c>
      <c r="J33" s="3479" t="s">
        <v>2146</v>
      </c>
      <c r="K33" s="3479" t="s">
        <v>2146</v>
      </c>
      <c r="L33" s="3479" t="s">
        <v>2146</v>
      </c>
      <c r="M33" s="3479">
        <v>87794.474715396776</v>
      </c>
      <c r="N33" s="3479" t="s">
        <v>2146</v>
      </c>
      <c r="O33" s="3479" t="s">
        <v>2146</v>
      </c>
      <c r="P33" s="3479" t="s">
        <v>2146</v>
      </c>
      <c r="Q33" s="3479" t="s">
        <v>2146</v>
      </c>
      <c r="R33" s="3482">
        <f t="shared" si="8"/>
        <v>87794.474715396776</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62.36</v>
      </c>
      <c r="D34" s="3307">
        <v>13.2</v>
      </c>
      <c r="E34" s="3494" t="str">
        <f>'Table3.B(a)'!G34</f>
        <v>NA</v>
      </c>
      <c r="F34" s="3479" t="s">
        <v>2146</v>
      </c>
      <c r="G34" s="3479" t="s">
        <v>2146</v>
      </c>
      <c r="H34" s="3479" t="s">
        <v>2146</v>
      </c>
      <c r="I34" s="3479" t="s">
        <v>2146</v>
      </c>
      <c r="J34" s="3479" t="s">
        <v>2146</v>
      </c>
      <c r="K34" s="3479" t="s">
        <v>2146</v>
      </c>
      <c r="L34" s="3479" t="s">
        <v>2146</v>
      </c>
      <c r="M34" s="3479">
        <v>823157.41199999989</v>
      </c>
      <c r="N34" s="3479" t="s">
        <v>2146</v>
      </c>
      <c r="O34" s="3479" t="s">
        <v>2146</v>
      </c>
      <c r="P34" s="3479" t="s">
        <v>2146</v>
      </c>
      <c r="Q34" s="3479" t="s">
        <v>2146</v>
      </c>
      <c r="R34" s="3482">
        <f t="shared" si="8"/>
        <v>823157.41199999989</v>
      </c>
      <c r="S34" s="2657"/>
      <c r="T34" s="2658"/>
      <c r="U34" s="3456" t="str">
        <f t="shared" si="26"/>
        <v>NA</v>
      </c>
      <c r="V34" s="3454"/>
      <c r="W34" s="3455"/>
      <c r="X34" s="3315" t="s">
        <v>2147</v>
      </c>
      <c r="Y34" s="3173"/>
      <c r="Z34" s="3457"/>
    </row>
    <row r="35" spans="2:26" ht="18" customHeight="1" x14ac:dyDescent="0.2">
      <c r="B35" s="350" t="s">
        <v>821</v>
      </c>
      <c r="C35" s="3495">
        <f>Table3.A!C35</f>
        <v>622.85699999999997</v>
      </c>
      <c r="D35" s="3307">
        <v>7</v>
      </c>
      <c r="E35" s="3494" t="str">
        <f>'Table3.B(a)'!G35</f>
        <v>NA</v>
      </c>
      <c r="F35" s="3479" t="s">
        <v>2146</v>
      </c>
      <c r="G35" s="3479" t="s">
        <v>2146</v>
      </c>
      <c r="H35" s="3479" t="s">
        <v>2146</v>
      </c>
      <c r="I35" s="3479" t="s">
        <v>2146</v>
      </c>
      <c r="J35" s="3479" t="s">
        <v>2146</v>
      </c>
      <c r="K35" s="3479" t="s">
        <v>2146</v>
      </c>
      <c r="L35" s="3479" t="s">
        <v>2146</v>
      </c>
      <c r="M35" s="3479">
        <v>4359999.6999999993</v>
      </c>
      <c r="N35" s="3479" t="s">
        <v>2146</v>
      </c>
      <c r="O35" s="3479" t="s">
        <v>2146</v>
      </c>
      <c r="P35" s="3479" t="s">
        <v>2146</v>
      </c>
      <c r="Q35" s="3479" t="s">
        <v>2146</v>
      </c>
      <c r="R35" s="3482">
        <f t="shared" si="8"/>
        <v>4359999.6999999993</v>
      </c>
      <c r="S35" s="2657"/>
      <c r="T35" s="2658"/>
      <c r="U35" s="3456" t="str">
        <f t="shared" si="26"/>
        <v>NA</v>
      </c>
      <c r="V35" s="3454"/>
      <c r="W35" s="3455"/>
      <c r="X35" s="3315" t="s">
        <v>2147</v>
      </c>
      <c r="Y35" s="3173"/>
      <c r="Z35" s="3457"/>
    </row>
    <row r="36" spans="2:26" ht="18" customHeight="1" x14ac:dyDescent="0.2">
      <c r="B36" s="350" t="s">
        <v>822</v>
      </c>
      <c r="C36" s="3495">
        <f>Table3.A!C36</f>
        <v>259.85399999999998</v>
      </c>
      <c r="D36" s="3307">
        <v>39.5</v>
      </c>
      <c r="E36" s="3494" t="str">
        <f>'Table3.B(a)'!G36</f>
        <v>NA</v>
      </c>
      <c r="F36" s="3479" t="s">
        <v>2146</v>
      </c>
      <c r="G36" s="3479" t="s">
        <v>2146</v>
      </c>
      <c r="H36" s="3479" t="s">
        <v>2146</v>
      </c>
      <c r="I36" s="3479" t="s">
        <v>2146</v>
      </c>
      <c r="J36" s="3479" t="s">
        <v>2146</v>
      </c>
      <c r="K36" s="3479" t="s">
        <v>2146</v>
      </c>
      <c r="L36" s="3479" t="s">
        <v>2146</v>
      </c>
      <c r="M36" s="3479">
        <v>10264242.743333332</v>
      </c>
      <c r="N36" s="3479" t="s">
        <v>2146</v>
      </c>
      <c r="O36" s="3479" t="s">
        <v>2146</v>
      </c>
      <c r="P36" s="3479" t="s">
        <v>2146</v>
      </c>
      <c r="Q36" s="3479" t="s">
        <v>2146</v>
      </c>
      <c r="R36" s="3482">
        <f t="shared" si="8"/>
        <v>10264242.743333332</v>
      </c>
      <c r="S36" s="2657"/>
      <c r="T36" s="2658"/>
      <c r="U36" s="3456" t="str">
        <f t="shared" si="26"/>
        <v>NA</v>
      </c>
      <c r="V36" s="3454"/>
      <c r="W36" s="3455"/>
      <c r="X36" s="3315" t="s">
        <v>2147</v>
      </c>
      <c r="Y36" s="3173"/>
      <c r="Z36" s="3457"/>
    </row>
    <row r="37" spans="2:26" ht="18" customHeight="1" x14ac:dyDescent="0.2">
      <c r="B37" s="350" t="s">
        <v>862</v>
      </c>
      <c r="C37" s="3495">
        <f>Table3.A!C37</f>
        <v>0.45800000000000002</v>
      </c>
      <c r="D37" s="3307">
        <v>13.2</v>
      </c>
      <c r="E37" s="3494" t="str">
        <f>'Table3.B(a)'!G37</f>
        <v>NA</v>
      </c>
      <c r="F37" s="3479" t="s">
        <v>2146</v>
      </c>
      <c r="G37" s="3479" t="s">
        <v>2146</v>
      </c>
      <c r="H37" s="3479" t="s">
        <v>2146</v>
      </c>
      <c r="I37" s="3479" t="s">
        <v>2146</v>
      </c>
      <c r="J37" s="3479" t="s">
        <v>2146</v>
      </c>
      <c r="K37" s="3479" t="s">
        <v>2146</v>
      </c>
      <c r="L37" s="3479" t="s">
        <v>2146</v>
      </c>
      <c r="M37" s="3479">
        <v>6045.4034512699118</v>
      </c>
      <c r="N37" s="3479" t="s">
        <v>2146</v>
      </c>
      <c r="O37" s="3479" t="s">
        <v>2146</v>
      </c>
      <c r="P37" s="3479" t="s">
        <v>2146</v>
      </c>
      <c r="Q37" s="3479" t="s">
        <v>2146</v>
      </c>
      <c r="R37" s="3482">
        <f t="shared" si="8"/>
        <v>6045.4034512699118</v>
      </c>
      <c r="S37" s="2657"/>
      <c r="T37" s="2658"/>
      <c r="U37" s="3456" t="str">
        <f t="shared" si="26"/>
        <v>NA</v>
      </c>
      <c r="V37" s="3454"/>
      <c r="W37" s="3455"/>
      <c r="X37" s="3315" t="s">
        <v>2147</v>
      </c>
      <c r="Y37" s="3173"/>
      <c r="Z37" s="3457"/>
    </row>
    <row r="38" spans="2:26" ht="18" customHeight="1" x14ac:dyDescent="0.2">
      <c r="B38" s="350" t="s">
        <v>824</v>
      </c>
      <c r="C38" s="3495">
        <f>Table3.A!C38</f>
        <v>69613.221000000005</v>
      </c>
      <c r="D38" s="3307">
        <v>0.65917288318197997</v>
      </c>
      <c r="E38" s="3494" t="str">
        <f>'Table3.B(a)'!G38</f>
        <v>NA</v>
      </c>
      <c r="F38" s="3479" t="s">
        <v>2146</v>
      </c>
      <c r="G38" s="3479" t="s">
        <v>2146</v>
      </c>
      <c r="H38" s="3479" t="s">
        <v>2146</v>
      </c>
      <c r="I38" s="3479">
        <v>17256955.899126023</v>
      </c>
      <c r="J38" s="3479" t="s">
        <v>2153</v>
      </c>
      <c r="K38" s="3479" t="s">
        <v>2153</v>
      </c>
      <c r="L38" s="3479" t="s">
        <v>2153</v>
      </c>
      <c r="M38" s="3479">
        <v>440561.46504325402</v>
      </c>
      <c r="N38" s="3479">
        <v>7198761.9962111497</v>
      </c>
      <c r="O38" s="3479">
        <v>109819.95999115299</v>
      </c>
      <c r="P38" s="3479" t="s">
        <v>2146</v>
      </c>
      <c r="Q38" s="3479">
        <v>45446586.021159798</v>
      </c>
      <c r="R38" s="3482">
        <f t="shared" si="8"/>
        <v>70452685.341531381</v>
      </c>
      <c r="S38" s="2657"/>
      <c r="T38" s="2658"/>
      <c r="U38" s="3456">
        <f t="shared" si="26"/>
        <v>4.5986930316582802E-3</v>
      </c>
      <c r="V38" s="3454"/>
      <c r="W38" s="3455"/>
      <c r="X38" s="3315">
        <v>0.32012983432398789</v>
      </c>
      <c r="Y38" s="3173"/>
      <c r="Z38" s="3457"/>
    </row>
    <row r="39" spans="2:26" ht="18" customHeight="1" x14ac:dyDescent="0.2">
      <c r="B39" s="350" t="s">
        <v>825</v>
      </c>
      <c r="C39" s="3314">
        <f>IF(SUM(C40:C44)=0,"NO",SUM(C40:C44))</f>
        <v>125.96</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881715.6701879024</v>
      </c>
      <c r="N39" s="2649" t="str">
        <f t="shared" si="27"/>
        <v>NO</v>
      </c>
      <c r="O39" s="2649" t="str">
        <f t="shared" si="27"/>
        <v>NO</v>
      </c>
      <c r="P39" s="2649" t="str">
        <f t="shared" si="27"/>
        <v>NO</v>
      </c>
      <c r="Q39" s="2649" t="str">
        <f t="shared" si="27"/>
        <v>NO</v>
      </c>
      <c r="R39" s="3482">
        <f t="shared" si="8"/>
        <v>881715.6701879024</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22.385999999999999</v>
      </c>
      <c r="D42" s="3307">
        <v>7</v>
      </c>
      <c r="E42" s="3494" t="str">
        <f>'Table3.B(a)'!G42</f>
        <v>NA</v>
      </c>
      <c r="F42" s="3479" t="s">
        <v>2146</v>
      </c>
      <c r="G42" s="3479" t="s">
        <v>2146</v>
      </c>
      <c r="H42" s="3479" t="s">
        <v>2146</v>
      </c>
      <c r="I42" s="3479" t="s">
        <v>2146</v>
      </c>
      <c r="J42" s="3479" t="s">
        <v>2146</v>
      </c>
      <c r="K42" s="3479" t="s">
        <v>2146</v>
      </c>
      <c r="L42" s="3479" t="s">
        <v>2146</v>
      </c>
      <c r="M42" s="3479">
        <v>156698.73109243697</v>
      </c>
      <c r="N42" s="3479" t="s">
        <v>2146</v>
      </c>
      <c r="O42" s="3479" t="s">
        <v>2146</v>
      </c>
      <c r="P42" s="3479" t="s">
        <v>2146</v>
      </c>
      <c r="Q42" s="3479" t="s">
        <v>2146</v>
      </c>
      <c r="R42" s="3482">
        <f t="shared" si="8"/>
        <v>156698.73109243697</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103.574</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725016.93909546547</v>
      </c>
      <c r="N44" s="2649" t="str">
        <f t="shared" si="28"/>
        <v>NO</v>
      </c>
      <c r="O44" s="2649" t="str">
        <f t="shared" si="28"/>
        <v>NO</v>
      </c>
      <c r="P44" s="2649" t="str">
        <f t="shared" si="28"/>
        <v>NO</v>
      </c>
      <c r="Q44" s="2649" t="str">
        <f t="shared" si="28"/>
        <v>NO</v>
      </c>
      <c r="R44" s="3482">
        <f t="shared" si="8"/>
        <v>725016.93909546547</v>
      </c>
      <c r="S44" s="2657"/>
      <c r="T44" s="2658"/>
      <c r="U44" s="3456" t="str">
        <f t="shared" si="26"/>
        <v>NA</v>
      </c>
      <c r="V44" s="3454"/>
      <c r="W44" s="3455"/>
      <c r="X44" s="3314" t="str">
        <f>X45</f>
        <v>NA</v>
      </c>
      <c r="Y44" s="3173"/>
      <c r="Z44" s="3457"/>
    </row>
    <row r="45" spans="2:26" ht="18" customHeight="1" x14ac:dyDescent="0.2">
      <c r="B45" s="2646" t="s">
        <v>2199</v>
      </c>
      <c r="C45" s="3495">
        <f>Table3.A!C45</f>
        <v>103.574</v>
      </c>
      <c r="D45" s="3307">
        <v>7</v>
      </c>
      <c r="E45" s="3494" t="str">
        <f>'Table3.B(a)'!G45</f>
        <v>NA</v>
      </c>
      <c r="F45" s="3479" t="s">
        <v>2146</v>
      </c>
      <c r="G45" s="3479" t="s">
        <v>2146</v>
      </c>
      <c r="H45" s="3479" t="s">
        <v>2146</v>
      </c>
      <c r="I45" s="3479" t="s">
        <v>2146</v>
      </c>
      <c r="J45" s="3479" t="s">
        <v>2146</v>
      </c>
      <c r="K45" s="3479" t="s">
        <v>2146</v>
      </c>
      <c r="L45" s="3479" t="s">
        <v>2146</v>
      </c>
      <c r="M45" s="3479">
        <v>725016.93909546547</v>
      </c>
      <c r="N45" s="3479" t="s">
        <v>2146</v>
      </c>
      <c r="O45" s="3479" t="s">
        <v>2146</v>
      </c>
      <c r="P45" s="3479" t="s">
        <v>2146</v>
      </c>
      <c r="Q45" s="3479" t="s">
        <v>2146</v>
      </c>
      <c r="R45" s="3482">
        <f t="shared" si="8"/>
        <v>725016.93909546547</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81501746.536464706</v>
      </c>
      <c r="T46" s="3447">
        <v>282167.49275033502</v>
      </c>
      <c r="U46" s="3466"/>
      <c r="V46" s="3467">
        <f>IF(SUM(S46)=0,"NA",Y46*1000000/S46)</f>
        <v>3.5830998391363006E-3</v>
      </c>
      <c r="W46" s="3468">
        <f>IF(SUM(T46)=0,"NA",Z46*1000000/T46)</f>
        <v>1.7285714285714307E-2</v>
      </c>
      <c r="X46" s="3316"/>
      <c r="Y46" s="3320">
        <v>0.2920288949041342</v>
      </c>
      <c r="Z46" s="3321">
        <v>4.8774666603986546E-3</v>
      </c>
    </row>
    <row r="47" spans="2:26" ht="18" customHeight="1" x14ac:dyDescent="0.2">
      <c r="B47" s="358" t="s">
        <v>863</v>
      </c>
      <c r="C47" s="359"/>
      <c r="D47" s="359"/>
      <c r="E47" s="359"/>
      <c r="F47" s="3485">
        <f>IF(SUM(F30,F27,F24,F10)=0,"NO",SUM(F30,F27,F24,F10))</f>
        <v>50791094.553008601</v>
      </c>
      <c r="G47" s="3485" t="str">
        <f t="shared" ref="G47:Q47" si="29">IF(SUM(G30,G27,G24,G10)=0,"NO",SUM(G30,G27,G24,G10))</f>
        <v>NO</v>
      </c>
      <c r="H47" s="3485">
        <f t="shared" si="29"/>
        <v>7864501.9648731202</v>
      </c>
      <c r="I47" s="3485">
        <f t="shared" si="29"/>
        <v>22396040.771586772</v>
      </c>
      <c r="J47" s="3485" t="str">
        <f t="shared" si="29"/>
        <v>NO</v>
      </c>
      <c r="K47" s="3485">
        <f t="shared" si="29"/>
        <v>69806137.576880157</v>
      </c>
      <c r="L47" s="3485">
        <f t="shared" si="29"/>
        <v>7175754.545756991</v>
      </c>
      <c r="M47" s="3409"/>
      <c r="N47" s="3485">
        <f t="shared" si="29"/>
        <v>14374516.541968141</v>
      </c>
      <c r="O47" s="3485">
        <f t="shared" si="29"/>
        <v>310782.39787552797</v>
      </c>
      <c r="P47" s="3409"/>
      <c r="Q47" s="3485">
        <f t="shared" si="29"/>
        <v>54050717.281166211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3.5601752932198368E-2</v>
      </c>
      <c r="J48" s="3486" t="str">
        <f t="shared" si="30"/>
        <v>NA</v>
      </c>
      <c r="K48" s="3486" t="str">
        <f t="shared" si="30"/>
        <v>NA</v>
      </c>
      <c r="L48" s="3486" t="str">
        <f t="shared" si="30"/>
        <v>NA</v>
      </c>
      <c r="M48" s="87"/>
      <c r="N48" s="3486">
        <f t="shared" si="30"/>
        <v>1.5714285714285462E-2</v>
      </c>
      <c r="O48" s="3486" t="str">
        <f t="shared" si="30"/>
        <v>NA</v>
      </c>
      <c r="P48" s="87"/>
      <c r="Q48" s="3486">
        <f t="shared" si="30"/>
        <v>3.7184343368971756E-3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0.79733831020947354</v>
      </c>
      <c r="J49" s="3487" t="s">
        <v>2153</v>
      </c>
      <c r="K49" s="3487" t="s">
        <v>2153</v>
      </c>
      <c r="L49" s="3487" t="s">
        <v>2153</v>
      </c>
      <c r="M49" s="3474"/>
      <c r="N49" s="3488">
        <v>0.22588525994521</v>
      </c>
      <c r="O49" s="3488" t="s">
        <v>2147</v>
      </c>
      <c r="P49" s="3474"/>
      <c r="Q49" s="3488">
        <v>0.20098404307220999</v>
      </c>
      <c r="R49" s="1312"/>
      <c r="S49" s="1313"/>
      <c r="T49" s="1314"/>
      <c r="U49" s="3473">
        <f>X49*1000/SUM(C10,C24,C27,C30)</f>
        <v>6.9023758669344171E-3</v>
      </c>
      <c r="V49" s="3474"/>
      <c r="W49" s="3475"/>
      <c r="X49" s="3319">
        <f>SUM(X10,X24,X27,X30)</f>
        <v>1.2242076132268935</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0.3292408</v>
      </c>
    </row>
    <row r="11" spans="1:9" ht="18" customHeight="1" x14ac:dyDescent="0.2">
      <c r="B11" s="439" t="s">
        <v>876</v>
      </c>
      <c r="C11" s="4147">
        <v>2.0719999999999999E-2</v>
      </c>
      <c r="D11" s="243" t="s">
        <v>2146</v>
      </c>
      <c r="E11" s="283" t="s">
        <v>2146</v>
      </c>
      <c r="F11" s="2305">
        <f>IF(SUM(C11)=0,"NA",G11/C11)</f>
        <v>15.89</v>
      </c>
      <c r="G11" s="3093">
        <v>0.3292408</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2.0719999999999999E-2</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28.575211992942627</v>
      </c>
      <c r="H10" s="397" t="s">
        <v>897</v>
      </c>
      <c r="I10" s="398" t="s">
        <v>898</v>
      </c>
      <c r="J10" s="399">
        <v>0.21</v>
      </c>
    </row>
    <row r="11" spans="2:10" ht="24" customHeight="1" x14ac:dyDescent="0.2">
      <c r="B11" s="2431" t="s">
        <v>1949</v>
      </c>
      <c r="C11" s="2432" t="s">
        <v>899</v>
      </c>
      <c r="D11" s="3720">
        <v>835018.36032715219</v>
      </c>
      <c r="E11" s="3714">
        <f>IF(SUM(D11)=0,"NA",F11*1000/D11/(44/28))</f>
        <v>4.1754040358798284E-3</v>
      </c>
      <c r="F11" s="3425">
        <v>5.4788470498830328</v>
      </c>
      <c r="H11" s="397" t="s">
        <v>900</v>
      </c>
      <c r="I11" s="398" t="s">
        <v>901</v>
      </c>
      <c r="J11" s="399">
        <v>0.24</v>
      </c>
    </row>
    <row r="12" spans="2:10" ht="24" customHeight="1" thickBot="1" x14ac:dyDescent="0.25">
      <c r="B12" s="2431" t="s">
        <v>1950</v>
      </c>
      <c r="C12" s="2433" t="s">
        <v>902</v>
      </c>
      <c r="D12" s="3721">
        <f>IF(SUM(D13:D15)=0,"NO",SUM(D13:D15))</f>
        <v>92492.640910343966</v>
      </c>
      <c r="E12" s="3715">
        <f t="shared" ref="E12:E23" si="0">IF(SUM(D12)=0,"NA",F12*1000/D12/(44/28))</f>
        <v>8.6859066692273022E-3</v>
      </c>
      <c r="F12" s="3426">
        <f>IF(SUM(F13:F15)=0,"NO",SUM(F13:F15))</f>
        <v>1.2624581302733757</v>
      </c>
      <c r="H12" s="407" t="s">
        <v>903</v>
      </c>
      <c r="I12" s="408" t="s">
        <v>2147</v>
      </c>
      <c r="J12" s="2668" t="s">
        <v>2147</v>
      </c>
    </row>
    <row r="13" spans="2:10" ht="24" customHeight="1" x14ac:dyDescent="0.2">
      <c r="B13" s="2431" t="s">
        <v>904</v>
      </c>
      <c r="C13" s="2432" t="s">
        <v>905</v>
      </c>
      <c r="D13" s="3722">
        <v>85803.780270306394</v>
      </c>
      <c r="E13" s="3714">
        <f t="shared" si="0"/>
        <v>8.6614214249771636E-3</v>
      </c>
      <c r="F13" s="3425">
        <v>1.1678585297928443</v>
      </c>
      <c r="H13" s="1436" t="s">
        <v>906</v>
      </c>
      <c r="I13" s="1078"/>
      <c r="J13" s="1078"/>
    </row>
    <row r="14" spans="2:10" ht="24" customHeight="1" x14ac:dyDescent="0.2">
      <c r="B14" s="2431" t="s">
        <v>907</v>
      </c>
      <c r="C14" s="2432" t="s">
        <v>908</v>
      </c>
      <c r="D14" s="3722">
        <v>6688.8606400375702</v>
      </c>
      <c r="E14" s="3714">
        <f t="shared" si="0"/>
        <v>8.9999999999999993E-3</v>
      </c>
      <c r="F14" s="3425">
        <v>9.4599600480531343E-2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1701357.4860921197</v>
      </c>
      <c r="E16" s="3714">
        <f t="shared" si="0"/>
        <v>4.0000000000000001E-3</v>
      </c>
      <c r="F16" s="3425">
        <v>10.694247055436181</v>
      </c>
    </row>
    <row r="17" spans="2:11" ht="24" customHeight="1" x14ac:dyDescent="0.2">
      <c r="B17" s="2431" t="s">
        <v>913</v>
      </c>
      <c r="C17" s="2432" t="s">
        <v>914</v>
      </c>
      <c r="D17" s="3722">
        <v>668437.40845696523</v>
      </c>
      <c r="E17" s="3714">
        <f t="shared" si="0"/>
        <v>0.01</v>
      </c>
      <c r="F17" s="3425">
        <v>10.504016418609453</v>
      </c>
    </row>
    <row r="18" spans="2:11" ht="24" customHeight="1" x14ac:dyDescent="0.2">
      <c r="B18" s="2431" t="s">
        <v>1951</v>
      </c>
      <c r="C18" s="2432" t="s">
        <v>915</v>
      </c>
      <c r="D18" s="3722">
        <v>174250.15323564099</v>
      </c>
      <c r="E18" s="3716">
        <f t="shared" si="0"/>
        <v>2.0000000000000013E-3</v>
      </c>
      <c r="F18" s="3427">
        <v>0.54764333874058624</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9.0856471185746219</v>
      </c>
    </row>
    <row r="22" spans="2:11" ht="24" customHeight="1" x14ac:dyDescent="0.2">
      <c r="B22" s="2438" t="s">
        <v>1953</v>
      </c>
      <c r="C22" s="2432" t="s">
        <v>919</v>
      </c>
      <c r="D22" s="3722">
        <v>468493.657700104</v>
      </c>
      <c r="E22" s="3714">
        <f t="shared" si="0"/>
        <v>2.7781075690026932E-3</v>
      </c>
      <c r="F22" s="3425">
        <v>2.0452547916215105</v>
      </c>
    </row>
    <row r="23" spans="2:11" ht="24" customHeight="1" thickBot="1" x14ac:dyDescent="0.25">
      <c r="B23" s="410" t="s">
        <v>920</v>
      </c>
      <c r="C23" s="411" t="s">
        <v>921</v>
      </c>
      <c r="D23" s="3725">
        <v>407933.90602532396</v>
      </c>
      <c r="E23" s="3719">
        <f t="shared" si="0"/>
        <v>1.0982783231380619E-2</v>
      </c>
      <c r="F23" s="3430">
        <v>7.0403923269531115</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13569377</v>
      </c>
      <c r="N9" s="4179">
        <v>7160168</v>
      </c>
      <c r="O9" s="4179">
        <v>387000</v>
      </c>
      <c r="P9" s="4180">
        <v>3789931</v>
      </c>
      <c r="Q9" s="4180">
        <v>1502305</v>
      </c>
      <c r="R9" s="4180">
        <v>343549.10399999999</v>
      </c>
      <c r="S9" s="4180">
        <v>17614</v>
      </c>
      <c r="T9" s="4180">
        <v>450000</v>
      </c>
      <c r="U9" s="4180">
        <v>1765170.93561</v>
      </c>
      <c r="V9" s="4180">
        <v>35078431.07</v>
      </c>
      <c r="W9" s="4180">
        <v>17587.130860000001</v>
      </c>
      <c r="X9" s="4181">
        <v>1289414.1599999999</v>
      </c>
    </row>
    <row r="10" spans="2:24" ht="18" customHeight="1" thickTop="1" x14ac:dyDescent="0.2">
      <c r="B10" s="437" t="s">
        <v>947</v>
      </c>
      <c r="C10" s="376"/>
      <c r="D10" s="438"/>
      <c r="E10" s="438"/>
      <c r="F10" s="4149">
        <f>IF(SUM(F11:F14)=0,"NO",SUM(F11:F14))</f>
        <v>2518.0282202031581</v>
      </c>
      <c r="G10" s="4150">
        <f>IF(SUM($F10)=0,"NA",I10/$F10*1000)</f>
        <v>1.8688819461052453</v>
      </c>
      <c r="H10" s="4151">
        <f>IF(SUM($F10)=0,"NA",J10/$F10*1000)</f>
        <v>7.7080216717468814E-2</v>
      </c>
      <c r="I10" s="3192">
        <f>IF(SUM(I11:I14)=0,"NO",SUM(I11:I14))</f>
        <v>4.7058974805212053</v>
      </c>
      <c r="J10" s="420">
        <f>IF(SUM(J11:J14)=0,"NO",SUM(J11:J14))</f>
        <v>0.1940901609139617</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1326.34071281293</v>
      </c>
      <c r="G11" s="4153">
        <f>IF(SUM($F11)=0,"NA",I11/$F11*1000)</f>
        <v>1.8666666666666627</v>
      </c>
      <c r="H11" s="4154">
        <f>IF(SUM($F11)=0,"NA",J11/$F11*1000)</f>
        <v>7.1657142857142711E-2</v>
      </c>
      <c r="I11" s="3326">
        <v>2.4758359972507975</v>
      </c>
      <c r="J11" s="3327">
        <v>9.504178593528062E-2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629.15550607754096</v>
      </c>
      <c r="G12" s="4155">
        <f t="shared" ref="G12:G28" si="0">IF(SUM($F12)=0,"NA",I12/$F12*1000)</f>
        <v>1.8666666666666676</v>
      </c>
      <c r="H12" s="4154">
        <f t="shared" ref="H12:H28" si="1">IF(SUM($F12)=0,"NA",J12/$F12*1000)</f>
        <v>8.3600000000000049E-2</v>
      </c>
      <c r="I12" s="3180">
        <v>1.1744236113447437</v>
      </c>
      <c r="J12" s="3327">
        <v>5.2597400308082458E-2</v>
      </c>
      <c r="L12" s="1324" t="s">
        <v>952</v>
      </c>
      <c r="M12" s="4177">
        <v>0.15426948278354999</v>
      </c>
      <c r="N12" s="4177">
        <v>0.16776030022492</v>
      </c>
      <c r="O12" s="4177">
        <v>0.17718747472775001</v>
      </c>
      <c r="P12" s="4178">
        <v>0.12485661221948</v>
      </c>
      <c r="Q12" s="4178">
        <v>0.15200917970054001</v>
      </c>
      <c r="R12" s="4178">
        <v>0.16374039107359001</v>
      </c>
      <c r="S12" s="4178">
        <v>0.81499999999999995</v>
      </c>
      <c r="T12" s="4178">
        <v>0.20531084929394</v>
      </c>
      <c r="U12" s="4178">
        <v>0.16033397707833877</v>
      </c>
      <c r="V12" s="4178">
        <v>0.31907272143864035</v>
      </c>
      <c r="W12" s="4178">
        <v>6.4688362470555927E-2</v>
      </c>
      <c r="X12" s="4152">
        <v>0.14576903453799975</v>
      </c>
    </row>
    <row r="13" spans="2:24" ht="18" customHeight="1" thickBot="1" x14ac:dyDescent="0.25">
      <c r="B13" s="439" t="s">
        <v>953</v>
      </c>
      <c r="C13" s="440" t="s">
        <v>2147</v>
      </c>
      <c r="D13" s="440" t="s">
        <v>2147</v>
      </c>
      <c r="E13" s="440" t="s">
        <v>2147</v>
      </c>
      <c r="F13" s="4152">
        <v>45.323053485572899</v>
      </c>
      <c r="G13" s="4155">
        <f t="shared" si="0"/>
        <v>1.9600000000000004</v>
      </c>
      <c r="H13" s="4154">
        <f t="shared" si="1"/>
        <v>5.9714285714285734E-2</v>
      </c>
      <c r="I13" s="3180">
        <v>8.8833184831722908E-2</v>
      </c>
      <c r="J13" s="3327">
        <v>2.7064337652813538E-3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517.20894782711412</v>
      </c>
      <c r="G14" s="4157">
        <f t="shared" si="0"/>
        <v>1.8692729334162874</v>
      </c>
      <c r="H14" s="4158">
        <f t="shared" si="1"/>
        <v>8.4578082202745652E-2</v>
      </c>
      <c r="I14" s="3199">
        <f>IF(SUM(I15:I19)=0,"NO",SUM(I15:I19))</f>
        <v>0.96680468709394107</v>
      </c>
      <c r="J14" s="3085">
        <f>IF(SUM(J15:J19)=0,"NO",SUM(J15:J19))</f>
        <v>4.374454090531725E-2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272.56201643841001</v>
      </c>
      <c r="G15" s="4159">
        <f t="shared" si="0"/>
        <v>1.8666666666666676</v>
      </c>
      <c r="H15" s="4160">
        <f t="shared" si="1"/>
        <v>9.5542857142857193E-2</v>
      </c>
      <c r="I15" s="3328">
        <v>0.50878243068503226</v>
      </c>
      <c r="J15" s="3327">
        <v>2.6041353799144101E-2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136.97464450907299</v>
      </c>
      <c r="G16" s="4161">
        <f t="shared" si="0"/>
        <v>1.8666666666666667</v>
      </c>
      <c r="H16" s="4162">
        <f t="shared" si="1"/>
        <v>7.165714285714285E-2</v>
      </c>
      <c r="I16" s="3329">
        <v>0.2556860030836029</v>
      </c>
      <c r="J16" s="3327">
        <v>9.8152116693930001E-3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34.6913666361433</v>
      </c>
      <c r="G17" s="4161">
        <f t="shared" si="0"/>
        <v>1.8666666666666656</v>
      </c>
      <c r="H17" s="4162">
        <f t="shared" si="1"/>
        <v>7.1657142857142808E-2</v>
      </c>
      <c r="I17" s="3329">
        <v>6.4757217720800786E-2</v>
      </c>
      <c r="J17" s="3327">
        <v>2.4858842149556382E-3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14.4426908928</v>
      </c>
      <c r="G18" s="4161">
        <f t="shared" si="0"/>
        <v>1.9600000000000004</v>
      </c>
      <c r="H18" s="4162">
        <f t="shared" si="1"/>
        <v>8.3600000000000008E-2</v>
      </c>
      <c r="I18" s="3329">
        <v>2.8307674149888003E-2</v>
      </c>
      <c r="J18" s="3327">
        <v>1.2074089586380803E-3</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58.5382293506878</v>
      </c>
      <c r="G19" s="4161">
        <f t="shared" si="0"/>
        <v>1.8666666666666654</v>
      </c>
      <c r="H19" s="4162">
        <f t="shared" si="1"/>
        <v>7.1657142857142808E-2</v>
      </c>
      <c r="I19" s="3329">
        <v>0.10927136145461715</v>
      </c>
      <c r="J19" s="3327">
        <v>4.1946822631864257E-3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161.917351150591</v>
      </c>
      <c r="G20" s="4165">
        <f t="shared" si="0"/>
        <v>1.8666666666666623</v>
      </c>
      <c r="H20" s="4166">
        <f t="shared" si="1"/>
        <v>0.10748571428571399</v>
      </c>
      <c r="I20" s="3220">
        <f>I21</f>
        <v>0.30224572214776918</v>
      </c>
      <c r="J20" s="449">
        <f>J21</f>
        <v>1.7403802143672049E-2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161.917351150591</v>
      </c>
      <c r="G21" s="4168">
        <f t="shared" si="0"/>
        <v>1.8666666666666623</v>
      </c>
      <c r="H21" s="4158">
        <f t="shared" si="1"/>
        <v>0.10748571428571399</v>
      </c>
      <c r="I21" s="3199">
        <f>I22</f>
        <v>0.30224572214776918</v>
      </c>
      <c r="J21" s="3085">
        <f>J22</f>
        <v>1.7403802143672049E-2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161.917351150591</v>
      </c>
      <c r="G22" s="4170">
        <f t="shared" si="0"/>
        <v>1.8666666666666623</v>
      </c>
      <c r="H22" s="4171">
        <f t="shared" si="1"/>
        <v>0.10748571428571399</v>
      </c>
      <c r="I22" s="3330">
        <v>0.30224572214776918</v>
      </c>
      <c r="J22" s="3331">
        <v>1.7403802143672049E-2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537.24338233452795</v>
      </c>
      <c r="G26" s="4175">
        <f t="shared" si="0"/>
        <v>1.8666666666666663</v>
      </c>
      <c r="H26" s="4176">
        <f t="shared" si="1"/>
        <v>5.9714285714285692E-2</v>
      </c>
      <c r="I26" s="3332">
        <v>1.0028543136911185</v>
      </c>
      <c r="J26" s="3333">
        <v>3.2081104830833228E-2</v>
      </c>
      <c r="L26" s="159"/>
    </row>
    <row r="27" spans="2:24" ht="18" customHeight="1" x14ac:dyDescent="0.2">
      <c r="B27" s="446" t="s">
        <v>963</v>
      </c>
      <c r="C27" s="447"/>
      <c r="D27" s="448"/>
      <c r="E27" s="448"/>
      <c r="F27" s="4164">
        <f>IF(SUM(F28:F29)=0,"NO",SUM(F28:F29))</f>
        <v>180.61714057450575</v>
      </c>
      <c r="G27" s="4165">
        <f t="shared" si="0"/>
        <v>1.8669082205193559</v>
      </c>
      <c r="H27" s="4166">
        <f t="shared" si="1"/>
        <v>0.10770207752234019</v>
      </c>
      <c r="I27" s="3220">
        <f>IF(SUM(I28:I29)=0,"NO",SUM(I28:I29))</f>
        <v>0.33719562450524487</v>
      </c>
      <c r="J27" s="449">
        <f>IF(SUM(J28:J29)=0,"NO",SUM(J28:J29))</f>
        <v>1.9452841276018835E-2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0.46745106608678</v>
      </c>
      <c r="G28" s="4161">
        <f t="shared" si="0"/>
        <v>1.9600000000000077</v>
      </c>
      <c r="H28" s="4162">
        <f t="shared" si="1"/>
        <v>0.19108571428571505</v>
      </c>
      <c r="I28" s="3329">
        <v>9.1620408953009243E-4</v>
      </c>
      <c r="J28" s="3327">
        <v>8.9323220856811353E-5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180.14968950841899</v>
      </c>
      <c r="G29" s="4161">
        <f t="shared" ref="G29" si="2">IF(SUM($F29)=0,"NA",I29/$F29*1000)</f>
        <v>1.8666666666666629</v>
      </c>
      <c r="H29" s="4162">
        <f t="shared" ref="H29" si="3">IF(SUM($F29)=0,"NA",J29/$F29*1000)</f>
        <v>0.10748571428571406</v>
      </c>
      <c r="I29" s="3329">
        <v>0.33627942041571479</v>
      </c>
      <c r="J29" s="3327">
        <v>1.9363518055162024E-2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1065.5307007157301</v>
      </c>
    </row>
    <row r="11" spans="2:5" s="83" customFormat="1" ht="18" customHeight="1" x14ac:dyDescent="0.2">
      <c r="B11" s="1854" t="s">
        <v>972</v>
      </c>
      <c r="C11" s="4187">
        <v>2481508.4184915498</v>
      </c>
      <c r="D11" s="3594">
        <f>IF(SUM(C11)=0,"NA",E11*1000/(44/12)/C11)</f>
        <v>0.10800000000000008</v>
      </c>
      <c r="E11" s="3431">
        <v>982.67733372265445</v>
      </c>
    </row>
    <row r="12" spans="2:5" s="83" customFormat="1" ht="18" customHeight="1" x14ac:dyDescent="0.2">
      <c r="B12" s="1854" t="s">
        <v>973</v>
      </c>
      <c r="C12" s="4187">
        <v>182966.581508448</v>
      </c>
      <c r="D12" s="3594">
        <f t="shared" ref="D12:D16" si="0">IF(SUM(C12)=0,"NA",E12*1000/(44/12)/C12)</f>
        <v>0.12350000000000021</v>
      </c>
      <c r="E12" s="3431">
        <v>82.853366993075667</v>
      </c>
    </row>
    <row r="13" spans="2:5" s="83" customFormat="1" ht="18" customHeight="1" x14ac:dyDescent="0.2">
      <c r="B13" s="846" t="s">
        <v>974</v>
      </c>
      <c r="C13" s="4188">
        <v>1042979.6893666401</v>
      </c>
      <c r="D13" s="4189">
        <f t="shared" si="0"/>
        <v>0.20000000000000059</v>
      </c>
      <c r="E13" s="3432">
        <v>764.85177220220487</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55914.654785077233</v>
      </c>
      <c r="D10" s="2989">
        <f t="shared" ref="D10:H10" si="0">IF(SUM(D11,D14,D17,D20,D23,D26,D29:D30)=0,"NO",SUM(D11,D14,D17,D20,D23,D26,D29:D30))</f>
        <v>735.22739118260972</v>
      </c>
      <c r="E10" s="2989">
        <f t="shared" si="0"/>
        <v>17.439517599166955</v>
      </c>
      <c r="F10" s="2989">
        <f t="shared" si="0"/>
        <v>951.37938701257485</v>
      </c>
      <c r="G10" s="2989">
        <f t="shared" si="0"/>
        <v>25191.770157302519</v>
      </c>
      <c r="H10" s="2990">
        <f t="shared" si="0"/>
        <v>746.31014175080907</v>
      </c>
      <c r="I10" s="2991">
        <f>IF(SUM(C10:E10)=0,"NO",SUM(C10)+28*SUM(D10)+265*SUM(E10))</f>
        <v>81122.493901969545</v>
      </c>
    </row>
    <row r="11" spans="2:9" ht="18" customHeight="1" x14ac:dyDescent="0.2">
      <c r="B11" s="473" t="s">
        <v>981</v>
      </c>
      <c r="C11" s="2992">
        <f>IF(SUM(C12:C13)=0,"NO",SUM(C12:C13))</f>
        <v>-27800.467365147808</v>
      </c>
      <c r="D11" s="2992">
        <f t="shared" ref="D11:H11" si="1">IF(SUM(D12:D13)=0,"NO",SUM(D12:D13))</f>
        <v>312.48955813517063</v>
      </c>
      <c r="E11" s="2992">
        <f t="shared" si="1"/>
        <v>5.5451387617763164</v>
      </c>
      <c r="F11" s="2992">
        <f t="shared" si="1"/>
        <v>303.2109804230235</v>
      </c>
      <c r="G11" s="2992">
        <f t="shared" si="1"/>
        <v>8332.1803793819145</v>
      </c>
      <c r="H11" s="2993">
        <f t="shared" si="1"/>
        <v>334.50552339958523</v>
      </c>
      <c r="I11" s="2994">
        <f t="shared" ref="I11:I32" si="2">IF(SUM(C11:E11)=0,"NO",SUM(C11)+28*SUM(D11)+265*SUM(E11))</f>
        <v>-17581.297965492307</v>
      </c>
    </row>
    <row r="12" spans="2:9" ht="18" customHeight="1" x14ac:dyDescent="0.2">
      <c r="B12" s="474" t="s">
        <v>982</v>
      </c>
      <c r="C12" s="2995">
        <f>IF(SUM(Table4.A!U11,'Table4(IV)'!J12)=0,"NO",SUM(Table4.A!U11,'Table4(IV)'!J12))</f>
        <v>-1215.4425222597984</v>
      </c>
      <c r="D12" s="2995">
        <f>'Table4(IV)'!K12</f>
        <v>310.08437977885154</v>
      </c>
      <c r="E12" s="2995">
        <f>IF(SUM('Table4(III)'!I12,'Table4(IV)'!L12)=0,"NO",SUM('Table4(III)'!I12,'Table4(IV)'!L12))</f>
        <v>5.0296877056427824</v>
      </c>
      <c r="F12" s="2905">
        <v>301.66756965710397</v>
      </c>
      <c r="G12" s="2905">
        <v>8273.7869578961217</v>
      </c>
      <c r="H12" s="2906">
        <v>327.83714322157431</v>
      </c>
      <c r="I12" s="2996">
        <f t="shared" si="2"/>
        <v>8799.7873535433828</v>
      </c>
    </row>
    <row r="13" spans="2:9" ht="18" customHeight="1" thickBot="1" x14ac:dyDescent="0.25">
      <c r="B13" s="475" t="s">
        <v>983</v>
      </c>
      <c r="C13" s="2997">
        <f>IF(SUM(Table4.A!U16,'Table4(IV)'!J19)=0,"NO",SUM(Table4.A!U16,'Table4(IV)'!J19))</f>
        <v>-26585.024842888011</v>
      </c>
      <c r="D13" s="2997">
        <f>'Table4(IV)'!K19</f>
        <v>2.4051783563191016</v>
      </c>
      <c r="E13" s="2997">
        <f>IF(SUM('Table4(III)'!I13,'Table4(IV)'!L19)=0,"NO",SUM('Table4(III)'!I13,'Table4(IV)'!L19))</f>
        <v>0.5154510561335337</v>
      </c>
      <c r="F13" s="2908">
        <v>1.5434107659195362</v>
      </c>
      <c r="G13" s="2908">
        <v>58.393421485791848</v>
      </c>
      <c r="H13" s="2907">
        <v>6.6683801780109091</v>
      </c>
      <c r="I13" s="2998">
        <f t="shared" si="2"/>
        <v>-26381.08531903569</v>
      </c>
    </row>
    <row r="14" spans="2:9" ht="18" customHeight="1" x14ac:dyDescent="0.2">
      <c r="B14" s="473" t="s">
        <v>984</v>
      </c>
      <c r="C14" s="2992">
        <f>IF(SUM(C15:C16)=0,"NO",SUM(C15:C16))</f>
        <v>10292.388232477662</v>
      </c>
      <c r="D14" s="2992">
        <f t="shared" ref="D14" si="3">IF(SUM(D15:D16)=0,"NO",SUM(D15:D16))</f>
        <v>2.5958016000000002</v>
      </c>
      <c r="E14" s="2992">
        <f t="shared" ref="E14" si="4">IF(SUM(E15:E16)=0,"NO",SUM(E15:E16))</f>
        <v>0.15753790487858593</v>
      </c>
      <c r="F14" s="2992">
        <f t="shared" ref="F14" si="5">IF(SUM(F15:F16)=0,"NO",SUM(F15:F16))</f>
        <v>1.9545768000000001</v>
      </c>
      <c r="G14" s="2992">
        <f t="shared" ref="G14" si="6">IF(SUM(G15:G16)=0,"NO",SUM(G15:G16))</f>
        <v>76.552112000000008</v>
      </c>
      <c r="H14" s="2993">
        <f t="shared" ref="H14" si="7">IF(SUM(H15:H16)=0,"NO",SUM(H15:H16))</f>
        <v>9.2535519999999991</v>
      </c>
      <c r="I14" s="2999">
        <f t="shared" si="2"/>
        <v>10406.818222070488</v>
      </c>
    </row>
    <row r="15" spans="2:9" ht="18" customHeight="1" x14ac:dyDescent="0.2">
      <c r="B15" s="474" t="s">
        <v>985</v>
      </c>
      <c r="C15" s="2995">
        <f>IF(SUM(Table4.B!S11,'Table4(IV)'!J26)=0,"NO",SUM(Table4.B!S11,'Table4(IV)'!J26))</f>
        <v>6282.1557256692831</v>
      </c>
      <c r="D15" s="2995" t="str">
        <f>'Table4(IV)'!K26</f>
        <v>IE</v>
      </c>
      <c r="E15" s="2995" t="str">
        <f>'Table4(IV)'!L26</f>
        <v>IE</v>
      </c>
      <c r="F15" s="2905" t="s">
        <v>2153</v>
      </c>
      <c r="G15" s="2905" t="s">
        <v>2153</v>
      </c>
      <c r="H15" s="2906" t="s">
        <v>2153</v>
      </c>
      <c r="I15" s="2996">
        <f t="shared" si="2"/>
        <v>6282.1557256692831</v>
      </c>
    </row>
    <row r="16" spans="2:9" ht="18" customHeight="1" thickBot="1" x14ac:dyDescent="0.25">
      <c r="B16" s="475" t="s">
        <v>986</v>
      </c>
      <c r="C16" s="2997">
        <f>IF(SUM(Table4.B!S13,'Table4(IV)'!J31)=0,"IE",SUM(Table4.B!S13,'Table4(IV)'!J31))</f>
        <v>4010.2325068083792</v>
      </c>
      <c r="D16" s="2997">
        <f>'Table4(IV)'!K31</f>
        <v>2.5958016000000002</v>
      </c>
      <c r="E16" s="2997">
        <f>IF(SUM('Table4(III)'!I21,'Table4(IV)'!L31)=0,"IE",SUM('Table4(III)'!I21,'Table4(IV)'!L31))</f>
        <v>0.15753790487858593</v>
      </c>
      <c r="F16" s="2908">
        <v>1.9545768000000001</v>
      </c>
      <c r="G16" s="2908">
        <v>76.552112000000008</v>
      </c>
      <c r="H16" s="2907">
        <v>9.2535519999999991</v>
      </c>
      <c r="I16" s="2998">
        <f t="shared" si="2"/>
        <v>4124.6624964012044</v>
      </c>
    </row>
    <row r="17" spans="2:9" ht="18" customHeight="1" x14ac:dyDescent="0.2">
      <c r="B17" s="473" t="s">
        <v>987</v>
      </c>
      <c r="C17" s="2992">
        <f>IF(SUM(C18:C19)=0,"NO",SUM(C18:C19))</f>
        <v>73349.847931771059</v>
      </c>
      <c r="D17" s="2992">
        <f t="shared" ref="D17" si="8">IF(SUM(D18:D19)=0,"NO",SUM(D18:D19))</f>
        <v>332.2581018795654</v>
      </c>
      <c r="E17" s="2992">
        <f t="shared" ref="E17" si="9">IF(SUM(E18:E19)=0,"NO",SUM(E18:E19))</f>
        <v>11.155017322234478</v>
      </c>
      <c r="F17" s="2992">
        <f t="shared" ref="F17" si="10">IF(SUM(F18:F19)=0,"NO",SUM(F18:F19))</f>
        <v>616.95666846531242</v>
      </c>
      <c r="G17" s="2992">
        <f t="shared" ref="G17" si="11">IF(SUM(G18:G19)=0,"NO",SUM(G18:G19))</f>
        <v>16040.581157226072</v>
      </c>
      <c r="H17" s="2993">
        <f t="shared" ref="H17" si="12">IF(SUM(H18:H19)=0,"NO",SUM(H18:H19))</f>
        <v>389.39170604737257</v>
      </c>
      <c r="I17" s="2999">
        <f t="shared" si="2"/>
        <v>85609.154374791033</v>
      </c>
    </row>
    <row r="18" spans="2:9" ht="18" customHeight="1" x14ac:dyDescent="0.2">
      <c r="B18" s="474" t="s">
        <v>988</v>
      </c>
      <c r="C18" s="2995">
        <f>IF(SUM(Table4.C!S11,'Table4(IV)'!J37)=0,"IE",SUM(Table4.C!S11,'Table4(IV)'!J37))</f>
        <v>7367.0033891461726</v>
      </c>
      <c r="D18" s="2995">
        <f>'Table4(IV)'!K37</f>
        <v>250.46023856933203</v>
      </c>
      <c r="E18" s="2995">
        <f>IF(SUM('Table4(III)'!I29,'Table4(IV)'!L37)=0,"NO",SUM('Table4(III)'!I29,'Table4(IV)'!L37))</f>
        <v>8.9672018003770404</v>
      </c>
      <c r="F18" s="2905">
        <v>554.32609594766325</v>
      </c>
      <c r="G18" s="2905">
        <v>13614.993873787082</v>
      </c>
      <c r="H18" s="2906">
        <v>101.38589814328225</v>
      </c>
      <c r="I18" s="2996">
        <f t="shared" si="2"/>
        <v>16756.198546187385</v>
      </c>
    </row>
    <row r="19" spans="2:9" ht="18" customHeight="1" thickBot="1" x14ac:dyDescent="0.25">
      <c r="B19" s="475" t="s">
        <v>989</v>
      </c>
      <c r="C19" s="2997">
        <f>IF(SUM(Table4.C!S15,'Table4(IV)'!J42)=0,"IE",SUM(Table4.C!S15,'Table4(IV)'!J42))</f>
        <v>65982.84454262488</v>
      </c>
      <c r="D19" s="2997">
        <f>'Table4(IV)'!K42</f>
        <v>81.797863310233382</v>
      </c>
      <c r="E19" s="2997">
        <f>IF(SUM('Table4(III)'!I30,'Table4(IV)'!L42)=0,"NO",SUM('Table4(III)'!I30,'Table4(IV)'!L42))</f>
        <v>2.1878155218574369</v>
      </c>
      <c r="F19" s="2908">
        <v>62.630572517649213</v>
      </c>
      <c r="G19" s="2908">
        <v>2425.5872834389911</v>
      </c>
      <c r="H19" s="2907">
        <v>288.00580790409032</v>
      </c>
      <c r="I19" s="2998">
        <f t="shared" si="2"/>
        <v>68852.955828603648</v>
      </c>
    </row>
    <row r="20" spans="2:9" ht="18" customHeight="1" x14ac:dyDescent="0.2">
      <c r="B20" s="473" t="s">
        <v>2027</v>
      </c>
      <c r="C20" s="2992">
        <f>IF(SUM(C21:C22)=0,"NO",SUM(C21:C22))</f>
        <v>1335.6335916735666</v>
      </c>
      <c r="D20" s="2992">
        <f t="shared" ref="D20" si="13">IF(SUM(D21:D22)=0,"NO",SUM(D21:D22))</f>
        <v>84.30712796787374</v>
      </c>
      <c r="E20" s="2992">
        <f t="shared" ref="E20" si="14">IF(SUM(E21:E22)=0,"NO",SUM(E21:E22))</f>
        <v>0.35874025369277646</v>
      </c>
      <c r="F20" s="2992">
        <f t="shared" ref="F20" si="15">IF(SUM(F21:F22)=0,"NO",SUM(F21:F22))</f>
        <v>26.563914881381884</v>
      </c>
      <c r="G20" s="2992">
        <f t="shared" ref="G20" si="16">IF(SUM(G21:G22)=0,"NO",SUM(G21:G22))</f>
        <v>636.97398002786622</v>
      </c>
      <c r="H20" s="2993">
        <f t="shared" ref="H20" si="17">IF(SUM(H21:H22)=0,"NO",SUM(H21:H22))</f>
        <v>0.4087249705178807</v>
      </c>
      <c r="I20" s="2999">
        <f t="shared" si="2"/>
        <v>3791.2993420026169</v>
      </c>
    </row>
    <row r="21" spans="2:9" ht="18" customHeight="1" x14ac:dyDescent="0.2">
      <c r="B21" s="474" t="s">
        <v>990</v>
      </c>
      <c r="C21" s="2995">
        <f>IF(SUM(Table4.D!S11,'Table4(IV)'!J49)=0,"IE",SUM(Table4.D!S11,'Table4(IV)'!J49))</f>
        <v>1308.3865916735665</v>
      </c>
      <c r="D21" s="2995">
        <f>IF(SUM('Table4(IV)'!K49,'Table4(II)'!J270)=0,"NO",SUM('Table4(IV)'!K49,'Table4(II)'!J270))</f>
        <v>82.627705668047355</v>
      </c>
      <c r="E21" s="2995">
        <f>IF(SUM('Table4(II)'!I270,'Table4(III)'!I38,'Table4(IV)'!L49)=0,"NO",SUM('Table4(II)'!I270,'Table4(III)'!I38,'Table4(IV)'!L49))</f>
        <v>0.35874025369277646</v>
      </c>
      <c r="F21" s="2905">
        <v>26.563914881381884</v>
      </c>
      <c r="G21" s="2905">
        <v>636.97398002786622</v>
      </c>
      <c r="H21" s="2906">
        <v>0.4087249705178807</v>
      </c>
      <c r="I21" s="2996">
        <f t="shared" si="2"/>
        <v>3717.0285176074785</v>
      </c>
    </row>
    <row r="22" spans="2:9" ht="18" customHeight="1" thickBot="1" x14ac:dyDescent="0.25">
      <c r="B22" s="475" t="s">
        <v>991</v>
      </c>
      <c r="C22" s="2997">
        <f>IF(SUM(Table4.D!S23,'Table4(II)'!H320,'Table4(IV)'!J54)=0,"NO",SUM(Table4.D!S23,'Table4(II)'!H320,'Table4(IV)'!J54))</f>
        <v>27.247</v>
      </c>
      <c r="D22" s="2997">
        <f>IF(SUM('Table4(IV)'!K54,'Table4(II)'!J320)=0,"NO",SUM('Table4(IV)'!K54,'Table4(II)'!J320))</f>
        <v>1.6794222998263888</v>
      </c>
      <c r="E22" s="2997" t="str">
        <f>IF(SUM('Table4(II)'!I320,'Table4(III)'!I39,'Table4(IV)'!L54)=0,"NO",SUM('Table4(II)'!I320,'Table4(III)'!I39,'Table4(IV)'!L54))</f>
        <v>NO</v>
      </c>
      <c r="F22" s="2908" t="s">
        <v>2153</v>
      </c>
      <c r="G22" s="2908" t="s">
        <v>2153</v>
      </c>
      <c r="H22" s="2907" t="s">
        <v>2153</v>
      </c>
      <c r="I22" s="2998">
        <f t="shared" si="2"/>
        <v>74.270824395138888</v>
      </c>
    </row>
    <row r="23" spans="2:9" ht="18" customHeight="1" x14ac:dyDescent="0.2">
      <c r="B23" s="473" t="s">
        <v>992</v>
      </c>
      <c r="C23" s="2992">
        <f>IF(SUM(C24:C25)=0,"NO",SUM(C24:C25))</f>
        <v>5069.8052539375813</v>
      </c>
      <c r="D23" s="2992">
        <f t="shared" ref="D23" si="18">IF(SUM(D24:D25)=0,"NO",SUM(D24:D25))</f>
        <v>3.5768016000000005</v>
      </c>
      <c r="E23" s="2992">
        <f t="shared" ref="E23" si="19">IF(SUM(E24:E25)=0,"NO",SUM(E24:E25))</f>
        <v>0.11231950074338193</v>
      </c>
      <c r="F23" s="2992">
        <f>IF(SUM(F24:F25)=0,"NO",SUM(F24:F25))</f>
        <v>2.6932464428571432</v>
      </c>
      <c r="G23" s="2992">
        <f t="shared" ref="G23" si="20">IF(SUM(G24:G25)=0,"NO",SUM(G24:G25))</f>
        <v>105.48252866666667</v>
      </c>
      <c r="H23" s="2993">
        <f t="shared" ref="H23" si="21">IF(SUM(H24:H25)=0,"NO",SUM(H24:H25))</f>
        <v>12.750635333333333</v>
      </c>
      <c r="I23" s="2999">
        <f t="shared" si="2"/>
        <v>5199.720366434577</v>
      </c>
    </row>
    <row r="24" spans="2:9" ht="18" customHeight="1" x14ac:dyDescent="0.2">
      <c r="B24" s="474" t="s">
        <v>993</v>
      </c>
      <c r="C24" s="2995">
        <f>IF(SUM(Table4.E!S11,'Table4(IV)'!J60)=0,"IE",SUM(Table4.E!S11,'Table4(IV)'!J60))</f>
        <v>35.135976281773829</v>
      </c>
      <c r="D24" s="2995" t="str">
        <f>'Table4(IV)'!K60</f>
        <v>IE</v>
      </c>
      <c r="E24" s="2995">
        <f>IF(SUM('Table4(III)'!I47,'Table4(IV)'!L60)=0,"IE",SUM('Table4(III)'!I47,'Table4(IV)'!L60))</f>
        <v>1.1155111966095256E-3</v>
      </c>
      <c r="F24" s="2905" t="s">
        <v>2154</v>
      </c>
      <c r="G24" s="2905" t="s">
        <v>2154</v>
      </c>
      <c r="H24" s="2906" t="s">
        <v>2154</v>
      </c>
      <c r="I24" s="2996">
        <f t="shared" si="2"/>
        <v>35.431586748875354</v>
      </c>
    </row>
    <row r="25" spans="2:9" ht="18" customHeight="1" thickBot="1" x14ac:dyDescent="0.25">
      <c r="B25" s="475" t="s">
        <v>994</v>
      </c>
      <c r="C25" s="2997">
        <f>IF(SUM(Table4.E!S13,'Table4(IV)'!J65)=0,"IE",SUM(Table4.E!S13,'Table4(IV)'!J65))</f>
        <v>5034.6692776558075</v>
      </c>
      <c r="D25" s="2997">
        <f>'Table4(IV)'!K65</f>
        <v>3.5768016000000005</v>
      </c>
      <c r="E25" s="2997">
        <f>IF(SUM('Table4(III)'!I48,'Table4(IV)'!L65)=0,"NO",SUM('Table4(III)'!I48,'Table4(IV)'!L65))</f>
        <v>0.11120398954677241</v>
      </c>
      <c r="F25" s="2908">
        <v>2.6932464428571432</v>
      </c>
      <c r="G25" s="2908">
        <v>105.48252866666667</v>
      </c>
      <c r="H25" s="2907">
        <v>12.750635333333333</v>
      </c>
      <c r="I25" s="2998">
        <f t="shared" si="2"/>
        <v>5164.2887796857021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-6387.0494601329483</v>
      </c>
      <c r="D29" s="3004"/>
      <c r="E29" s="3004"/>
      <c r="F29" s="3004"/>
      <c r="G29" s="3004"/>
      <c r="H29" s="3005"/>
      <c r="I29" s="3006">
        <f t="shared" si="2"/>
        <v>-6387.0494601329483</v>
      </c>
    </row>
    <row r="30" spans="2:9" ht="18" customHeight="1" x14ac:dyDescent="0.2">
      <c r="B30" s="1168" t="s">
        <v>2063</v>
      </c>
      <c r="C30" s="3007">
        <f>IF(SUM(C31:C32)=0,"NO",SUM(C31:C32))</f>
        <v>54.49660049812001</v>
      </c>
      <c r="D30" s="3007" t="str">
        <f t="shared" ref="D30" si="27">IF(SUM(D31:D32)=0,"NO",SUM(D31:D32))</f>
        <v>NO</v>
      </c>
      <c r="E30" s="3007">
        <f t="shared" ref="E30" si="28">IF(SUM(E31:E32)=0,"NO",SUM(E31:E32))</f>
        <v>0.11076385584141431</v>
      </c>
      <c r="F30" s="3007" t="str">
        <f t="shared" ref="F30" si="29">IF(SUM(F31:F32)=0,"NO",SUM(F31:F32))</f>
        <v>NO</v>
      </c>
      <c r="G30" s="3007" t="str">
        <f t="shared" ref="G30" si="30">IF(SUM(G31:G32)=0,"NO",SUM(G31:G32))</f>
        <v>NO</v>
      </c>
      <c r="H30" s="3008" t="str">
        <f t="shared" ref="H30" si="31">IF(SUM(H31:H32)=0,"NO",SUM(H31:H32))</f>
        <v>NO</v>
      </c>
      <c r="I30" s="3009">
        <f t="shared" si="2"/>
        <v>83.849022296094802</v>
      </c>
    </row>
    <row r="31" spans="2:9" ht="18" customHeight="1" x14ac:dyDescent="0.2">
      <c r="B31" s="2677" t="s">
        <v>2218</v>
      </c>
      <c r="C31" s="3010" t="s">
        <v>2146</v>
      </c>
      <c r="D31" s="3010" t="s">
        <v>2146</v>
      </c>
      <c r="E31" s="3010">
        <v>0.11076385584141431</v>
      </c>
      <c r="F31" s="3010" t="s">
        <v>2146</v>
      </c>
      <c r="G31" s="3010" t="s">
        <v>2146</v>
      </c>
      <c r="H31" s="3011" t="s">
        <v>2146</v>
      </c>
      <c r="I31" s="3012">
        <f t="shared" si="2"/>
        <v>29.352421797974792</v>
      </c>
    </row>
    <row r="32" spans="2:9" ht="18" customHeight="1" thickBot="1" x14ac:dyDescent="0.25">
      <c r="B32" s="2676" t="s">
        <v>2219</v>
      </c>
      <c r="C32" s="3013">
        <v>54.49660049812001</v>
      </c>
      <c r="D32" s="3013" t="s">
        <v>2146</v>
      </c>
      <c r="E32" s="3013" t="s">
        <v>2146</v>
      </c>
      <c r="F32" s="3014" t="s">
        <v>2146</v>
      </c>
      <c r="G32" s="3014" t="s">
        <v>2146</v>
      </c>
      <c r="H32" s="3014" t="s">
        <v>2146</v>
      </c>
      <c r="I32" s="2998">
        <f t="shared" si="2"/>
        <v>54.49660049812001</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-36724.316430248851</v>
      </c>
      <c r="D35" s="3013" t="s">
        <v>2146</v>
      </c>
      <c r="E35" s="3013" t="s">
        <v>2146</v>
      </c>
      <c r="F35" s="3013" t="s">
        <v>2146</v>
      </c>
      <c r="G35" s="3013" t="s">
        <v>2146</v>
      </c>
      <c r="H35" s="3013" t="s">
        <v>2146</v>
      </c>
      <c r="I35" s="3018">
        <f t="shared" ref="I35" si="32">IF(SUM(C35:E35)=0,"NO",SUM(C35)+28*SUM(D35)+265*SUM(E35))</f>
        <v>-36724.316430248851</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378446.132657693</v>
      </c>
      <c r="D10" s="3765">
        <f t="shared" ref="D10:I10" si="0">IF(SUM(D11,D37,D47)=0,"NO",SUM(D11,D37,D47))</f>
        <v>1453.428496546265</v>
      </c>
      <c r="E10" s="3765">
        <f t="shared" si="0"/>
        <v>12.728503907780633</v>
      </c>
      <c r="F10" s="3765">
        <f t="shared" si="0"/>
        <v>2211.3919000356718</v>
      </c>
      <c r="G10" s="3765">
        <f t="shared" si="0"/>
        <v>2965.1292309627352</v>
      </c>
      <c r="H10" s="3765">
        <f t="shared" si="0"/>
        <v>690.36807438821825</v>
      </c>
      <c r="I10" s="3766">
        <f t="shared" si="0"/>
        <v>792.91641860519246</v>
      </c>
      <c r="J10" s="3028">
        <f t="shared" ref="J10:J40" si="1">IF(SUM(C10:E10)=0,"NO",SUM(C10,IFERROR(28*D10,0),IFERROR(265*E10,0)))</f>
        <v>422515.18409655034</v>
      </c>
    </row>
    <row r="11" spans="2:10" s="83" customFormat="1" ht="18" customHeight="1" thickBot="1" x14ac:dyDescent="0.25">
      <c r="B11" s="18" t="s">
        <v>75</v>
      </c>
      <c r="C11" s="3029">
        <f>IF(SUM(C12,C16,C24,C30,C34)=0,"NO",SUM(C12,C16,C24,C30,C34))</f>
        <v>370963.40705041465</v>
      </c>
      <c r="D11" s="3029">
        <f t="shared" ref="D11:I11" si="2">IF(SUM(D12,D16,D24,D30,D34)=0,"NO",SUM(D12,D16,D24,D30,D34))</f>
        <v>81.359383932283677</v>
      </c>
      <c r="E11" s="3029">
        <f t="shared" si="2"/>
        <v>12.637035243069617</v>
      </c>
      <c r="F11" s="3029">
        <f t="shared" si="2"/>
        <v>2208.5291154019128</v>
      </c>
      <c r="G11" s="3029">
        <f t="shared" si="2"/>
        <v>2948.5269220869336</v>
      </c>
      <c r="H11" s="3029">
        <f t="shared" si="2"/>
        <v>488.80495166844537</v>
      </c>
      <c r="I11" s="3030">
        <f t="shared" si="2"/>
        <v>792.91641860519246</v>
      </c>
      <c r="J11" s="3031">
        <f t="shared" si="1"/>
        <v>376590.28413993202</v>
      </c>
    </row>
    <row r="12" spans="2:10" s="83" customFormat="1" ht="18" customHeight="1" x14ac:dyDescent="0.2">
      <c r="B12" s="26" t="s">
        <v>76</v>
      </c>
      <c r="C12" s="3029">
        <f>IF(SUM(C13:C15)=0,"NO",SUM(C13:C15))</f>
        <v>224490.41435401241</v>
      </c>
      <c r="D12" s="3029">
        <f t="shared" ref="D12:I12" si="3">IF(SUM(D13:D15)=0,"NO",SUM(D13:D15))</f>
        <v>14.444937477271949</v>
      </c>
      <c r="E12" s="3029">
        <f t="shared" si="3"/>
        <v>3.7433117435250378</v>
      </c>
      <c r="F12" s="3029">
        <f t="shared" si="3"/>
        <v>936.05886990473903</v>
      </c>
      <c r="G12" s="3029">
        <f t="shared" si="3"/>
        <v>173.69096331443592</v>
      </c>
      <c r="H12" s="3029">
        <f>IF(SUM(H13:H15)=0,"NO",SUM(H13:H15))</f>
        <v>38.276180430892893</v>
      </c>
      <c r="I12" s="3030">
        <f t="shared" si="3"/>
        <v>654.996790476211</v>
      </c>
      <c r="J12" s="3031">
        <f t="shared" si="1"/>
        <v>225886.85021541014</v>
      </c>
    </row>
    <row r="13" spans="2:10" s="83" customFormat="1" ht="18" customHeight="1" x14ac:dyDescent="0.2">
      <c r="B13" s="20" t="s">
        <v>77</v>
      </c>
      <c r="C13" s="3032">
        <f>'Table1.A(a)s1'!H24</f>
        <v>204797.83307240278</v>
      </c>
      <c r="D13" s="3032">
        <f>'Table1.A(a)s1'!I24</f>
        <v>6.9233261948821934</v>
      </c>
      <c r="E13" s="3032">
        <f>'Table1.A(a)s1'!J24</f>
        <v>3.3236893288306888</v>
      </c>
      <c r="F13" s="3033">
        <v>654.13108961431556</v>
      </c>
      <c r="G13" s="3033">
        <v>95.401139801463245</v>
      </c>
      <c r="H13" s="3033">
        <v>7.502596951301391</v>
      </c>
      <c r="I13" s="3034">
        <v>638.28989592990592</v>
      </c>
      <c r="J13" s="3035">
        <f t="shared" si="1"/>
        <v>205872.4638779996</v>
      </c>
    </row>
    <row r="14" spans="2:10" s="83" customFormat="1" ht="18" customHeight="1" x14ac:dyDescent="0.2">
      <c r="B14" s="20" t="s">
        <v>78</v>
      </c>
      <c r="C14" s="3032">
        <f>'Table1.A(a)s1'!H53</f>
        <v>5110.7059330660186</v>
      </c>
      <c r="D14" s="3032">
        <f>'Table1.A(a)s1'!I53</f>
        <v>6.3740319321993755E-2</v>
      </c>
      <c r="E14" s="3032">
        <f>'Table1.A(a)s1'!J53</f>
        <v>4.2432250301022378E-2</v>
      </c>
      <c r="F14" s="3033">
        <v>33.428770149683245</v>
      </c>
      <c r="G14" s="3033">
        <v>4.0986571289490357</v>
      </c>
      <c r="H14" s="3033">
        <v>7.8885591217627005E-2</v>
      </c>
      <c r="I14" s="3034">
        <v>3.5008301161637556</v>
      </c>
      <c r="J14" s="3035">
        <f t="shared" si="1"/>
        <v>5123.735208336805</v>
      </c>
    </row>
    <row r="15" spans="2:10" s="83" customFormat="1" ht="18" customHeight="1" thickBot="1" x14ac:dyDescent="0.25">
      <c r="B15" s="21" t="s">
        <v>79</v>
      </c>
      <c r="C15" s="3036">
        <f>'Table1.A(a)s1'!H60</f>
        <v>14581.87534854359</v>
      </c>
      <c r="D15" s="3036">
        <f>'Table1.A(a)s1'!I60</f>
        <v>7.4578709630677631</v>
      </c>
      <c r="E15" s="3036">
        <f>'Table1.A(a)s1'!J60</f>
        <v>0.37719016439332664</v>
      </c>
      <c r="F15" s="3037">
        <v>248.49901014074018</v>
      </c>
      <c r="G15" s="3037">
        <v>74.191166384023632</v>
      </c>
      <c r="H15" s="3037">
        <v>30.694697888373874</v>
      </c>
      <c r="I15" s="3038">
        <v>13.206064430141259</v>
      </c>
      <c r="J15" s="3039">
        <f t="shared" si="1"/>
        <v>14890.651129073718</v>
      </c>
    </row>
    <row r="16" spans="2:10" s="83" customFormat="1" ht="18" customHeight="1" x14ac:dyDescent="0.2">
      <c r="B16" s="25" t="s">
        <v>80</v>
      </c>
      <c r="C16" s="3029">
        <f>IF(SUM(C17:C23)=0,"NO",SUM(C17:C23))</f>
        <v>42551.080627390678</v>
      </c>
      <c r="D16" s="3029">
        <f t="shared" ref="D16:I16" si="4">IF(SUM(D17:D23)=0,"NO",SUM(D17:D23))</f>
        <v>2.4757433501601485</v>
      </c>
      <c r="E16" s="3029">
        <f t="shared" si="4"/>
        <v>1.42404088702423</v>
      </c>
      <c r="F16" s="3029">
        <f t="shared" si="4"/>
        <v>591.61207223374049</v>
      </c>
      <c r="G16" s="3029">
        <f t="shared" si="4"/>
        <v>188.52705711198055</v>
      </c>
      <c r="H16" s="3029">
        <f t="shared" si="4"/>
        <v>75.06805169721224</v>
      </c>
      <c r="I16" s="3030">
        <f t="shared" si="4"/>
        <v>103.60664184098432</v>
      </c>
      <c r="J16" s="3031">
        <f t="shared" si="1"/>
        <v>42997.772276256583</v>
      </c>
    </row>
    <row r="17" spans="2:10" s="83" customFormat="1" ht="18" customHeight="1" x14ac:dyDescent="0.2">
      <c r="B17" s="20" t="s">
        <v>81</v>
      </c>
      <c r="C17" s="3032">
        <f>'Table1.A(a)s2'!H17</f>
        <v>2807.3573915385505</v>
      </c>
      <c r="D17" s="3032">
        <f>'Table1.A(a)s2'!I17</f>
        <v>6.000877525865058E-2</v>
      </c>
      <c r="E17" s="3032">
        <f>'Table1.A(a)s2'!J17</f>
        <v>3.4311295606320298E-2</v>
      </c>
      <c r="F17" s="3033">
        <v>29.226255786966497</v>
      </c>
      <c r="G17" s="3033">
        <v>5.0021297126004907</v>
      </c>
      <c r="H17" s="3033">
        <v>0.559240535219935</v>
      </c>
      <c r="I17" s="3034">
        <v>11.965521862674967</v>
      </c>
      <c r="J17" s="3035">
        <f t="shared" si="1"/>
        <v>2818.1301305814677</v>
      </c>
    </row>
    <row r="18" spans="2:10" s="83" customFormat="1" ht="18" customHeight="1" x14ac:dyDescent="0.2">
      <c r="B18" s="20" t="s">
        <v>82</v>
      </c>
      <c r="C18" s="3032">
        <f>'Table1.A(a)s2'!H24</f>
        <v>14748.36289759256</v>
      </c>
      <c r="D18" s="3032">
        <f>'Table1.A(a)s2'!I24</f>
        <v>0.28971419340271426</v>
      </c>
      <c r="E18" s="3032">
        <f>'Table1.A(a)s2'!J24</f>
        <v>0.17618143099026082</v>
      </c>
      <c r="F18" s="3033">
        <v>116.45864045024346</v>
      </c>
      <c r="G18" s="3033">
        <v>21.591393982124558</v>
      </c>
      <c r="H18" s="3033">
        <v>4.688785329275154</v>
      </c>
      <c r="I18" s="3034">
        <v>59.680658334182354</v>
      </c>
      <c r="J18" s="3035">
        <f t="shared" si="1"/>
        <v>14803.162974220255</v>
      </c>
    </row>
    <row r="19" spans="2:10" s="83" customFormat="1" ht="18" customHeight="1" x14ac:dyDescent="0.2">
      <c r="B19" s="20" t="s">
        <v>83</v>
      </c>
      <c r="C19" s="3032">
        <f>'Table1.A(a)s2'!H31</f>
        <v>6921.2674715801768</v>
      </c>
      <c r="D19" s="3032">
        <f>'Table1.A(a)s2'!I31</f>
        <v>0.22733741049741968</v>
      </c>
      <c r="E19" s="3032">
        <f>'Table1.A(a)s2'!J31</f>
        <v>7.526388955630732E-2</v>
      </c>
      <c r="F19" s="3033">
        <v>47.799183668519525</v>
      </c>
      <c r="G19" s="3033">
        <v>16.270342592077796</v>
      </c>
      <c r="H19" s="3033">
        <v>10.538074552688514</v>
      </c>
      <c r="I19" s="3034">
        <v>4.658744336406369</v>
      </c>
      <c r="J19" s="3035">
        <f t="shared" si="1"/>
        <v>6947.5778498065256</v>
      </c>
    </row>
    <row r="20" spans="2:10" s="83" customFormat="1" ht="18" customHeight="1" x14ac:dyDescent="0.2">
      <c r="B20" s="20" t="s">
        <v>84</v>
      </c>
      <c r="C20" s="3032">
        <f>'Table1.A(a)s2'!H38</f>
        <v>1652.9023527910676</v>
      </c>
      <c r="D20" s="3032">
        <f>'Table1.A(a)s2'!I38</f>
        <v>0.26927016709405988</v>
      </c>
      <c r="E20" s="3032">
        <f>'Table1.A(a)s2'!J38</f>
        <v>0.17821606747229091</v>
      </c>
      <c r="F20" s="3033">
        <v>7.3653688717730397</v>
      </c>
      <c r="G20" s="3033">
        <v>6.4499735347219538</v>
      </c>
      <c r="H20" s="3033">
        <v>0.21123849390749516</v>
      </c>
      <c r="I20" s="3034">
        <v>2.0828485216490567</v>
      </c>
      <c r="J20" s="3035">
        <f t="shared" si="1"/>
        <v>1707.6691753498585</v>
      </c>
    </row>
    <row r="21" spans="2:10" s="83" customFormat="1" ht="18" customHeight="1" x14ac:dyDescent="0.2">
      <c r="B21" s="20" t="s">
        <v>85</v>
      </c>
      <c r="C21" s="3032">
        <f>'Table1.A(a)s2'!H45</f>
        <v>3061.8624232477641</v>
      </c>
      <c r="D21" s="3032">
        <f>'Table1.A(a)s2'!I45</f>
        <v>0.95978298129178019</v>
      </c>
      <c r="E21" s="3032">
        <f>'Table1.A(a)s2'!J45</f>
        <v>0.61828107795509379</v>
      </c>
      <c r="F21" s="3033">
        <v>24.935634749746267</v>
      </c>
      <c r="G21" s="3033">
        <v>25.105110674842901</v>
      </c>
      <c r="H21" s="3033">
        <v>1.3399836220945669</v>
      </c>
      <c r="I21" s="3034">
        <v>5.9032457644158116</v>
      </c>
      <c r="J21" s="3035">
        <f t="shared" si="1"/>
        <v>3252.5808323820338</v>
      </c>
    </row>
    <row r="22" spans="2:10" s="83" customFormat="1" ht="18" customHeight="1" x14ac:dyDescent="0.2">
      <c r="B22" s="20" t="s">
        <v>86</v>
      </c>
      <c r="C22" s="3032">
        <f>'Table1.A(a)s2'!H52</f>
        <v>6826.217647013882</v>
      </c>
      <c r="D22" s="3032">
        <f>'Table1.A(a)s2'!I52</f>
        <v>0.32184368665832519</v>
      </c>
      <c r="E22" s="3032">
        <f>'Table1.A(a)s2'!J52</f>
        <v>5.7995224416482201E-2</v>
      </c>
      <c r="F22" s="3033">
        <v>93.930498471119208</v>
      </c>
      <c r="G22" s="3033">
        <v>26.728555749433909</v>
      </c>
      <c r="H22" s="3033">
        <v>16.713058053169267</v>
      </c>
      <c r="I22" s="3034">
        <v>13.005937088367094</v>
      </c>
      <c r="J22" s="3035">
        <f t="shared" si="1"/>
        <v>6850.5980047106823</v>
      </c>
    </row>
    <row r="23" spans="2:10" s="83" customFormat="1" ht="18" customHeight="1" thickBot="1" x14ac:dyDescent="0.25">
      <c r="B23" s="3060" t="s">
        <v>2115</v>
      </c>
      <c r="C23" s="3032">
        <f>'Table1.A(a)s2'!H59</f>
        <v>6533.1104436266751</v>
      </c>
      <c r="D23" s="3032">
        <f>'Table1.A(a)s2'!I59</f>
        <v>0.34778613595719848</v>
      </c>
      <c r="E23" s="3032">
        <f>'Table1.A(a)s2'!J59</f>
        <v>0.28379190102747454</v>
      </c>
      <c r="F23" s="3033">
        <v>271.89649023537243</v>
      </c>
      <c r="G23" s="3033">
        <v>87.379550866178946</v>
      </c>
      <c r="H23" s="3033">
        <v>41.0176711108573</v>
      </c>
      <c r="I23" s="3034">
        <v>6.3096859332886766</v>
      </c>
      <c r="J23" s="3035">
        <f t="shared" si="1"/>
        <v>6618.0533092057567</v>
      </c>
    </row>
    <row r="24" spans="2:10" s="83" customFormat="1" ht="18" customHeight="1" x14ac:dyDescent="0.2">
      <c r="B24" s="25" t="s">
        <v>87</v>
      </c>
      <c r="C24" s="3029">
        <f>IF(SUM(C25:C29)=0,"NO",SUM(C25:C29))</f>
        <v>83992.782117918439</v>
      </c>
      <c r="D24" s="3029">
        <f t="shared" ref="D24:I24" si="5">IF(SUM(D25:D29)=0,"NO",SUM(D25:D29))</f>
        <v>18.758514318479602</v>
      </c>
      <c r="E24" s="3029">
        <f t="shared" si="5"/>
        <v>6.791072384936065</v>
      </c>
      <c r="F24" s="3029">
        <f t="shared" si="5"/>
        <v>319.20850556817737</v>
      </c>
      <c r="G24" s="3029">
        <f t="shared" si="5"/>
        <v>1841.2385568941256</v>
      </c>
      <c r="H24" s="3029">
        <f t="shared" si="5"/>
        <v>253.22453796302938</v>
      </c>
      <c r="I24" s="3030">
        <f t="shared" si="5"/>
        <v>26.456171483857418</v>
      </c>
      <c r="J24" s="3031">
        <f t="shared" si="1"/>
        <v>86317.654700843923</v>
      </c>
    </row>
    <row r="25" spans="2:10" s="83" customFormat="1" ht="18" customHeight="1" x14ac:dyDescent="0.2">
      <c r="B25" s="20" t="s">
        <v>88</v>
      </c>
      <c r="C25" s="1878">
        <f>'Table1.A(a)s3'!H16</f>
        <v>6586.6790635868128</v>
      </c>
      <c r="D25" s="1878">
        <f>'Table1.A(a)s3'!I16</f>
        <v>3.4649446477659149E-2</v>
      </c>
      <c r="E25" s="1878">
        <f>'Table1.A(a)s3'!J16</f>
        <v>5.1114665942973682E-2</v>
      </c>
      <c r="F25" s="3033">
        <v>22.237484808924549</v>
      </c>
      <c r="G25" s="3033">
        <v>14.922393972943414</v>
      </c>
      <c r="H25" s="3033">
        <v>1.4714597959112166</v>
      </c>
      <c r="I25" s="3034">
        <v>0.77689176603109067</v>
      </c>
      <c r="J25" s="3035">
        <f t="shared" si="1"/>
        <v>6601.1946345630749</v>
      </c>
    </row>
    <row r="26" spans="2:10" s="83" customFormat="1" ht="18" customHeight="1" x14ac:dyDescent="0.2">
      <c r="B26" s="20" t="s">
        <v>89</v>
      </c>
      <c r="C26" s="1878">
        <f>'Table1.A(a)s3'!H20</f>
        <v>72463.026970124934</v>
      </c>
      <c r="D26" s="1878">
        <f>'Table1.A(a)s3'!I20</f>
        <v>14.344673521393304</v>
      </c>
      <c r="E26" s="1878">
        <f>'Table1.A(a)s3'!J20</f>
        <v>5.7070254942964453</v>
      </c>
      <c r="F26" s="3033">
        <v>219.1541592183101</v>
      </c>
      <c r="G26" s="3033">
        <v>1589.2801795263795</v>
      </c>
      <c r="H26" s="3033">
        <v>212.12584492444029</v>
      </c>
      <c r="I26" s="3034">
        <v>14.802073241658299</v>
      </c>
      <c r="J26" s="3035">
        <f t="shared" si="1"/>
        <v>74377.039584712504</v>
      </c>
    </row>
    <row r="27" spans="2:10" s="83" customFormat="1" ht="18" customHeight="1" x14ac:dyDescent="0.2">
      <c r="B27" s="20" t="s">
        <v>90</v>
      </c>
      <c r="C27" s="1878">
        <f>'Table1.A(a)s3'!H81</f>
        <v>2316.8602184467982</v>
      </c>
      <c r="D27" s="1878">
        <f>'Table1.A(a)s3'!I81</f>
        <v>0.13258141450339328</v>
      </c>
      <c r="E27" s="1878">
        <f>'Table1.A(a)s3'!J81</f>
        <v>0.99436060877544952</v>
      </c>
      <c r="F27" s="3033">
        <v>50.712391047547932</v>
      </c>
      <c r="G27" s="3033">
        <v>6.6953614324213611</v>
      </c>
      <c r="H27" s="3033">
        <v>2.3533201074352306</v>
      </c>
      <c r="I27" s="3034">
        <v>1.8898666541053863</v>
      </c>
      <c r="J27" s="3035">
        <f t="shared" si="1"/>
        <v>2584.078059378387</v>
      </c>
    </row>
    <row r="28" spans="2:10" s="83" customFormat="1" ht="18" customHeight="1" x14ac:dyDescent="0.2">
      <c r="B28" s="20" t="s">
        <v>91</v>
      </c>
      <c r="C28" s="1878">
        <f>'Table1.A(a)s3'!H88</f>
        <v>1695.0841189680905</v>
      </c>
      <c r="D28" s="1878">
        <f>'Table1.A(a)s3'!I88</f>
        <v>4.0766450728149337</v>
      </c>
      <c r="E28" s="1878">
        <f>'Table1.A(a)s3'!J88</f>
        <v>3.6709736734543003E-2</v>
      </c>
      <c r="F28" s="3033">
        <v>23.610935627593413</v>
      </c>
      <c r="G28" s="3033">
        <v>224.84495120057284</v>
      </c>
      <c r="H28" s="3033">
        <v>36.505484494353468</v>
      </c>
      <c r="I28" s="3034">
        <v>8.9819095464726555</v>
      </c>
      <c r="J28" s="3035">
        <f t="shared" si="1"/>
        <v>1818.9582612415625</v>
      </c>
    </row>
    <row r="29" spans="2:10" s="83" customFormat="1" ht="18" customHeight="1" thickBot="1" x14ac:dyDescent="0.25">
      <c r="B29" s="22" t="s">
        <v>92</v>
      </c>
      <c r="C29" s="1881">
        <f>'Table1.A(a)s3'!H99</f>
        <v>931.13174679179338</v>
      </c>
      <c r="D29" s="1881">
        <f>'Table1.A(a)s3'!I99</f>
        <v>0.16996486329031296</v>
      </c>
      <c r="E29" s="1881">
        <f>'Table1.A(a)s3'!J99</f>
        <v>1.8618791866528866E-3</v>
      </c>
      <c r="F29" s="3040">
        <v>3.4935348658013798</v>
      </c>
      <c r="G29" s="3040">
        <v>5.4956707618087464</v>
      </c>
      <c r="H29" s="3040">
        <v>0.76842864088917717</v>
      </c>
      <c r="I29" s="3041">
        <v>5.4302755899861737E-3</v>
      </c>
      <c r="J29" s="3042">
        <f t="shared" si="1"/>
        <v>936.38416094838522</v>
      </c>
    </row>
    <row r="30" spans="2:10" ht="18" customHeight="1" x14ac:dyDescent="0.2">
      <c r="B30" s="26" t="s">
        <v>93</v>
      </c>
      <c r="C30" s="3029">
        <f>IF(SUM(C31:C33)=0,"NO",SUM(C31:C33))</f>
        <v>19090.374478065543</v>
      </c>
      <c r="D30" s="3029">
        <f t="shared" ref="D30" si="6">IF(SUM(D31:D33)=0,"NO",SUM(D31:D33))</f>
        <v>45.646983038924162</v>
      </c>
      <c r="E30" s="3029">
        <f t="shared" ref="E30" si="7">IF(SUM(E31:E33)=0,"NO",SUM(E31:E33))</f>
        <v>0.65508919048432157</v>
      </c>
      <c r="F30" s="3029">
        <f t="shared" ref="F30" si="8">IF(SUM(F31:F33)=0,"NO",SUM(F31:F33))</f>
        <v>354.25715885275861</v>
      </c>
      <c r="G30" s="3029">
        <f t="shared" ref="G30" si="9">IF(SUM(G31:G33)=0,"NO",SUM(G31:G33))</f>
        <v>740.47217879788286</v>
      </c>
      <c r="H30" s="3029">
        <f t="shared" ref="H30" si="10">IF(SUM(H31:H33)=0,"NO",SUM(H31:H33))</f>
        <v>121.71738317201437</v>
      </c>
      <c r="I30" s="3030">
        <f t="shared" ref="I30" si="11">IF(SUM(I31:I33)=0,"NO",SUM(I31:I33))</f>
        <v>7.5781841629903948</v>
      </c>
      <c r="J30" s="3043">
        <f t="shared" si="1"/>
        <v>20542.088638633766</v>
      </c>
    </row>
    <row r="31" spans="2:10" ht="18" customHeight="1" x14ac:dyDescent="0.2">
      <c r="B31" s="20" t="s">
        <v>94</v>
      </c>
      <c r="C31" s="3032">
        <f>'Table1.A(a)s4'!H17</f>
        <v>4773.6542262561561</v>
      </c>
      <c r="D31" s="3032">
        <f>'Table1.A(a)s4'!I17</f>
        <v>9.3704897121212119E-2</v>
      </c>
      <c r="E31" s="3032">
        <f>'Table1.A(a)s4'!J17</f>
        <v>9.4270704740259739E-2</v>
      </c>
      <c r="F31" s="3033">
        <v>35.153934083441555</v>
      </c>
      <c r="G31" s="3033">
        <v>10.507782578138528</v>
      </c>
      <c r="H31" s="3033">
        <v>4.3340743929978363</v>
      </c>
      <c r="I31" s="3034">
        <v>2.4661345894777322</v>
      </c>
      <c r="J31" s="3035">
        <f t="shared" si="1"/>
        <v>4801.259700131719</v>
      </c>
    </row>
    <row r="32" spans="2:10" ht="18" customHeight="1" x14ac:dyDescent="0.2">
      <c r="B32" s="20" t="s">
        <v>95</v>
      </c>
      <c r="C32" s="3032">
        <f>'Table1.A(a)s4'!H38</f>
        <v>8345.7182666611352</v>
      </c>
      <c r="D32" s="3032">
        <f>'Table1.A(a)s4'!I38</f>
        <v>45.029570791153596</v>
      </c>
      <c r="E32" s="3032">
        <f>'Table1.A(a)s4'!J38</f>
        <v>0.25080867795185402</v>
      </c>
      <c r="F32" s="3033">
        <v>11.651704777975063</v>
      </c>
      <c r="G32" s="3033">
        <v>603.09885271325084</v>
      </c>
      <c r="H32" s="3033">
        <v>70.447909301094455</v>
      </c>
      <c r="I32" s="3034">
        <v>0.5457534089512589</v>
      </c>
      <c r="J32" s="3035">
        <f t="shared" si="1"/>
        <v>9673.0105484706783</v>
      </c>
    </row>
    <row r="33" spans="2:10" ht="18" customHeight="1" thickBot="1" x14ac:dyDescent="0.25">
      <c r="B33" s="20" t="s">
        <v>96</v>
      </c>
      <c r="C33" s="3032">
        <f>'Table1.A(a)s4'!H59</f>
        <v>5971.0019851482521</v>
      </c>
      <c r="D33" s="3032">
        <f>'Table1.A(a)s4'!I59</f>
        <v>0.5237073506493507</v>
      </c>
      <c r="E33" s="3032">
        <f>'Table1.A(a)s4'!J59</f>
        <v>0.31000980779220783</v>
      </c>
      <c r="F33" s="3033">
        <v>307.45151999134197</v>
      </c>
      <c r="G33" s="3033">
        <v>126.86554350649349</v>
      </c>
      <c r="H33" s="3033">
        <v>46.935399477922068</v>
      </c>
      <c r="I33" s="3034">
        <v>4.5662961645614031</v>
      </c>
      <c r="J33" s="3035">
        <f t="shared" si="1"/>
        <v>6067.8183900313688</v>
      </c>
    </row>
    <row r="34" spans="2:10" ht="18" customHeight="1" x14ac:dyDescent="0.2">
      <c r="B34" s="25" t="s">
        <v>2116</v>
      </c>
      <c r="C34" s="3029">
        <f>IF(SUM(C35:C36)=0,"NO",SUM(C35:C36))</f>
        <v>838.75547302757877</v>
      </c>
      <c r="D34" s="3029">
        <f t="shared" ref="D34:E34" si="12">IF(SUM(D35:D36)=0,"NO",SUM(D35:D36))</f>
        <v>3.3205747447811136E-2</v>
      </c>
      <c r="E34" s="3029">
        <f t="shared" si="12"/>
        <v>2.3521037099963411E-2</v>
      </c>
      <c r="F34" s="3029">
        <f t="shared" ref="F34:I34" si="13">IF(SUM(F35:F36)=0,"NO",SUM(F35:F36))</f>
        <v>7.3925088424974126</v>
      </c>
      <c r="G34" s="3029">
        <f t="shared" si="13"/>
        <v>4.5981659685084537</v>
      </c>
      <c r="H34" s="3029">
        <f t="shared" si="13"/>
        <v>0.51879840529646115</v>
      </c>
      <c r="I34" s="3030">
        <f t="shared" si="13"/>
        <v>0.2786306411492589</v>
      </c>
      <c r="J34" s="3031">
        <f t="shared" si="1"/>
        <v>845.91830878760777</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838.75547302757877</v>
      </c>
      <c r="D36" s="3044">
        <f>'Table1.A(a)s4'!I108</f>
        <v>3.3205747447811136E-2</v>
      </c>
      <c r="E36" s="3044">
        <f>'Table1.A(a)s4'!J108</f>
        <v>2.3521037099963411E-2</v>
      </c>
      <c r="F36" s="3040">
        <v>7.3925088424974126</v>
      </c>
      <c r="G36" s="3040">
        <v>4.5981659685084537</v>
      </c>
      <c r="H36" s="3040">
        <v>0.51879840529646115</v>
      </c>
      <c r="I36" s="3041">
        <v>0.2786306411492589</v>
      </c>
      <c r="J36" s="3042">
        <f t="shared" si="1"/>
        <v>845.91830878760777</v>
      </c>
    </row>
    <row r="37" spans="2:10" ht="18" customHeight="1" thickBot="1" x14ac:dyDescent="0.25">
      <c r="B37" s="18" t="s">
        <v>99</v>
      </c>
      <c r="C37" s="3029">
        <f>IF(SUM(C38,C42)=0,"NO",SUM(C38,C42))</f>
        <v>7482.7256072783639</v>
      </c>
      <c r="D37" s="3029">
        <f t="shared" ref="D37:I37" si="14">IF(SUM(D38,D42)=0,"NO",SUM(D38,D42))</f>
        <v>1372.0691126139814</v>
      </c>
      <c r="E37" s="3029">
        <f t="shared" si="14"/>
        <v>9.1468664711016029E-2</v>
      </c>
      <c r="F37" s="3029">
        <f t="shared" si="14"/>
        <v>2.8627846337588787</v>
      </c>
      <c r="G37" s="3029">
        <f t="shared" si="14"/>
        <v>16.602308875801498</v>
      </c>
      <c r="H37" s="3029">
        <f t="shared" si="14"/>
        <v>201.56312271977288</v>
      </c>
      <c r="I37" s="3030" t="str">
        <f t="shared" si="14"/>
        <v>NO</v>
      </c>
      <c r="J37" s="3031">
        <f t="shared" si="1"/>
        <v>45924.899956618261</v>
      </c>
    </row>
    <row r="38" spans="2:10" ht="18" customHeight="1" x14ac:dyDescent="0.2">
      <c r="B38" s="26" t="s">
        <v>100</v>
      </c>
      <c r="C38" s="3029">
        <f>IF(SUM(C39:C41)=0,"NO",SUM(C39:C41))</f>
        <v>1162.3635762445851</v>
      </c>
      <c r="D38" s="3029">
        <f t="shared" ref="D38" si="15">IF(SUM(D39:D41)=0,"NO",SUM(D39:D41))</f>
        <v>1163.4500821496765</v>
      </c>
      <c r="E38" s="3029">
        <f t="shared" ref="E38" si="16">IF(SUM(E39:E41)=0,"NO",SUM(E39:E41))</f>
        <v>1.5507322621949082E-4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33739.006970840477</v>
      </c>
    </row>
    <row r="39" spans="2:10" ht="18" customHeight="1" x14ac:dyDescent="0.2">
      <c r="B39" s="20" t="s">
        <v>101</v>
      </c>
      <c r="C39" s="3032">
        <f>'Table1.B.1'!G10</f>
        <v>1162.3635762445851</v>
      </c>
      <c r="D39" s="3032">
        <f>SUM('Table1.B.1'!F10,'Table1.B.1'!H10)</f>
        <v>1163.4500821496765</v>
      </c>
      <c r="E39" s="3033">
        <v>1.5507322621949082E-4</v>
      </c>
      <c r="F39" s="3033" t="s">
        <v>2146</v>
      </c>
      <c r="G39" s="3033" t="s">
        <v>2146</v>
      </c>
      <c r="H39" s="3033" t="s">
        <v>2146</v>
      </c>
      <c r="I39" s="2931"/>
      <c r="J39" s="3035">
        <f t="shared" si="1"/>
        <v>33739.006970840477</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6320.3620310337783</v>
      </c>
      <c r="D42" s="3029">
        <f t="shared" ref="D42:I42" si="21">IF(SUM(D43:D46)=0,"NO",SUM(D43:D46))</f>
        <v>208.61903046430487</v>
      </c>
      <c r="E42" s="3029">
        <f t="shared" si="21"/>
        <v>9.1313591484796536E-2</v>
      </c>
      <c r="F42" s="3029">
        <f t="shared" si="21"/>
        <v>2.8627846337588787</v>
      </c>
      <c r="G42" s="3029">
        <f t="shared" si="21"/>
        <v>16.602308875801498</v>
      </c>
      <c r="H42" s="3029">
        <f t="shared" si="21"/>
        <v>201.56312271977288</v>
      </c>
      <c r="I42" s="3030" t="str">
        <f t="shared" si="21"/>
        <v>NO</v>
      </c>
      <c r="J42" s="3031">
        <f t="shared" ref="J42:J59" si="22">IF(SUM(C42:E42)=0,"NO",SUM(C42,IFERROR(28*D42,0),IFERROR(265*E42,0)))</f>
        <v>12185.892985777786</v>
      </c>
    </row>
    <row r="43" spans="2:10" ht="18" customHeight="1" x14ac:dyDescent="0.2">
      <c r="B43" s="20" t="s">
        <v>103</v>
      </c>
      <c r="C43" s="3032">
        <f>'Table1.B.2'!I10</f>
        <v>415.00452448302633</v>
      </c>
      <c r="D43" s="3032">
        <f>'Table1.B.2'!J10</f>
        <v>3.1483936236589551</v>
      </c>
      <c r="E43" s="3032">
        <f>'Table1.B.2'!K10</f>
        <v>1.2489993222555264E-2</v>
      </c>
      <c r="F43" s="3033">
        <v>0.23075555555555538</v>
      </c>
      <c r="G43" s="3033">
        <v>1.338382222222221</v>
      </c>
      <c r="H43" s="3033">
        <v>96.336005619444421</v>
      </c>
      <c r="I43" s="3034" t="s">
        <v>2146</v>
      </c>
      <c r="J43" s="3035">
        <f t="shared" si="22"/>
        <v>506.46939414945422</v>
      </c>
    </row>
    <row r="44" spans="2:10" ht="18" customHeight="1" x14ac:dyDescent="0.2">
      <c r="B44" s="20" t="s">
        <v>104</v>
      </c>
      <c r="C44" s="3032">
        <f>SUM('Table1.B.2'!I21,'Table1.B.2'!L21)</f>
        <v>24.595545152576619</v>
      </c>
      <c r="D44" s="3032">
        <f>'Table1.B.2'!J21</f>
        <v>153.45638425014454</v>
      </c>
      <c r="E44" s="3032">
        <f>'Table1.B.2'!K21</f>
        <v>4.4451351209312296E-4</v>
      </c>
      <c r="F44" s="3033">
        <v>8.2317317054282028E-3</v>
      </c>
      <c r="G44" s="3033">
        <v>4.7744043891483574E-2</v>
      </c>
      <c r="H44" s="3033">
        <v>78.992113635349511</v>
      </c>
      <c r="I44" s="3034" t="s">
        <v>2146</v>
      </c>
      <c r="J44" s="3035">
        <f t="shared" si="22"/>
        <v>4321.4921002373285</v>
      </c>
    </row>
    <row r="45" spans="2:10" ht="18" customHeight="1" x14ac:dyDescent="0.2">
      <c r="B45" s="20" t="s">
        <v>105</v>
      </c>
      <c r="C45" s="3032">
        <f>'Table1.B.2'!I35</f>
        <v>5880.7619613981751</v>
      </c>
      <c r="D45" s="3032">
        <f>'Table1.B.2'!J35</f>
        <v>52.014252590501378</v>
      </c>
      <c r="E45" s="3032">
        <f>'Table1.B.2'!K35</f>
        <v>7.8379084750148154E-2</v>
      </c>
      <c r="F45" s="3033">
        <v>2.623797346497895</v>
      </c>
      <c r="G45" s="3033">
        <v>15.216182609687792</v>
      </c>
      <c r="H45" s="3033">
        <v>26.235003464978952</v>
      </c>
      <c r="I45" s="3034" t="s">
        <v>2146</v>
      </c>
      <c r="J45" s="3035">
        <f t="shared" si="22"/>
        <v>7357.9314913910039</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12209.314722839999</v>
      </c>
      <c r="D52" s="3032">
        <f t="shared" ref="D52:I52" si="23">IF(SUM(D53:D54)=0,"NO",SUM(D53:D54))</f>
        <v>0.2961321315058823</v>
      </c>
      <c r="E52" s="3032">
        <f t="shared" si="23"/>
        <v>0.12750554307554179</v>
      </c>
      <c r="F52" s="3032">
        <f t="shared" si="23"/>
        <v>125.81134157430341</v>
      </c>
      <c r="G52" s="3032">
        <f t="shared" si="23"/>
        <v>16.799962875723839</v>
      </c>
      <c r="H52" s="3032">
        <f t="shared" si="23"/>
        <v>9.5755958738315794</v>
      </c>
      <c r="I52" s="3055">
        <f t="shared" si="23"/>
        <v>48.661664433665862</v>
      </c>
      <c r="J52" s="3035">
        <f t="shared" si="22"/>
        <v>12251.395391437181</v>
      </c>
    </row>
    <row r="53" spans="2:10" ht="18" customHeight="1" x14ac:dyDescent="0.2">
      <c r="B53" s="164" t="s">
        <v>111</v>
      </c>
      <c r="C53" s="3032">
        <f>Table1.D!G10</f>
        <v>9271.6158911999992</v>
      </c>
      <c r="D53" s="3032">
        <f>Table1.D!H10</f>
        <v>1.5638964705882351E-2</v>
      </c>
      <c r="E53" s="3032">
        <f>Table1.D!I10</f>
        <v>4.7364638275541791E-2</v>
      </c>
      <c r="F53" s="3033">
        <v>46.974305774303417</v>
      </c>
      <c r="G53" s="3033">
        <v>14.667433420123839</v>
      </c>
      <c r="H53" s="3033">
        <v>7.1039330226315789</v>
      </c>
      <c r="I53" s="3034">
        <v>1.0923455504000001</v>
      </c>
      <c r="J53" s="3035">
        <f t="shared" si="22"/>
        <v>9284.6054113547834</v>
      </c>
    </row>
    <row r="54" spans="2:10" ht="18" customHeight="1" x14ac:dyDescent="0.2">
      <c r="B54" s="164" t="s">
        <v>112</v>
      </c>
      <c r="C54" s="3032">
        <f>Table1.D!G14</f>
        <v>2937.6988316399998</v>
      </c>
      <c r="D54" s="3032">
        <f>Table1.D!H14</f>
        <v>0.28049316679999997</v>
      </c>
      <c r="E54" s="3032">
        <f>Table1.D!I14</f>
        <v>8.0140904799999996E-2</v>
      </c>
      <c r="F54" s="3033">
        <v>78.837035799999995</v>
      </c>
      <c r="G54" s="3033">
        <v>2.1325294555999998</v>
      </c>
      <c r="H54" s="3033">
        <v>2.4716628512000001</v>
      </c>
      <c r="I54" s="3034">
        <v>47.569318883265865</v>
      </c>
      <c r="J54" s="3035">
        <f t="shared" si="22"/>
        <v>2966.7899800823998</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19671.577561818198</v>
      </c>
      <c r="D56" s="3056"/>
      <c r="E56" s="3056"/>
      <c r="F56" s="3056"/>
      <c r="G56" s="3056"/>
      <c r="H56" s="3056"/>
      <c r="I56" s="2971"/>
      <c r="J56" s="3039">
        <f t="shared" si="22"/>
        <v>19671.577561818198</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130526.638567688</v>
      </c>
      <c r="D10" s="3549" t="s">
        <v>2146</v>
      </c>
      <c r="E10" s="3549">
        <v>20.708005011000001</v>
      </c>
      <c r="F10" s="3549">
        <v>508.50050910499999</v>
      </c>
      <c r="G10" s="3549" t="s">
        <v>2146</v>
      </c>
      <c r="H10" s="3549">
        <v>0.271036836</v>
      </c>
      <c r="I10" s="3549" t="s">
        <v>2146</v>
      </c>
      <c r="J10" s="3549">
        <v>26.893707678999998</v>
      </c>
      <c r="K10" s="3549" t="s">
        <v>2146</v>
      </c>
      <c r="L10" s="3549" t="s">
        <v>2146</v>
      </c>
      <c r="M10" s="3550">
        <f>IF(SUM(C10:L10)=0,"NO",SUM(C10:L10))</f>
        <v>131083.01182631898</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14.729474517</v>
      </c>
      <c r="D12" s="3549" t="s">
        <v>2146</v>
      </c>
      <c r="E12" s="3549">
        <v>39945.814292078998</v>
      </c>
      <c r="F12" s="3549" t="s">
        <v>2153</v>
      </c>
      <c r="G12" s="3549" t="s">
        <v>2146</v>
      </c>
      <c r="H12" s="3549" t="s">
        <v>2153</v>
      </c>
      <c r="I12" s="3549" t="s">
        <v>2146</v>
      </c>
      <c r="J12" s="3549" t="s">
        <v>2153</v>
      </c>
      <c r="K12" s="3549" t="s">
        <v>2146</v>
      </c>
      <c r="L12" s="3549" t="s">
        <v>2146</v>
      </c>
      <c r="M12" s="3550">
        <f t="shared" si="0"/>
        <v>39960.543766595998</v>
      </c>
    </row>
    <row r="13" spans="2:13" ht="18" customHeight="1" x14ac:dyDescent="0.2">
      <c r="B13" s="2277" t="s">
        <v>1961</v>
      </c>
      <c r="C13" s="3549">
        <v>487.52844562400003</v>
      </c>
      <c r="D13" s="3549" t="s">
        <v>2146</v>
      </c>
      <c r="E13" s="3549" t="s">
        <v>2153</v>
      </c>
      <c r="F13" s="3549">
        <v>521909.59222484502</v>
      </c>
      <c r="G13" s="3549" t="s">
        <v>2146</v>
      </c>
      <c r="H13" s="3549" t="s">
        <v>2153</v>
      </c>
      <c r="I13" s="3549" t="s">
        <v>2146</v>
      </c>
      <c r="J13" s="3549" t="s">
        <v>2153</v>
      </c>
      <c r="K13" s="3549" t="s">
        <v>2146</v>
      </c>
      <c r="L13" s="3549" t="s">
        <v>2146</v>
      </c>
      <c r="M13" s="3550">
        <f t="shared" si="0"/>
        <v>522397.12067046901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6.7881873300000004</v>
      </c>
      <c r="D15" s="3549" t="s">
        <v>2146</v>
      </c>
      <c r="E15" s="3549">
        <v>0.63304705100000003</v>
      </c>
      <c r="F15" s="3549">
        <v>2.443871627</v>
      </c>
      <c r="G15" s="3549" t="s">
        <v>2146</v>
      </c>
      <c r="H15" s="3549">
        <v>13234.355189284999</v>
      </c>
      <c r="I15" s="3549" t="s">
        <v>2146</v>
      </c>
      <c r="J15" s="3549" t="s">
        <v>2146</v>
      </c>
      <c r="K15" s="3549" t="s">
        <v>2146</v>
      </c>
      <c r="L15" s="3549" t="s">
        <v>2146</v>
      </c>
      <c r="M15" s="3550">
        <f t="shared" si="0"/>
        <v>13244.220295292998</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10.040006575</v>
      </c>
      <c r="D17" s="3549" t="s">
        <v>2146</v>
      </c>
      <c r="E17" s="3549" t="s">
        <v>2146</v>
      </c>
      <c r="F17" s="3549" t="s">
        <v>2146</v>
      </c>
      <c r="G17" s="3549" t="s">
        <v>2146</v>
      </c>
      <c r="H17" s="3549" t="s">
        <v>2146</v>
      </c>
      <c r="I17" s="3549" t="s">
        <v>2146</v>
      </c>
      <c r="J17" s="3549">
        <v>1441.43458893</v>
      </c>
      <c r="K17" s="3549" t="s">
        <v>2146</v>
      </c>
      <c r="L17" s="3549" t="s">
        <v>2146</v>
      </c>
      <c r="M17" s="3550">
        <f t="shared" si="0"/>
        <v>1451.474595505</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131045.72468173401</v>
      </c>
      <c r="D20" s="3551" t="str">
        <f t="shared" ref="D20:L20" si="1">IF(SUM(D10:D19)=0,"NO",SUM(D10:D19))</f>
        <v>NO</v>
      </c>
      <c r="E20" s="3551">
        <f t="shared" si="1"/>
        <v>39967.155344141</v>
      </c>
      <c r="F20" s="3551">
        <f t="shared" si="1"/>
        <v>522420.53660557698</v>
      </c>
      <c r="G20" s="3551" t="str">
        <f t="shared" si="1"/>
        <v>NO</v>
      </c>
      <c r="H20" s="3551">
        <f t="shared" si="1"/>
        <v>13234.626226120999</v>
      </c>
      <c r="I20" s="3551" t="str">
        <f t="shared" si="1"/>
        <v>NO</v>
      </c>
      <c r="J20" s="3551">
        <f t="shared" si="1"/>
        <v>1468.3282966090001</v>
      </c>
      <c r="K20" s="3551">
        <f t="shared" si="1"/>
        <v>60692.328845821001</v>
      </c>
      <c r="L20" s="3551" t="str">
        <f t="shared" si="1"/>
        <v>NO</v>
      </c>
      <c r="M20" s="3550">
        <f t="shared" si="0"/>
        <v>768828.70000000298</v>
      </c>
    </row>
    <row r="21" spans="2:13" ht="18" customHeight="1" thickBot="1" x14ac:dyDescent="0.25">
      <c r="B21" s="2279" t="s">
        <v>1968</v>
      </c>
      <c r="C21" s="3552">
        <f>IF(SUM(C20)=0,"NO",C20-M10)</f>
        <v>-37.287144584974158</v>
      </c>
      <c r="D21" s="3552" t="str">
        <f>IF(SUM(D20)=0,"NO",D20-M11)</f>
        <v>NO</v>
      </c>
      <c r="E21" s="3552">
        <f>IF(SUM(E20)=0,"NO",E20-M12)</f>
        <v>6.6115775450016372</v>
      </c>
      <c r="F21" s="3552">
        <f>IF(SUM(F20)=0,"NO",F20-M13)</f>
        <v>23.415935107972473</v>
      </c>
      <c r="G21" s="3552" t="str">
        <f>IF(SUM(G20)=0,"NO",G20-M14)</f>
        <v>NO</v>
      </c>
      <c r="H21" s="3552">
        <f>IF(SUM(H20)=0,"NO",H20-M15)</f>
        <v>-9.5940691719988536</v>
      </c>
      <c r="I21" s="3552" t="str">
        <f>IF(SUM(I20)=0,"NO",I20-M16)</f>
        <v>NO</v>
      </c>
      <c r="J21" s="3552">
        <f>IF(SUM(J20)=0,"NO",J20-M17)</f>
        <v>16.853701104000038</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131190.84043242849</v>
      </c>
      <c r="E10" s="3556">
        <f t="shared" ref="E10:U10" si="0">IF(SUM(E11,E16)=0,"IE",SUM(E11,E16))</f>
        <v>131045.72468173283</v>
      </c>
      <c r="F10" s="3557">
        <f t="shared" si="0"/>
        <v>145.11575069565467</v>
      </c>
      <c r="G10" s="3558">
        <f t="shared" ref="G10:K11" si="1">IFERROR(IF(SUM($D10)=0,"NA",N10/$D10),"NA")</f>
        <v>7.7698575536261971E-2</v>
      </c>
      <c r="H10" s="3078">
        <f t="shared" si="1"/>
        <v>-2.0672345921173705E-2</v>
      </c>
      <c r="I10" s="3078">
        <f t="shared" si="1"/>
        <v>5.702622961508827E-2</v>
      </c>
      <c r="J10" s="3078">
        <f t="shared" si="1"/>
        <v>-1.1252507497610019E-3</v>
      </c>
      <c r="K10" s="3078">
        <f t="shared" si="1"/>
        <v>3.5431026569784836E-3</v>
      </c>
      <c r="L10" s="3078">
        <f>IFERROR(IF(SUM(E10)=0,"NA",S10/E10),"NA")</f>
        <v>-1.450043016671606E-3</v>
      </c>
      <c r="M10" s="3128">
        <f>IFERROR(IF(SUM(F10)=0,"NA",T10/F10),"NA")</f>
        <v>-0.18296725571189201</v>
      </c>
      <c r="N10" s="3559">
        <f t="shared" si="0"/>
        <v>10193.341425004737</v>
      </c>
      <c r="O10" s="3560">
        <f t="shared" si="0"/>
        <v>-2712.0224351086636</v>
      </c>
      <c r="P10" s="3560">
        <f t="shared" si="0"/>
        <v>7481.3189898960736</v>
      </c>
      <c r="Q10" s="3560">
        <f t="shared" si="0"/>
        <v>-147.62259155836614</v>
      </c>
      <c r="R10" s="3560">
        <f t="shared" si="0"/>
        <v>464.82261530737765</v>
      </c>
      <c r="S10" s="3560">
        <f t="shared" si="0"/>
        <v>-190.0219379394166</v>
      </c>
      <c r="T10" s="3561">
        <f t="shared" si="0"/>
        <v>-26.551430665355017</v>
      </c>
      <c r="U10" s="3562">
        <f t="shared" si="0"/>
        <v>-27800.467365147808</v>
      </c>
      <c r="W10" s="2396"/>
    </row>
    <row r="11" spans="2:23" ht="18" customHeight="1" x14ac:dyDescent="0.2">
      <c r="B11" s="502" t="s">
        <v>982</v>
      </c>
      <c r="C11" s="2256"/>
      <c r="D11" s="3563">
        <f>IF(SUM(D12:D15)=0,"IE",SUM(D12:D15))</f>
        <v>121919.900002963</v>
      </c>
      <c r="E11" s="3564">
        <f t="shared" ref="E11:U11" si="2">IF(SUM(E12:E15)=0,"IE",SUM(E12:E15))</f>
        <v>121919.900002963</v>
      </c>
      <c r="F11" s="3565" t="str">
        <f t="shared" si="2"/>
        <v>IE</v>
      </c>
      <c r="G11" s="3558">
        <f t="shared" si="1"/>
        <v>2.5139598092979953E-2</v>
      </c>
      <c r="H11" s="3078">
        <f t="shared" si="1"/>
        <v>-2.224429674764131E-2</v>
      </c>
      <c r="I11" s="3078">
        <f t="shared" si="1"/>
        <v>2.8953013453386434E-3</v>
      </c>
      <c r="J11" s="3078">
        <f t="shared" si="1"/>
        <v>-9.1333095277316995E-3</v>
      </c>
      <c r="K11" s="3078">
        <f t="shared" si="1"/>
        <v>-1.6350599893046002E-3</v>
      </c>
      <c r="L11" s="3078">
        <f t="shared" ref="L11:L28" si="3">IFERROR(IF(SUM(E11)=0,"NA",S11/E11),"NA")</f>
        <v>1.0591937890624722E-2</v>
      </c>
      <c r="M11" s="3128" t="str">
        <f t="shared" ref="M11:M28" si="4">IFERROR(IF(SUM(F11)=0,"NA",T11/F11),"NA")</f>
        <v>NA</v>
      </c>
      <c r="N11" s="3109">
        <f t="shared" si="2"/>
        <v>3065.0172856107952</v>
      </c>
      <c r="O11" s="3109">
        <f t="shared" si="2"/>
        <v>-2712.0224351086636</v>
      </c>
      <c r="P11" s="3109">
        <f t="shared" si="2"/>
        <v>352.99485050213161</v>
      </c>
      <c r="Q11" s="3109">
        <f t="shared" si="2"/>
        <v>-1113.532184317158</v>
      </c>
      <c r="R11" s="3566">
        <f t="shared" si="2"/>
        <v>-199.34635039486261</v>
      </c>
      <c r="S11" s="3566">
        <f t="shared" si="2"/>
        <v>1291.368008462561</v>
      </c>
      <c r="T11" s="3566" t="str">
        <f t="shared" si="2"/>
        <v>IE</v>
      </c>
      <c r="U11" s="3567">
        <f t="shared" si="2"/>
        <v>-1215.4425222597984</v>
      </c>
      <c r="W11" s="2397"/>
    </row>
    <row r="12" spans="2:23" ht="18" customHeight="1" x14ac:dyDescent="0.2">
      <c r="B12" s="500"/>
      <c r="C12" s="508" t="s">
        <v>2220</v>
      </c>
      <c r="D12" s="3568">
        <f>IF(SUM(E12:F12)=0,E12,SUM(E12:F12))</f>
        <v>12275.97615571244</v>
      </c>
      <c r="E12" s="3569">
        <v>12275.97615571244</v>
      </c>
      <c r="F12" s="3554" t="s">
        <v>2153</v>
      </c>
      <c r="G12" s="3558">
        <f>IFERROR(IF(SUM($D12)=0,"NA",N12/$D12),"NA")</f>
        <v>0.24861603232925403</v>
      </c>
      <c r="H12" s="3078" t="str">
        <f>IFERROR(IF(SUM($D12)=0,"NA",O12/$D12),"NA")</f>
        <v>NA</v>
      </c>
      <c r="I12" s="3078">
        <f>IFERROR(IF(SUM($D12)=0,"NA",P12/$D12),"NA")</f>
        <v>0.24861603232925403</v>
      </c>
      <c r="J12" s="3078">
        <f>IFERROR(IF(SUM($D12)=0,"NA",Q12/$D12),"NA")</f>
        <v>2.681841189469153E-2</v>
      </c>
      <c r="K12" s="3078">
        <f>IFERROR(IF(SUM($D12)=0,"NA",R12/$D12),"NA")</f>
        <v>3.1376606873435381E-2</v>
      </c>
      <c r="L12" s="3078">
        <f t="shared" si="3"/>
        <v>4.4720452139319765E-2</v>
      </c>
      <c r="M12" s="3128" t="str">
        <f t="shared" si="4"/>
        <v>NA</v>
      </c>
      <c r="N12" s="2905">
        <v>3052.0044848017556</v>
      </c>
      <c r="O12" s="2905" t="s">
        <v>2153</v>
      </c>
      <c r="P12" s="3109">
        <f>IF(SUM(N12:O12)=0,N12,SUM(N12:O12))</f>
        <v>3052.0044848017556</v>
      </c>
      <c r="Q12" s="2905">
        <v>329.2221849533081</v>
      </c>
      <c r="R12" s="2906">
        <v>385.17847782545579</v>
      </c>
      <c r="S12" s="2906">
        <v>548.98720413496881</v>
      </c>
      <c r="T12" s="2906" t="s">
        <v>2153</v>
      </c>
      <c r="U12" s="3570">
        <f>IF(SUM(P12:T12)=0,P12,SUM(P12:T12)*-44/12)</f>
        <v>-15823.105289623456</v>
      </c>
      <c r="W12" s="2398"/>
    </row>
    <row r="13" spans="2:23" ht="18" customHeight="1" x14ac:dyDescent="0.2">
      <c r="B13" s="500"/>
      <c r="C13" s="508" t="s">
        <v>2221</v>
      </c>
      <c r="D13" s="3568">
        <f t="shared" ref="D13:D15" si="5">IF(SUM(E13:F13)=0,E13,SUM(E13:F13))</f>
        <v>682.24894237664455</v>
      </c>
      <c r="E13" s="3569">
        <v>682.24894237664455</v>
      </c>
      <c r="F13" s="3554" t="s">
        <v>2153</v>
      </c>
      <c r="G13" s="3558">
        <f t="shared" ref="G13:K28" si="6">IFERROR(IF(SUM($D13)=0,"NA",N13/$D13),"NA")</f>
        <v>1.9073390958598051E-2</v>
      </c>
      <c r="H13" s="3078" t="str">
        <f t="shared" si="6"/>
        <v>NA</v>
      </c>
      <c r="I13" s="3078">
        <f t="shared" si="6"/>
        <v>1.9073390958598051E-2</v>
      </c>
      <c r="J13" s="3078">
        <f t="shared" si="6"/>
        <v>-5.019724867474034E-2</v>
      </c>
      <c r="K13" s="3078">
        <f t="shared" si="6"/>
        <v>6.6869551144349892E-2</v>
      </c>
      <c r="L13" s="3078">
        <f t="shared" si="3"/>
        <v>1.0881377136935906</v>
      </c>
      <c r="M13" s="3128" t="str">
        <f t="shared" si="4"/>
        <v>NA</v>
      </c>
      <c r="N13" s="2905">
        <v>13.012800809039774</v>
      </c>
      <c r="O13" s="2905" t="s">
        <v>2153</v>
      </c>
      <c r="P13" s="3109">
        <f t="shared" ref="P13:P15" si="7">IF(SUM(N13:O13)=0,N13,SUM(N13:O13))</f>
        <v>13.012800809039774</v>
      </c>
      <c r="Q13" s="2905">
        <v>-34.247019818559018</v>
      </c>
      <c r="R13" s="2906">
        <v>45.621680545433655</v>
      </c>
      <c r="S13" s="2906">
        <v>742.38080432759216</v>
      </c>
      <c r="T13" s="2906" t="s">
        <v>2153</v>
      </c>
      <c r="U13" s="3570">
        <f t="shared" ref="U13:U15" si="8">IF(SUM(P13:T13)=0,P13,SUM(P13:T13)*-44/12)</f>
        <v>-2811.4836414995243</v>
      </c>
      <c r="W13" s="2398"/>
    </row>
    <row r="14" spans="2:23" ht="18" customHeight="1" x14ac:dyDescent="0.2">
      <c r="B14" s="500"/>
      <c r="C14" s="508" t="s">
        <v>2222</v>
      </c>
      <c r="D14" s="3568">
        <f t="shared" si="5"/>
        <v>108961.67490487391</v>
      </c>
      <c r="E14" s="3569">
        <v>108961.67490487391</v>
      </c>
      <c r="F14" s="3554" t="s">
        <v>2153</v>
      </c>
      <c r="G14" s="3558" t="str">
        <f t="shared" si="6"/>
        <v>NA</v>
      </c>
      <c r="H14" s="3078">
        <f t="shared" si="6"/>
        <v>-1.0119428203809362E-2</v>
      </c>
      <c r="I14" s="3078">
        <f t="shared" si="6"/>
        <v>-1.0119428203809362E-2</v>
      </c>
      <c r="J14" s="3078">
        <f t="shared" si="6"/>
        <v>-1.1645506586330782E-2</v>
      </c>
      <c r="K14" s="3078">
        <f t="shared" si="6"/>
        <v>-5.7831940387836796E-3</v>
      </c>
      <c r="L14" s="3078" t="str">
        <f t="shared" si="3"/>
        <v>NA</v>
      </c>
      <c r="M14" s="3128" t="str">
        <f t="shared" si="4"/>
        <v>NA</v>
      </c>
      <c r="N14" s="2905" t="s">
        <v>2153</v>
      </c>
      <c r="O14" s="2905">
        <v>-1102.6298461666879</v>
      </c>
      <c r="P14" s="3109">
        <f t="shared" si="7"/>
        <v>-1102.6298461666879</v>
      </c>
      <c r="Q14" s="2905">
        <v>-1268.9139027623428</v>
      </c>
      <c r="R14" s="2906">
        <v>-630.14650876575206</v>
      </c>
      <c r="S14" s="2906" t="s">
        <v>2147</v>
      </c>
      <c r="T14" s="2906" t="s">
        <v>2147</v>
      </c>
      <c r="U14" s="3570">
        <f t="shared" si="8"/>
        <v>11006.197611547535</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-1609.3925889419756</v>
      </c>
      <c r="P15" s="3109">
        <f t="shared" si="7"/>
        <v>-1609.3925889419756</v>
      </c>
      <c r="Q15" s="2905">
        <v>-139.59344668956433</v>
      </c>
      <c r="R15" s="2906" t="s">
        <v>2147</v>
      </c>
      <c r="S15" s="2906" t="s">
        <v>2147</v>
      </c>
      <c r="T15" s="2906" t="s">
        <v>2147</v>
      </c>
      <c r="U15" s="3570">
        <f t="shared" si="8"/>
        <v>6412.9487973156465</v>
      </c>
      <c r="W15" s="2398"/>
    </row>
    <row r="16" spans="2:23" ht="18" customHeight="1" x14ac:dyDescent="0.2">
      <c r="B16" s="485" t="s">
        <v>1041</v>
      </c>
      <c r="C16" s="504"/>
      <c r="D16" s="3568">
        <f>IF(SUM(D17,D19,D23,D25,D27)=0,"IE",SUM(D17,D19,D23,D25,D27))</f>
        <v>9270.9404294654832</v>
      </c>
      <c r="E16" s="3571">
        <f t="shared" ref="E16:T16" si="9">IF(SUM(E17,E19,E23,E25,E27)=0,"IE",SUM(E17,E19,E23,E25,E27))</f>
        <v>9125.8246787698281</v>
      </c>
      <c r="F16" s="3572">
        <f t="shared" si="9"/>
        <v>145.11575069565467</v>
      </c>
      <c r="G16" s="3558">
        <f t="shared" si="6"/>
        <v>0.76888900253724601</v>
      </c>
      <c r="H16" s="3078" t="str">
        <f t="shared" si="6"/>
        <v>NA</v>
      </c>
      <c r="I16" s="3078">
        <f t="shared" si="6"/>
        <v>0.76888900253724601</v>
      </c>
      <c r="J16" s="3078">
        <f t="shared" si="6"/>
        <v>0.10418679745680141</v>
      </c>
      <c r="K16" s="3078">
        <f t="shared" si="6"/>
        <v>7.1639869844415879E-2</v>
      </c>
      <c r="L16" s="3078">
        <f t="shared" si="3"/>
        <v>-0.16232943307011577</v>
      </c>
      <c r="M16" s="3128">
        <f t="shared" si="4"/>
        <v>-0.18296725571189201</v>
      </c>
      <c r="N16" s="3078">
        <f t="shared" si="9"/>
        <v>7128.3241393939425</v>
      </c>
      <c r="O16" s="3078" t="str">
        <f t="shared" si="9"/>
        <v>IE</v>
      </c>
      <c r="P16" s="3078">
        <f t="shared" si="9"/>
        <v>7128.3241393939425</v>
      </c>
      <c r="Q16" s="3078">
        <f t="shared" si="9"/>
        <v>965.90959275879186</v>
      </c>
      <c r="R16" s="3573">
        <f t="shared" si="9"/>
        <v>664.16896570224026</v>
      </c>
      <c r="S16" s="3573">
        <f t="shared" si="9"/>
        <v>-1481.3899464019776</v>
      </c>
      <c r="T16" s="3573">
        <f t="shared" si="9"/>
        <v>-26.551430665355017</v>
      </c>
      <c r="U16" s="3570">
        <f>IF(SUM(U17,U19,U23,U25,U27)=0,"IE",SUM(U17,U19,U23,U25,U27))</f>
        <v>-26585.024842888011</v>
      </c>
      <c r="W16" s="2019"/>
    </row>
    <row r="17" spans="2:23" ht="18" customHeight="1" x14ac:dyDescent="0.2">
      <c r="B17" s="487" t="s">
        <v>1042</v>
      </c>
      <c r="C17" s="504"/>
      <c r="D17" s="3568">
        <f>D18</f>
        <v>55.331000000000003</v>
      </c>
      <c r="E17" s="3571">
        <f t="shared" ref="E17:U17" si="10">E18</f>
        <v>55.331000000000003</v>
      </c>
      <c r="F17" s="3572" t="str">
        <f t="shared" si="10"/>
        <v>NO</v>
      </c>
      <c r="G17" s="3558">
        <f t="shared" si="6"/>
        <v>1.4216623592561133</v>
      </c>
      <c r="H17" s="3078" t="str">
        <f t="shared" si="6"/>
        <v>NA</v>
      </c>
      <c r="I17" s="3078">
        <f t="shared" si="6"/>
        <v>1.4216623592561133</v>
      </c>
      <c r="J17" s="3078">
        <f t="shared" si="6"/>
        <v>3.9760712801142219E-2</v>
      </c>
      <c r="K17" s="3078">
        <f t="shared" si="6"/>
        <v>2.2898555963203268E-2</v>
      </c>
      <c r="L17" s="3078">
        <f t="shared" si="3"/>
        <v>-0.35361732121234024</v>
      </c>
      <c r="M17" s="3128" t="str">
        <f t="shared" si="4"/>
        <v>NA</v>
      </c>
      <c r="N17" s="3078">
        <f t="shared" si="10"/>
        <v>78.662000000000006</v>
      </c>
      <c r="O17" s="3078" t="str">
        <f t="shared" si="10"/>
        <v>IE</v>
      </c>
      <c r="P17" s="3078">
        <f t="shared" si="10"/>
        <v>78.662000000000006</v>
      </c>
      <c r="Q17" s="3078">
        <f t="shared" si="10"/>
        <v>2.2000000000000002</v>
      </c>
      <c r="R17" s="3573">
        <f t="shared" si="10"/>
        <v>1.2670000000000001</v>
      </c>
      <c r="S17" s="3573">
        <f t="shared" si="10"/>
        <v>-19.565999999999999</v>
      </c>
      <c r="T17" s="3573" t="str">
        <f t="shared" si="10"/>
        <v>NO</v>
      </c>
      <c r="U17" s="3570">
        <f t="shared" si="10"/>
        <v>-229.39766666666665</v>
      </c>
      <c r="W17" s="2019"/>
    </row>
    <row r="18" spans="2:23" ht="18" customHeight="1" x14ac:dyDescent="0.2">
      <c r="B18" s="488"/>
      <c r="C18" s="508" t="s">
        <v>278</v>
      </c>
      <c r="D18" s="3568">
        <f>IF(SUM(E18:F18)=0,E18,SUM(E18:F18))</f>
        <v>55.331000000000003</v>
      </c>
      <c r="E18" s="3569">
        <v>55.331000000000003</v>
      </c>
      <c r="F18" s="3554" t="s">
        <v>2146</v>
      </c>
      <c r="G18" s="3558">
        <f t="shared" si="6"/>
        <v>1.4216623592561133</v>
      </c>
      <c r="H18" s="3078" t="str">
        <f t="shared" si="6"/>
        <v>NA</v>
      </c>
      <c r="I18" s="3078">
        <f t="shared" si="6"/>
        <v>1.4216623592561133</v>
      </c>
      <c r="J18" s="3078">
        <f t="shared" si="6"/>
        <v>3.9760712801142219E-2</v>
      </c>
      <c r="K18" s="3078">
        <f t="shared" si="6"/>
        <v>2.2898555963203268E-2</v>
      </c>
      <c r="L18" s="3078">
        <f t="shared" si="3"/>
        <v>-0.35361732121234024</v>
      </c>
      <c r="M18" s="3128" t="str">
        <f t="shared" si="4"/>
        <v>NA</v>
      </c>
      <c r="N18" s="2905">
        <v>78.662000000000006</v>
      </c>
      <c r="O18" s="2905" t="s">
        <v>2153</v>
      </c>
      <c r="P18" s="3109">
        <f>IF(SUM(N18:O18)=0,N18,SUM(N18:O18))</f>
        <v>78.662000000000006</v>
      </c>
      <c r="Q18" s="2905">
        <v>2.2000000000000002</v>
      </c>
      <c r="R18" s="2906">
        <v>1.2670000000000001</v>
      </c>
      <c r="S18" s="2906">
        <v>-19.565999999999999</v>
      </c>
      <c r="T18" s="2906" t="s">
        <v>2146</v>
      </c>
      <c r="U18" s="3570">
        <f t="shared" ref="U18" si="11">IF(SUM(P18:T18)=0,P18,SUM(P18:T18)*-44/12)</f>
        <v>-229.39766666666665</v>
      </c>
      <c r="W18" s="2398"/>
    </row>
    <row r="19" spans="2:23" ht="18" customHeight="1" x14ac:dyDescent="0.2">
      <c r="B19" s="487" t="s">
        <v>1043</v>
      </c>
      <c r="C19" s="504"/>
      <c r="D19" s="3563">
        <f>IF(SUM(D20:D22)=0,"IE",SUM(D20:D22))</f>
        <v>9023.6356787698278</v>
      </c>
      <c r="E19" s="3571">
        <f t="shared" ref="E19:U19" si="12">IF(SUM(E20:E22)=0,"IE",SUM(E20:E22))</f>
        <v>9023.6356787698278</v>
      </c>
      <c r="F19" s="3572" t="str">
        <f t="shared" si="12"/>
        <v>IE</v>
      </c>
      <c r="G19" s="3558">
        <f t="shared" si="6"/>
        <v>0.64390943098437237</v>
      </c>
      <c r="H19" s="3078" t="str">
        <f t="shared" si="6"/>
        <v>NA</v>
      </c>
      <c r="I19" s="3078">
        <f t="shared" si="6"/>
        <v>0.64390943098437237</v>
      </c>
      <c r="J19" s="3078">
        <f t="shared" si="6"/>
        <v>0.11740027111733176</v>
      </c>
      <c r="K19" s="3078">
        <f t="shared" si="6"/>
        <v>5.9698066163343784E-2</v>
      </c>
      <c r="L19" s="3078">
        <f t="shared" si="3"/>
        <v>-0.15820440864658183</v>
      </c>
      <c r="M19" s="3128" t="str">
        <f t="shared" si="4"/>
        <v>NA</v>
      </c>
      <c r="N19" s="3078">
        <f t="shared" si="12"/>
        <v>5810.4041153269609</v>
      </c>
      <c r="O19" s="3078" t="str">
        <f t="shared" si="12"/>
        <v>IE</v>
      </c>
      <c r="P19" s="3078">
        <f t="shared" si="12"/>
        <v>5810.4041153269609</v>
      </c>
      <c r="Q19" s="3078">
        <f t="shared" si="12"/>
        <v>1059.3772751516058</v>
      </c>
      <c r="R19" s="3573">
        <f t="shared" si="12"/>
        <v>538.69359978511079</v>
      </c>
      <c r="S19" s="3573">
        <f t="shared" si="12"/>
        <v>-1427.5789464019776</v>
      </c>
      <c r="T19" s="3573" t="str">
        <f t="shared" si="12"/>
        <v>IE</v>
      </c>
      <c r="U19" s="3570">
        <f t="shared" si="12"/>
        <v>-21929.952160826226</v>
      </c>
      <c r="W19" s="2019"/>
    </row>
    <row r="20" spans="2:23" ht="18" customHeight="1" x14ac:dyDescent="0.2">
      <c r="B20" s="496"/>
      <c r="C20" s="508" t="s">
        <v>2223</v>
      </c>
      <c r="D20" s="3568">
        <f>IF(SUM(E20:F20)=0,E20,SUM(E20:F20))</f>
        <v>1964.5779999999995</v>
      </c>
      <c r="E20" s="3569">
        <v>1964.5779999999995</v>
      </c>
      <c r="F20" s="3554" t="s">
        <v>2146</v>
      </c>
      <c r="G20" s="3558">
        <f t="shared" si="6"/>
        <v>1.4392296971665151</v>
      </c>
      <c r="H20" s="3078" t="str">
        <f t="shared" si="6"/>
        <v>NA</v>
      </c>
      <c r="I20" s="3078">
        <f t="shared" si="6"/>
        <v>1.4392296971665151</v>
      </c>
      <c r="J20" s="3078">
        <f t="shared" si="6"/>
        <v>5.1311782988509379E-2</v>
      </c>
      <c r="K20" s="3078">
        <f t="shared" si="6"/>
        <v>3.1663288502670771E-2</v>
      </c>
      <c r="L20" s="3078">
        <f t="shared" si="3"/>
        <v>-0.41111169930641617</v>
      </c>
      <c r="M20" s="3128" t="str">
        <f t="shared" si="4"/>
        <v>NA</v>
      </c>
      <c r="N20" s="2905">
        <v>2827.4789999999971</v>
      </c>
      <c r="O20" s="2905" t="s">
        <v>2153</v>
      </c>
      <c r="P20" s="3109">
        <f>IF(SUM(N20:O20)=0,N20,SUM(N20:O20))</f>
        <v>2827.4789999999971</v>
      </c>
      <c r="Q20" s="2905">
        <v>100.80599999999976</v>
      </c>
      <c r="R20" s="2906">
        <v>62.204999999999927</v>
      </c>
      <c r="S20" s="2906">
        <v>-807.66100000000029</v>
      </c>
      <c r="T20" s="2906" t="s">
        <v>2146</v>
      </c>
      <c r="U20" s="3570">
        <f t="shared" ref="U20:U22" si="13">IF(SUM(P20:T20)=0,P20,SUM(P20:T20)*-44/12)</f>
        <v>-8003.7063333333181</v>
      </c>
      <c r="W20" s="2398"/>
    </row>
    <row r="21" spans="2:23" ht="18" customHeight="1" x14ac:dyDescent="0.2">
      <c r="B21" s="500"/>
      <c r="C21" s="508" t="s">
        <v>2291</v>
      </c>
      <c r="D21" s="3568">
        <f>IF(SUM(E21:F21)=0,E21,SUM(E21:F21))</f>
        <v>7059.0576787698283</v>
      </c>
      <c r="E21" s="3569">
        <v>7059.0576787698283</v>
      </c>
      <c r="F21" s="3554" t="s">
        <v>2146</v>
      </c>
      <c r="G21" s="3558">
        <f t="shared" si="6"/>
        <v>0.42240132185310469</v>
      </c>
      <c r="H21" s="3078" t="str">
        <f t="shared" si="6"/>
        <v>NA</v>
      </c>
      <c r="I21" s="3078">
        <f t="shared" si="6"/>
        <v>0.42240132185310469</v>
      </c>
      <c r="J21" s="3078">
        <f t="shared" si="6"/>
        <v>0.13579142940353139</v>
      </c>
      <c r="K21" s="3078">
        <f t="shared" si="6"/>
        <v>6.7500312572619153E-2</v>
      </c>
      <c r="L21" s="3078">
        <f t="shared" si="3"/>
        <v>-8.7818796022362228E-2</v>
      </c>
      <c r="M21" s="3128" t="str">
        <f t="shared" si="4"/>
        <v>NA</v>
      </c>
      <c r="N21" s="2905">
        <v>2981.7552945496845</v>
      </c>
      <c r="O21" s="2905" t="s">
        <v>2153</v>
      </c>
      <c r="P21" s="3109">
        <f t="shared" ref="P21:P28" si="14">IF(SUM(N21:O21)=0,N21,SUM(N21:O21))</f>
        <v>2981.7552945496845</v>
      </c>
      <c r="Q21" s="2905">
        <v>958.55953244212935</v>
      </c>
      <c r="R21" s="2906">
        <v>476.48859978511081</v>
      </c>
      <c r="S21" s="2906">
        <v>-619.91794640197736</v>
      </c>
      <c r="T21" s="2906" t="s">
        <v>2146</v>
      </c>
      <c r="U21" s="3570">
        <f t="shared" si="13"/>
        <v>-13921.913428041473</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1.1698207772788061</v>
      </c>
      <c r="O22" s="2905" t="s">
        <v>2153</v>
      </c>
      <c r="P22" s="3109">
        <f t="shared" si="14"/>
        <v>1.1698207772788061</v>
      </c>
      <c r="Q22" s="2905">
        <v>1.1742709476691954E-2</v>
      </c>
      <c r="R22" s="2906" t="s">
        <v>2147</v>
      </c>
      <c r="S22" s="2906" t="s">
        <v>2147</v>
      </c>
      <c r="T22" s="2906" t="s">
        <v>2147</v>
      </c>
      <c r="U22" s="3570">
        <f t="shared" si="13"/>
        <v>-4.3323994514368263</v>
      </c>
      <c r="W22" s="2398"/>
    </row>
    <row r="23" spans="2:23" ht="18" customHeight="1" x14ac:dyDescent="0.2">
      <c r="B23" s="487" t="s">
        <v>1044</v>
      </c>
      <c r="C23" s="504"/>
      <c r="D23" s="3568">
        <f>D24</f>
        <v>145.11575069565467</v>
      </c>
      <c r="E23" s="3571" t="str">
        <f t="shared" ref="E23" si="15">E24</f>
        <v>NO</v>
      </c>
      <c r="F23" s="3572">
        <f t="shared" ref="F23" si="16">F24</f>
        <v>145.11575069565467</v>
      </c>
      <c r="G23" s="3558">
        <f t="shared" si="6"/>
        <v>7.9550911498785268</v>
      </c>
      <c r="H23" s="3078" t="str">
        <f t="shared" si="6"/>
        <v>NA</v>
      </c>
      <c r="I23" s="3078">
        <f t="shared" si="6"/>
        <v>7.9550911498785268</v>
      </c>
      <c r="J23" s="3078">
        <f t="shared" si="6"/>
        <v>-0.6772296041035939</v>
      </c>
      <c r="K23" s="3078">
        <f t="shared" si="6"/>
        <v>0.84202690150014337</v>
      </c>
      <c r="L23" s="3078" t="str">
        <f t="shared" si="3"/>
        <v>NA</v>
      </c>
      <c r="M23" s="3128">
        <f t="shared" si="4"/>
        <v>-0.18296725571189201</v>
      </c>
      <c r="N23" s="3078">
        <f t="shared" ref="N23" si="17">N24</f>
        <v>1154.4090240669811</v>
      </c>
      <c r="O23" s="3078" t="str">
        <f t="shared" ref="O23" si="18">O24</f>
        <v>IE</v>
      </c>
      <c r="P23" s="3078">
        <f t="shared" ref="P23" si="19">P24</f>
        <v>1154.4090240669811</v>
      </c>
      <c r="Q23" s="3078">
        <f t="shared" ref="Q23" si="20">Q24</f>
        <v>-98.276682392814038</v>
      </c>
      <c r="R23" s="3573">
        <f t="shared" ref="R23" si="21">R24</f>
        <v>122.19136591712937</v>
      </c>
      <c r="S23" s="3573" t="str">
        <f t="shared" ref="S23" si="22">S24</f>
        <v>NO</v>
      </c>
      <c r="T23" s="3573">
        <f t="shared" ref="T23" si="23">T24</f>
        <v>-26.551430665355017</v>
      </c>
      <c r="U23" s="3570">
        <f t="shared" ref="U23" si="24">U24</f>
        <v>-4223.1650153951186</v>
      </c>
      <c r="W23" s="2019"/>
    </row>
    <row r="24" spans="2:23" ht="18" customHeight="1" x14ac:dyDescent="0.2">
      <c r="B24" s="488"/>
      <c r="C24" s="508" t="s">
        <v>278</v>
      </c>
      <c r="D24" s="3568">
        <f>IF(SUM(E24:F24)=0,E24,SUM(E24:F24))</f>
        <v>145.11575069565467</v>
      </c>
      <c r="E24" s="3569" t="s">
        <v>2146</v>
      </c>
      <c r="F24" s="3554">
        <v>145.11575069565467</v>
      </c>
      <c r="G24" s="3558">
        <f t="shared" si="6"/>
        <v>7.9550911498785268</v>
      </c>
      <c r="H24" s="3078" t="str">
        <f t="shared" si="6"/>
        <v>NA</v>
      </c>
      <c r="I24" s="3078">
        <f t="shared" si="6"/>
        <v>7.9550911498785268</v>
      </c>
      <c r="J24" s="3078">
        <f t="shared" si="6"/>
        <v>-0.6772296041035939</v>
      </c>
      <c r="K24" s="3078">
        <f t="shared" si="6"/>
        <v>0.84202690150014337</v>
      </c>
      <c r="L24" s="3078" t="str">
        <f t="shared" si="3"/>
        <v>NA</v>
      </c>
      <c r="M24" s="3128">
        <f t="shared" si="4"/>
        <v>-0.18296725571189201</v>
      </c>
      <c r="N24" s="2905">
        <v>1154.4090240669811</v>
      </c>
      <c r="O24" s="2905" t="s">
        <v>2153</v>
      </c>
      <c r="P24" s="3109">
        <f t="shared" si="14"/>
        <v>1154.4090240669811</v>
      </c>
      <c r="Q24" s="2905">
        <v>-98.276682392814038</v>
      </c>
      <c r="R24" s="2906">
        <v>122.19136591712937</v>
      </c>
      <c r="S24" s="2906" t="s">
        <v>2146</v>
      </c>
      <c r="T24" s="2906">
        <v>-26.551430665355017</v>
      </c>
      <c r="U24" s="3570">
        <f t="shared" ref="U24" si="25">IF(SUM(P24:T24)=0,P24,SUM(P24:T24)*-44/12)</f>
        <v>-4223.1650153951186</v>
      </c>
      <c r="W24" s="2398"/>
    </row>
    <row r="25" spans="2:23" ht="18" customHeight="1" x14ac:dyDescent="0.2">
      <c r="B25" s="487" t="s">
        <v>1045</v>
      </c>
      <c r="C25" s="504"/>
      <c r="D25" s="3568">
        <f>D26</f>
        <v>46.857999999999997</v>
      </c>
      <c r="E25" s="3571">
        <f t="shared" ref="E25" si="26">E26</f>
        <v>46.857999999999997</v>
      </c>
      <c r="F25" s="3572" t="str">
        <f t="shared" ref="F25" si="27">F26</f>
        <v>NO</v>
      </c>
      <c r="G25" s="3558">
        <f t="shared" si="6"/>
        <v>1.8107687054505099</v>
      </c>
      <c r="H25" s="3078" t="str">
        <f t="shared" si="6"/>
        <v>NA</v>
      </c>
      <c r="I25" s="3078">
        <f t="shared" si="6"/>
        <v>1.8107687054505099</v>
      </c>
      <c r="J25" s="3078">
        <f t="shared" si="6"/>
        <v>5.5678859533057318E-2</v>
      </c>
      <c r="K25" s="3078">
        <f t="shared" si="6"/>
        <v>4.3044944299799402E-2</v>
      </c>
      <c r="L25" s="3078">
        <f t="shared" si="3"/>
        <v>-0.73082504588330699</v>
      </c>
      <c r="M25" s="3128" t="str">
        <f t="shared" si="4"/>
        <v>NA</v>
      </c>
      <c r="N25" s="3078">
        <f t="shared" ref="N25" si="28">N26</f>
        <v>84.84899999999999</v>
      </c>
      <c r="O25" s="3078" t="str">
        <f t="shared" ref="O25" si="29">O26</f>
        <v>IE</v>
      </c>
      <c r="P25" s="3078">
        <f t="shared" ref="P25" si="30">P26</f>
        <v>84.84899999999999</v>
      </c>
      <c r="Q25" s="3078">
        <f t="shared" ref="Q25" si="31">Q26</f>
        <v>2.6089999999999995</v>
      </c>
      <c r="R25" s="3573">
        <f t="shared" ref="R25" si="32">R26</f>
        <v>2.0170000000000003</v>
      </c>
      <c r="S25" s="3573">
        <f t="shared" ref="S25" si="33">S26</f>
        <v>-34.244999999999997</v>
      </c>
      <c r="T25" s="3573" t="str">
        <f t="shared" ref="T25" si="34">T26</f>
        <v>NO</v>
      </c>
      <c r="U25" s="3570">
        <f t="shared" ref="U25" si="35">U26</f>
        <v>-202.50999999999996</v>
      </c>
      <c r="W25" s="2019"/>
    </row>
    <row r="26" spans="2:23" ht="18" customHeight="1" x14ac:dyDescent="0.2">
      <c r="B26" s="488"/>
      <c r="C26" s="508" t="s">
        <v>278</v>
      </c>
      <c r="D26" s="3568">
        <f>IF(SUM(E26:F26)=0,E26,SUM(E26:F26))</f>
        <v>46.857999999999997</v>
      </c>
      <c r="E26" s="3569">
        <v>46.857999999999997</v>
      </c>
      <c r="F26" s="3554" t="s">
        <v>2146</v>
      </c>
      <c r="G26" s="3558">
        <f t="shared" si="6"/>
        <v>1.8107687054505099</v>
      </c>
      <c r="H26" s="3078" t="str">
        <f t="shared" si="6"/>
        <v>NA</v>
      </c>
      <c r="I26" s="3078">
        <f t="shared" si="6"/>
        <v>1.8107687054505099</v>
      </c>
      <c r="J26" s="3078">
        <f t="shared" si="6"/>
        <v>5.5678859533057318E-2</v>
      </c>
      <c r="K26" s="3078">
        <f t="shared" si="6"/>
        <v>4.3044944299799402E-2</v>
      </c>
      <c r="L26" s="3078">
        <f t="shared" si="3"/>
        <v>-0.73082504588330699</v>
      </c>
      <c r="M26" s="3128" t="str">
        <f t="shared" si="4"/>
        <v>NA</v>
      </c>
      <c r="N26" s="2905">
        <v>84.84899999999999</v>
      </c>
      <c r="O26" s="2905" t="s">
        <v>2153</v>
      </c>
      <c r="P26" s="3109">
        <f t="shared" si="14"/>
        <v>84.84899999999999</v>
      </c>
      <c r="Q26" s="2905">
        <v>2.6089999999999995</v>
      </c>
      <c r="R26" s="2906">
        <v>2.0170000000000003</v>
      </c>
      <c r="S26" s="2906">
        <v>-34.244999999999997</v>
      </c>
      <c r="T26" s="2906" t="s">
        <v>2146</v>
      </c>
      <c r="U26" s="3570">
        <f t="shared" ref="U26" si="36">IF(SUM(P26:T26)=0,P26,SUM(P26:T26)*-44/12)</f>
        <v>-202.50999999999996</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39967.15534414081</v>
      </c>
      <c r="E10" s="3583">
        <f t="shared" ref="E10:F10" si="0">IF(SUM(E11,E13)=0,"IE",SUM(E11,E13))</f>
        <v>39964.15534414081</v>
      </c>
      <c r="F10" s="3584">
        <f t="shared" si="0"/>
        <v>3</v>
      </c>
      <c r="G10" s="3558">
        <f>IFERROR(IF(SUM($D10)=0,"NA",M10/$D10),"NA")</f>
        <v>7.302579879727353E-4</v>
      </c>
      <c r="H10" s="3583">
        <f t="shared" ref="H10:J10" si="1">IFERROR(IF(SUM($D10)=0,"NA",N10/$D10),"NA")</f>
        <v>-9.7021666080832764E-3</v>
      </c>
      <c r="I10" s="3583">
        <f t="shared" si="1"/>
        <v>-8.9719086201105417E-3</v>
      </c>
      <c r="J10" s="3583">
        <f t="shared" si="1"/>
        <v>-4.9039266946160837E-3</v>
      </c>
      <c r="K10" s="3585">
        <f>IFERROR(IF(SUM(E10)=0,"NA",Q10/E10),"NA")</f>
        <v>-5.5424974902297273E-2</v>
      </c>
      <c r="L10" s="3584">
        <f>IFERROR(IF(SUM(F10)=0,"NA",R10/F10),"NA")</f>
        <v>-12.475</v>
      </c>
      <c r="M10" s="3586">
        <f>IF(SUM(M11,M13)=0,"IE",SUM(M11,M13))</f>
        <v>29.186334446606025</v>
      </c>
      <c r="N10" s="3583">
        <f t="shared" ref="N10:S10" si="2">IF(SUM(N11,N13)=0,"IE",SUM(N11,N13))</f>
        <v>-387.76800000000003</v>
      </c>
      <c r="O10" s="3587">
        <f t="shared" si="2"/>
        <v>-358.58166555339403</v>
      </c>
      <c r="P10" s="3583">
        <f t="shared" si="2"/>
        <v>-195.99599999999998</v>
      </c>
      <c r="Q10" s="3585">
        <f t="shared" si="2"/>
        <v>-2215.012306940514</v>
      </c>
      <c r="R10" s="3585">
        <f t="shared" si="2"/>
        <v>-37.424999999999997</v>
      </c>
      <c r="S10" s="3588">
        <f t="shared" si="2"/>
        <v>10292.388232477662</v>
      </c>
      <c r="U10" s="2261"/>
    </row>
    <row r="11" spans="2:21" ht="18" customHeight="1" x14ac:dyDescent="0.2">
      <c r="B11" s="499" t="s">
        <v>985</v>
      </c>
      <c r="C11" s="2256"/>
      <c r="D11" s="3589">
        <f>D12</f>
        <v>37672.246403113</v>
      </c>
      <c r="E11" s="3078">
        <f t="shared" ref="E11" si="3">E12</f>
        <v>37672.246403113</v>
      </c>
      <c r="F11" s="3078" t="str">
        <f t="shared" ref="F11" si="4">F12</f>
        <v>IE</v>
      </c>
      <c r="G11" s="3558">
        <f t="shared" ref="G11:G23" si="5">IFERROR(IF(SUM($D11)=0,"NA",M11/$D11),"NA")</f>
        <v>7.7474367029501724E-4</v>
      </c>
      <c r="H11" s="3078" t="str">
        <f t="shared" ref="H11:H23" si="6">IFERROR(IF(SUM($D11)=0,"NA",N11/$D11),"NA")</f>
        <v>NA</v>
      </c>
      <c r="I11" s="3078">
        <f t="shared" ref="I11:I23" si="7">IFERROR(IF(SUM($D11)=0,"NA",O11/$D11),"NA")</f>
        <v>7.7474367029501724E-4</v>
      </c>
      <c r="J11" s="3078" t="str">
        <f t="shared" ref="J11:J23" si="8">IFERROR(IF(SUM($D11)=0,"NA",P11/$D11),"NA")</f>
        <v>NA</v>
      </c>
      <c r="K11" s="3573">
        <f t="shared" ref="K11:K23" si="9">IFERROR(IF(SUM(E11)=0,"NA",Q11/E11),"NA")</f>
        <v>-4.6254250774183221E-2</v>
      </c>
      <c r="L11" s="3128" t="str">
        <f t="shared" ref="L11:L23" si="10">IFERROR(IF(SUM(F11)=0,"NA",R11/F11),"NA")</f>
        <v>NA</v>
      </c>
      <c r="M11" s="3590">
        <f t="shared" ref="M11" si="11">M12</f>
        <v>29.186334446606025</v>
      </c>
      <c r="N11" s="3591" t="str">
        <f t="shared" ref="N11" si="12">N12</f>
        <v>IE</v>
      </c>
      <c r="O11" s="3592">
        <f t="shared" ref="O11" si="13">O12</f>
        <v>29.186334446606025</v>
      </c>
      <c r="P11" s="3591" t="str">
        <f t="shared" ref="P11" si="14">P12</f>
        <v>NA</v>
      </c>
      <c r="Q11" s="3593">
        <f t="shared" ref="Q11" si="15">Q12</f>
        <v>-1742.5015323564105</v>
      </c>
      <c r="R11" s="3593" t="str">
        <f t="shared" ref="R11" si="16">R12</f>
        <v>IE</v>
      </c>
      <c r="S11" s="3594">
        <f t="shared" ref="S11" si="17">S12</f>
        <v>6282.1557256692831</v>
      </c>
      <c r="U11" s="2258"/>
    </row>
    <row r="12" spans="2:21" ht="18" customHeight="1" x14ac:dyDescent="0.2">
      <c r="B12" s="501"/>
      <c r="C12" s="508" t="s">
        <v>278</v>
      </c>
      <c r="D12" s="3568">
        <f>IF(SUM(E12:F12)=0,E12,SUM(E12:F12))</f>
        <v>37672.246403113</v>
      </c>
      <c r="E12" s="3569">
        <v>37672.246403113</v>
      </c>
      <c r="F12" s="3554" t="s">
        <v>2153</v>
      </c>
      <c r="G12" s="3558">
        <f t="shared" si="5"/>
        <v>7.7474367029501724E-4</v>
      </c>
      <c r="H12" s="3078" t="str">
        <f t="shared" si="6"/>
        <v>NA</v>
      </c>
      <c r="I12" s="3078">
        <f t="shared" si="7"/>
        <v>7.7474367029501724E-4</v>
      </c>
      <c r="J12" s="3078" t="str">
        <f t="shared" si="8"/>
        <v>NA</v>
      </c>
      <c r="K12" s="3573">
        <f t="shared" si="9"/>
        <v>-4.6254250774183221E-2</v>
      </c>
      <c r="L12" s="3128" t="str">
        <f t="shared" si="10"/>
        <v>NA</v>
      </c>
      <c r="M12" s="2905">
        <v>29.186334446606025</v>
      </c>
      <c r="N12" s="2905" t="s">
        <v>2153</v>
      </c>
      <c r="O12" s="3109">
        <f>IF(SUM(M12:N12)=0,M12,SUM(M12:N12))</f>
        <v>29.186334446606025</v>
      </c>
      <c r="P12" s="2905" t="s">
        <v>2147</v>
      </c>
      <c r="Q12" s="2906">
        <v>-1742.5015323564105</v>
      </c>
      <c r="R12" s="2906" t="s">
        <v>2153</v>
      </c>
      <c r="S12" s="3594">
        <f>IF(SUM(O12:R12)=0,Q12,SUM(O12:R12)*-44/12)</f>
        <v>6282.1557256692831</v>
      </c>
      <c r="U12" s="2398"/>
    </row>
    <row r="13" spans="2:21" ht="18" customHeight="1" x14ac:dyDescent="0.2">
      <c r="B13" s="485" t="s">
        <v>1054</v>
      </c>
      <c r="C13" s="504"/>
      <c r="D13" s="3589">
        <f>IF(SUM(D14,D16,D18,D20,D22)=0,"IE",SUM(D14,D16,D18,D20,D22))</f>
        <v>2294.908941027812</v>
      </c>
      <c r="E13" s="3591">
        <f t="shared" ref="E13:F13" si="18">IF(SUM(E14,E16,E18,E20,E22)=0,"IE",SUM(E14,E16,E18,E20,E22))</f>
        <v>2291.908941027812</v>
      </c>
      <c r="F13" s="3595">
        <f t="shared" si="18"/>
        <v>3</v>
      </c>
      <c r="G13" s="3558" t="str">
        <f t="shared" si="5"/>
        <v>NA</v>
      </c>
      <c r="H13" s="3078">
        <f t="shared" si="6"/>
        <v>-0.16896879569711026</v>
      </c>
      <c r="I13" s="3078">
        <f t="shared" si="7"/>
        <v>-0.16896879569711026</v>
      </c>
      <c r="J13" s="3078">
        <f t="shared" si="8"/>
        <v>-8.5404695801228614E-2</v>
      </c>
      <c r="K13" s="3573">
        <f t="shared" si="9"/>
        <v>-0.20616472414135473</v>
      </c>
      <c r="L13" s="3128">
        <f t="shared" si="10"/>
        <v>-12.475</v>
      </c>
      <c r="M13" s="3590" t="str">
        <f>IF(SUM(M14,M16,M18,M20,M22)=0,"IE",SUM(M14,M16,M18,M20,M22))</f>
        <v>IE</v>
      </c>
      <c r="N13" s="3591">
        <f t="shared" ref="N13" si="19">IF(SUM(N14,N16,N18,N20,N22)=0,"IE",SUM(N14,N16,N18,N20,N22))</f>
        <v>-387.76800000000003</v>
      </c>
      <c r="O13" s="3592">
        <f t="shared" ref="O13" si="20">IF(SUM(O14,O16,O18,O20,O22)=0,"IE",SUM(O14,O16,O18,O20,O22))</f>
        <v>-387.76800000000003</v>
      </c>
      <c r="P13" s="3592">
        <f t="shared" ref="P13" si="21">IF(SUM(P14,P16,P18,P20,P22)=0,"IE",SUM(P14,P16,P18,P20,P22))</f>
        <v>-195.99599999999998</v>
      </c>
      <c r="Q13" s="3592">
        <f t="shared" ref="Q13" si="22">IF(SUM(Q14,Q16,Q18,Q20,Q22)=0,"IE",SUM(Q14,Q16,Q18,Q20,Q22))</f>
        <v>-472.51077458410333</v>
      </c>
      <c r="R13" s="3592">
        <f t="shared" ref="R13" si="23">IF(SUM(R14,R16,R18,R20,R22)=0,"IE",SUM(R14,R16,R18,R20,R22))</f>
        <v>-37.424999999999997</v>
      </c>
      <c r="S13" s="3594">
        <f t="shared" ref="S13" si="24">IF(SUM(S14,S16,S18,S20,S22)=0,"IE",SUM(S14,S16,S18,S20,S22))</f>
        <v>4010.2325068083792</v>
      </c>
      <c r="U13" s="503"/>
    </row>
    <row r="14" spans="2:21" ht="18" customHeight="1" x14ac:dyDescent="0.2">
      <c r="B14" s="487" t="s">
        <v>1055</v>
      </c>
      <c r="C14" s="504"/>
      <c r="D14" s="3589">
        <f>D15</f>
        <v>2282.248</v>
      </c>
      <c r="E14" s="3078">
        <f t="shared" ref="E14" si="25">E15</f>
        <v>2282.248</v>
      </c>
      <c r="F14" s="3078" t="str">
        <f t="shared" ref="F14" si="26">F15</f>
        <v>IE</v>
      </c>
      <c r="G14" s="3558" t="str">
        <f t="shared" si="5"/>
        <v>NA</v>
      </c>
      <c r="H14" s="3078">
        <f t="shared" si="6"/>
        <v>-0.16990616269572809</v>
      </c>
      <c r="I14" s="3078">
        <f t="shared" si="7"/>
        <v>-0.16990616269572809</v>
      </c>
      <c r="J14" s="3078">
        <f t="shared" si="8"/>
        <v>-8.5878484722081025E-2</v>
      </c>
      <c r="K14" s="3573">
        <f t="shared" si="9"/>
        <v>-0.19467078073899066</v>
      </c>
      <c r="L14" s="3128" t="str">
        <f t="shared" si="10"/>
        <v>NA</v>
      </c>
      <c r="M14" s="3590" t="str">
        <f t="shared" ref="M14" si="27">M15</f>
        <v>IE</v>
      </c>
      <c r="N14" s="3591">
        <f t="shared" ref="N14" si="28">N15</f>
        <v>-387.76800000000003</v>
      </c>
      <c r="O14" s="3592">
        <f t="shared" ref="O14" si="29">O15</f>
        <v>-387.76800000000003</v>
      </c>
      <c r="P14" s="3591">
        <f t="shared" ref="P14" si="30">P15</f>
        <v>-195.99599999999998</v>
      </c>
      <c r="Q14" s="3593">
        <f t="shared" ref="Q14" si="31">Q15</f>
        <v>-444.28699999999998</v>
      </c>
      <c r="R14" s="3593" t="str">
        <f t="shared" ref="R14" si="32">R15</f>
        <v>IE</v>
      </c>
      <c r="S14" s="3594">
        <f t="shared" ref="S14" si="33">S15</f>
        <v>3769.5203333333334</v>
      </c>
      <c r="U14" s="503"/>
    </row>
    <row r="15" spans="2:21" ht="18" customHeight="1" x14ac:dyDescent="0.2">
      <c r="B15" s="501"/>
      <c r="C15" s="508" t="s">
        <v>278</v>
      </c>
      <c r="D15" s="3568">
        <f>IF(SUM(E15:F15)=0,E15,SUM(E15:F15))</f>
        <v>2282.248</v>
      </c>
      <c r="E15" s="3569">
        <v>2282.248</v>
      </c>
      <c r="F15" s="3554" t="s">
        <v>2153</v>
      </c>
      <c r="G15" s="3558" t="str">
        <f t="shared" si="5"/>
        <v>NA</v>
      </c>
      <c r="H15" s="3078">
        <f t="shared" si="6"/>
        <v>-0.16990616269572809</v>
      </c>
      <c r="I15" s="3078">
        <f t="shared" si="7"/>
        <v>-0.16990616269572809</v>
      </c>
      <c r="J15" s="3078">
        <f t="shared" si="8"/>
        <v>-8.5878484722081025E-2</v>
      </c>
      <c r="K15" s="3573">
        <f t="shared" si="9"/>
        <v>-0.19467078073899066</v>
      </c>
      <c r="L15" s="3128" t="str">
        <f t="shared" si="10"/>
        <v>NA</v>
      </c>
      <c r="M15" s="2905" t="s">
        <v>2153</v>
      </c>
      <c r="N15" s="2905">
        <v>-387.76800000000003</v>
      </c>
      <c r="O15" s="3109">
        <f>IF(SUM(M15:N15)=0,M15,SUM(M15:N15))</f>
        <v>-387.76800000000003</v>
      </c>
      <c r="P15" s="2905">
        <v>-195.99599999999998</v>
      </c>
      <c r="Q15" s="2906">
        <v>-444.28699999999998</v>
      </c>
      <c r="R15" s="2906" t="s">
        <v>2153</v>
      </c>
      <c r="S15" s="3594">
        <f>IF(SUM(O15:R15)=0,Q15,SUM(O15:R15)*-44/12)</f>
        <v>3769.5203333333334</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522420.53660557698</v>
      </c>
      <c r="E10" s="3583">
        <f t="shared" ref="E10:F10" si="0">IF(SUM(E11,E15)=0,"IE",SUM(E11,E15))</f>
        <v>522419.53660557698</v>
      </c>
      <c r="F10" s="3584">
        <f t="shared" si="0"/>
        <v>1</v>
      </c>
      <c r="G10" s="3558">
        <f>IFERROR(IF(SUM($D10)=0,"NA",M10/$D10),"NA")</f>
        <v>1.2394822353447349E-3</v>
      </c>
      <c r="H10" s="3583">
        <f t="shared" ref="H10:J10" si="1">IFERROR(IF(SUM($D10)=0,"NA",N10/$D10),"NA")</f>
        <v>-2.2463488348754564E-2</v>
      </c>
      <c r="I10" s="3583">
        <f t="shared" si="1"/>
        <v>-2.122400611340983E-2</v>
      </c>
      <c r="J10" s="3583">
        <f t="shared" si="1"/>
        <v>-6.8661620804550691E-3</v>
      </c>
      <c r="K10" s="3585">
        <f>IFERROR(IF(SUM(E10)=0,"NA",Q10/E10),"NA")</f>
        <v>-1.0185105776833785E-2</v>
      </c>
      <c r="L10" s="3584">
        <f>IFERROR(IF(SUM(F10)=0,"NA",R10/F10),"NA")</f>
        <v>-8.7249999999999996</v>
      </c>
      <c r="M10" s="3586">
        <f>IF(SUM(M11,M15)=0,"IE",SUM(M11,M15))</f>
        <v>647.53097450187647</v>
      </c>
      <c r="N10" s="3583">
        <f t="shared" ref="N10:S10" si="2">IF(SUM(N11,N15)=0,"IE",SUM(N11,N15))</f>
        <v>-11735.387637189486</v>
      </c>
      <c r="O10" s="3587">
        <f t="shared" si="2"/>
        <v>-11087.856662687609</v>
      </c>
      <c r="P10" s="3583">
        <f t="shared" si="2"/>
        <v>-3587.0240784922021</v>
      </c>
      <c r="Q10" s="3585">
        <f t="shared" si="2"/>
        <v>-5320.8982402122911</v>
      </c>
      <c r="R10" s="3585">
        <f t="shared" si="2"/>
        <v>-8.7249999999999996</v>
      </c>
      <c r="S10" s="3588">
        <f t="shared" si="2"/>
        <v>73349.847931771059</v>
      </c>
      <c r="U10" s="2261"/>
    </row>
    <row r="11" spans="2:21" ht="18" customHeight="1" x14ac:dyDescent="0.2">
      <c r="B11" s="493" t="s">
        <v>988</v>
      </c>
      <c r="C11" s="483"/>
      <c r="D11" s="3599">
        <f>IF(SUM(D12:D14)=0,"IE",SUM(D12:D14))</f>
        <v>508667.74696593097</v>
      </c>
      <c r="E11" s="3564">
        <f t="shared" ref="E11:F11" si="3">IF(SUM(E12:E14)=0,"IE",SUM(E12:E14))</f>
        <v>508667.74696593097</v>
      </c>
      <c r="F11" s="3565" t="str">
        <f t="shared" si="3"/>
        <v>IE</v>
      </c>
      <c r="G11" s="3599">
        <f t="shared" ref="G11:G26" si="4">IFERROR(IF(SUM($D11)=0,"NA",M11/$D11),"NA")</f>
        <v>1.2729939697655847E-3</v>
      </c>
      <c r="H11" s="3109">
        <f t="shared" ref="H11:H26" si="5">IFERROR(IF(SUM($D11)=0,"NA",N11/$D11),"NA")</f>
        <v>-4.7241966576719167E-4</v>
      </c>
      <c r="I11" s="3109">
        <f t="shared" ref="I11:I26" si="6">IFERROR(IF(SUM($D11)=0,"NA",O11/$D11),"NA")</f>
        <v>8.0057430399839316E-4</v>
      </c>
      <c r="J11" s="3109">
        <f t="shared" ref="J11:J26" si="7">IFERROR(IF(SUM($D11)=0,"NA",P11/$D11),"NA")</f>
        <v>-3.9007847022135234E-4</v>
      </c>
      <c r="K11" s="3566">
        <f t="shared" ref="K11:K26" si="8">IFERROR(IF(SUM(E11)=0,"NA",Q11/E11),"NA")</f>
        <v>-4.3603879873068373E-3</v>
      </c>
      <c r="L11" s="3249" t="str">
        <f t="shared" ref="L11:L26" si="9">IFERROR(IF(SUM(F11)=0,"NA",R11/F11),"NA")</f>
        <v>NA</v>
      </c>
      <c r="M11" s="3109">
        <f>IF(SUM(M12:M14)=0,"IE",SUM(M12:M14))</f>
        <v>647.53097450187647</v>
      </c>
      <c r="N11" s="3109">
        <f t="shared" ref="N11:O11" si="10">IF(SUM(N12:N14)=0,"IE",SUM(N12:N14))</f>
        <v>-240.30464700819553</v>
      </c>
      <c r="O11" s="3109">
        <f t="shared" si="10"/>
        <v>407.22632749368097</v>
      </c>
      <c r="P11" s="3109">
        <f t="shared" ref="P11" si="11">IF(SUM(P12:P14)=0,"IE",SUM(P12:P14))</f>
        <v>-198.42033658741229</v>
      </c>
      <c r="Q11" s="3566">
        <f t="shared" ref="Q11" si="12">IF(SUM(Q12:Q14)=0,"IE",SUM(Q12:Q14))</f>
        <v>-2217.9887334006794</v>
      </c>
      <c r="R11" s="3566" t="str">
        <f t="shared" ref="R11" si="13">IF(SUM(R12:R14)=0,"IE",SUM(R12:R14))</f>
        <v>IE</v>
      </c>
      <c r="S11" s="3567">
        <f t="shared" ref="S11" si="14">IF(SUM(S12:S14)=0,"IE",SUM(S12:S14))</f>
        <v>7367.0033891461726</v>
      </c>
      <c r="U11" s="2397"/>
    </row>
    <row r="12" spans="2:21" ht="18" customHeight="1" x14ac:dyDescent="0.2">
      <c r="B12" s="499"/>
      <c r="C12" s="484" t="s">
        <v>2226</v>
      </c>
      <c r="D12" s="3600">
        <f>IF(SUM(E12:F12)=0,E12,SUM(E12:F12))</f>
        <v>70456.100045431129</v>
      </c>
      <c r="E12" s="3569">
        <v>70456.100045431129</v>
      </c>
      <c r="F12" s="3554" t="s">
        <v>2153</v>
      </c>
      <c r="G12" s="3558" t="str">
        <f t="shared" si="4"/>
        <v>NA</v>
      </c>
      <c r="H12" s="3078">
        <f t="shared" si="5"/>
        <v>-3.410700377302229E-3</v>
      </c>
      <c r="I12" s="3078">
        <f t="shared" si="6"/>
        <v>-3.410700377302229E-3</v>
      </c>
      <c r="J12" s="3078">
        <f t="shared" si="7"/>
        <v>-6.821400754604464E-4</v>
      </c>
      <c r="K12" s="3573">
        <f t="shared" si="8"/>
        <v>-2.7285603018417856E-3</v>
      </c>
      <c r="L12" s="3128" t="str">
        <f t="shared" si="9"/>
        <v>NA</v>
      </c>
      <c r="M12" s="2905" t="s">
        <v>2153</v>
      </c>
      <c r="N12" s="2905">
        <v>-240.30464700819553</v>
      </c>
      <c r="O12" s="3109">
        <f>IF(SUM(M12:N12)=0,M12,SUM(M12:N12))</f>
        <v>-240.30464700819553</v>
      </c>
      <c r="P12" s="2905">
        <v>-48.06092940163915</v>
      </c>
      <c r="Q12" s="2906">
        <v>-192.2437176065566</v>
      </c>
      <c r="R12" s="2906" t="s">
        <v>2153</v>
      </c>
      <c r="S12" s="3570">
        <f>IF(SUM(O12:R12)=0,Q12,SUM(O12:R12)*-44/12)</f>
        <v>1762.2340780601014</v>
      </c>
      <c r="U12" s="2398"/>
    </row>
    <row r="13" spans="2:21" ht="18" customHeight="1" x14ac:dyDescent="0.2">
      <c r="B13" s="499"/>
      <c r="C13" s="484" t="s">
        <v>2227</v>
      </c>
      <c r="D13" s="3600">
        <f>IF(SUM(E13:F13)=0,E13,SUM(E13:F13))</f>
        <v>438211.64692049986</v>
      </c>
      <c r="E13" s="3569">
        <v>438211.64692049986</v>
      </c>
      <c r="F13" s="3554" t="s">
        <v>2153</v>
      </c>
      <c r="G13" s="3558" t="str">
        <f t="shared" si="4"/>
        <v>NA</v>
      </c>
      <c r="H13" s="3078" t="str">
        <f t="shared" si="5"/>
        <v>NA</v>
      </c>
      <c r="I13" s="3078" t="str">
        <f t="shared" si="6"/>
        <v>NA</v>
      </c>
      <c r="J13" s="3078" t="str">
        <f t="shared" si="7"/>
        <v>NA</v>
      </c>
      <c r="K13" s="3573">
        <f t="shared" si="8"/>
        <v>-4.6227548492375706E-3</v>
      </c>
      <c r="L13" s="3128" t="str">
        <f t="shared" si="9"/>
        <v>NA</v>
      </c>
      <c r="M13" s="2905" t="s">
        <v>2147</v>
      </c>
      <c r="N13" s="2905" t="s">
        <v>2147</v>
      </c>
      <c r="O13" s="3109" t="str">
        <f>IF(SUM(M13:N13)=0,M13,SUM(M13:N13))</f>
        <v>NA</v>
      </c>
      <c r="P13" s="2905" t="s">
        <v>2147</v>
      </c>
      <c r="Q13" s="2906">
        <v>-2025.7450157941228</v>
      </c>
      <c r="R13" s="2906" t="s">
        <v>2153</v>
      </c>
      <c r="S13" s="3570">
        <f>IF(SUM(O13:R13)=0,Q13,SUM(O13:R13)*-44/12)</f>
        <v>7427.7317245784507</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647.53097450187647</v>
      </c>
      <c r="N14" s="2905" t="s">
        <v>2153</v>
      </c>
      <c r="O14" s="3109">
        <f>IF(SUM(M14:N14)=0,M14,SUM(M14:N14))</f>
        <v>647.53097450187647</v>
      </c>
      <c r="P14" s="2905">
        <v>-150.35940718577314</v>
      </c>
      <c r="Q14" s="2906" t="s">
        <v>2147</v>
      </c>
      <c r="R14" s="2906" t="s">
        <v>2147</v>
      </c>
      <c r="S14" s="3570">
        <f>IF(SUM(O14:R14)=0,Q14,SUM(O14:R14)*-44/12)</f>
        <v>-1822.9624134923788</v>
      </c>
      <c r="U14" s="2398"/>
    </row>
    <row r="15" spans="2:21" ht="18" customHeight="1" x14ac:dyDescent="0.2">
      <c r="B15" s="485" t="s">
        <v>1066</v>
      </c>
      <c r="C15" s="486"/>
      <c r="D15" s="3589">
        <f>IF(SUM(D16,D19,D21,D23,D25)=0,"IE",SUM(D16,D19,D21,D23,D25))</f>
        <v>13752.789639646018</v>
      </c>
      <c r="E15" s="3591">
        <f t="shared" ref="E15:F15" si="15">IF(SUM(E16,E19,E21,E23,E25)=0,"IE",SUM(E16,E19,E21,E23,E25))</f>
        <v>13751.789639646018</v>
      </c>
      <c r="F15" s="3595">
        <f t="shared" si="15"/>
        <v>1</v>
      </c>
      <c r="G15" s="3558" t="str">
        <f t="shared" si="4"/>
        <v>NA</v>
      </c>
      <c r="H15" s="3078">
        <f t="shared" si="5"/>
        <v>-0.83583645873879309</v>
      </c>
      <c r="I15" s="3078">
        <f t="shared" si="6"/>
        <v>-0.83583645873879309</v>
      </c>
      <c r="J15" s="3078">
        <f t="shared" si="7"/>
        <v>-0.24639391939336089</v>
      </c>
      <c r="K15" s="3573">
        <f t="shared" si="8"/>
        <v>-0.22563677805730917</v>
      </c>
      <c r="L15" s="3128">
        <f t="shared" si="9"/>
        <v>-8.7249999999999996</v>
      </c>
      <c r="M15" s="3590" t="str">
        <f>IF(SUM(M16,M19,M21,M23,M25)=0,"IE",SUM(M16,M19,M21,M23,M25))</f>
        <v>IE</v>
      </c>
      <c r="N15" s="3591">
        <f t="shared" ref="N15:S15" si="16">IF(SUM(N16,N19,N21,N23,N25)=0,"IE",SUM(N16,N19,N21,N23,N25))</f>
        <v>-11495.08299018129</v>
      </c>
      <c r="O15" s="3592">
        <f t="shared" si="16"/>
        <v>-11495.08299018129</v>
      </c>
      <c r="P15" s="3592">
        <f t="shared" si="16"/>
        <v>-3388.6037419047898</v>
      </c>
      <c r="Q15" s="3592">
        <f t="shared" si="16"/>
        <v>-3102.9095068116121</v>
      </c>
      <c r="R15" s="3592">
        <f t="shared" si="16"/>
        <v>-8.7249999999999996</v>
      </c>
      <c r="S15" s="3594">
        <f t="shared" si="16"/>
        <v>65982.84454262488</v>
      </c>
      <c r="U15" s="2019"/>
    </row>
    <row r="16" spans="2:21" ht="18" customHeight="1" x14ac:dyDescent="0.2">
      <c r="B16" s="500" t="s">
        <v>1067</v>
      </c>
      <c r="C16" s="486"/>
      <c r="D16" s="3599">
        <f>IF(SUM(D17:D18)=0,"IE",SUM(D17:D18))</f>
        <v>13703.912207109472</v>
      </c>
      <c r="E16" s="3564">
        <f t="shared" ref="E16:F16" si="17">IF(SUM(E17:E18)=0,"IE",SUM(E17:E18))</f>
        <v>13703.912207109472</v>
      </c>
      <c r="F16" s="3565" t="str">
        <f t="shared" si="17"/>
        <v>IE</v>
      </c>
      <c r="G16" s="3558" t="str">
        <f t="shared" si="4"/>
        <v>NA</v>
      </c>
      <c r="H16" s="3078">
        <f t="shared" si="5"/>
        <v>-0.83881761765941121</v>
      </c>
      <c r="I16" s="3078">
        <f t="shared" si="6"/>
        <v>-0.83881761765941121</v>
      </c>
      <c r="J16" s="3078">
        <f t="shared" si="7"/>
        <v>-0.24727272699155292</v>
      </c>
      <c r="K16" s="3573">
        <f t="shared" si="8"/>
        <v>-0.21778567059436341</v>
      </c>
      <c r="L16" s="3128" t="str">
        <f t="shared" si="9"/>
        <v>NA</v>
      </c>
      <c r="M16" s="3506" t="str">
        <f>IF(SUM(M17:M18)=0,"IE",SUM(M17:M18))</f>
        <v>IE</v>
      </c>
      <c r="N16" s="3506">
        <f t="shared" ref="N16:O16" si="18">IF(SUM(N17:N18)=0,"IE",SUM(N17:N18))</f>
        <v>-11495.08299018129</v>
      </c>
      <c r="O16" s="3506">
        <f t="shared" si="18"/>
        <v>-11495.08299018129</v>
      </c>
      <c r="P16" s="3506">
        <f t="shared" ref="P16" si="19">IF(SUM(P17:P18)=0,"IE",SUM(P17:P18))</f>
        <v>-3388.6037419047898</v>
      </c>
      <c r="Q16" s="3601">
        <f t="shared" ref="Q16" si="20">IF(SUM(Q17:Q18)=0,"IE",SUM(Q17:Q18))</f>
        <v>-2984.515709791619</v>
      </c>
      <c r="R16" s="3601" t="str">
        <f t="shared" ref="R16" si="21">IF(SUM(R17:R18)=0,"IE",SUM(R17:R18))</f>
        <v>IE</v>
      </c>
      <c r="S16" s="3287">
        <f t="shared" ref="S16" si="22">IF(SUM(S17:S18)=0,"IE",SUM(S17:S18))</f>
        <v>65516.742286884903</v>
      </c>
      <c r="U16" s="2400"/>
    </row>
    <row r="17" spans="2:21" ht="18" customHeight="1" x14ac:dyDescent="0.2">
      <c r="B17" s="500"/>
      <c r="C17" s="484" t="s">
        <v>2228</v>
      </c>
      <c r="D17" s="3600">
        <f>IF(SUM(E17:F17)=0,E17,SUM(E17:F17))</f>
        <v>13703.912207109472</v>
      </c>
      <c r="E17" s="3569">
        <v>13703.912207109472</v>
      </c>
      <c r="F17" s="3554" t="s">
        <v>2153</v>
      </c>
      <c r="G17" s="3558" t="str">
        <f t="shared" si="4"/>
        <v>NA</v>
      </c>
      <c r="H17" s="3078">
        <f t="shared" si="5"/>
        <v>-0.83781206101381422</v>
      </c>
      <c r="I17" s="3078">
        <f t="shared" si="6"/>
        <v>-0.83781206101381422</v>
      </c>
      <c r="J17" s="3078">
        <f t="shared" si="7"/>
        <v>-0.24725721796638558</v>
      </c>
      <c r="K17" s="3573">
        <f t="shared" si="8"/>
        <v>-0.21778567059436341</v>
      </c>
      <c r="L17" s="3128" t="str">
        <f t="shared" si="9"/>
        <v>NA</v>
      </c>
      <c r="M17" s="2905" t="s">
        <v>2153</v>
      </c>
      <c r="N17" s="2905">
        <v>-11481.302930190754</v>
      </c>
      <c r="O17" s="3109">
        <f>IF(SUM(M17:N17)=0,M17,SUM(M17:N17))</f>
        <v>-11481.302930190754</v>
      </c>
      <c r="P17" s="2905">
        <v>-3388.3912075854787</v>
      </c>
      <c r="Q17" s="2906">
        <v>-2984.515709791619</v>
      </c>
      <c r="R17" s="2906" t="s">
        <v>2153</v>
      </c>
      <c r="S17" s="3570">
        <f>IF(SUM(O17:R17)=0,Q17,SUM(O17:R17)*-44/12)</f>
        <v>65465.436107748792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-13.780059990537394</v>
      </c>
      <c r="O18" s="3109">
        <f>IF(SUM(M18:N18)=0,M18,SUM(M18:N18))</f>
        <v>-13.780059990537394</v>
      </c>
      <c r="P18" s="2905">
        <v>-0.21253431931120481</v>
      </c>
      <c r="Q18" s="2906" t="s">
        <v>2147</v>
      </c>
      <c r="R18" s="2906" t="s">
        <v>2147</v>
      </c>
      <c r="S18" s="3570">
        <f>IF(SUM(O18:R18)=0,Q18,SUM(O18:R18)*-44/12)</f>
        <v>51.306179136111531</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13234.626226120999</v>
      </c>
      <c r="E10" s="3583">
        <f>IF(SUM(E11,E23)=0,"IE",SUM(E11,E23))</f>
        <v>13177.843760545969</v>
      </c>
      <c r="F10" s="3584">
        <f>IF(SUM(F11,F23)=0,"IE",SUM(F11,F23))</f>
        <v>56.782465575029335</v>
      </c>
      <c r="G10" s="3608" t="str">
        <f>IFERROR(IF(SUM($D10)=0,"NA",M10/$D10),"NA")</f>
        <v>NA</v>
      </c>
      <c r="H10" s="3609">
        <f t="shared" ref="H10:J10" si="0">IFERROR(IF(SUM($D10)=0,"NA",N10/$D10),"NA")</f>
        <v>-2.1772861172396844E-2</v>
      </c>
      <c r="I10" s="3610">
        <f t="shared" si="0"/>
        <v>-2.1772861172396844E-2</v>
      </c>
      <c r="J10" s="3609">
        <f t="shared" si="0"/>
        <v>-3.4210976129661515E-3</v>
      </c>
      <c r="K10" s="3609">
        <f>IFERROR(IF(SUM(E10)=0,"NA",Q10/E10),"NA")</f>
        <v>-2.3396148641399183E-3</v>
      </c>
      <c r="L10" s="3611" t="str">
        <f>IFERROR(IF(SUM(F10)=0,"NA",R10/F10),"NA")</f>
        <v>NA</v>
      </c>
      <c r="M10" s="3610" t="str">
        <f t="shared" ref="M10:S10" si="1">IF(SUM(M11,M23)=0,"IE",SUM(M11,M23))</f>
        <v>IE</v>
      </c>
      <c r="N10" s="3609">
        <f t="shared" si="1"/>
        <v>-288.15567948989491</v>
      </c>
      <c r="O10" s="3610">
        <f t="shared" si="1"/>
        <v>-288.15567948989491</v>
      </c>
      <c r="P10" s="3609">
        <f t="shared" si="1"/>
        <v>-45.276948190681779</v>
      </c>
      <c r="Q10" s="3612">
        <f t="shared" si="1"/>
        <v>-30.831079139486828</v>
      </c>
      <c r="R10" s="3612" t="str">
        <f t="shared" si="1"/>
        <v>IE</v>
      </c>
      <c r="S10" s="3588">
        <f t="shared" si="1"/>
        <v>1335.6335916735666</v>
      </c>
      <c r="U10" s="2401"/>
    </row>
    <row r="11" spans="1:23" ht="18" customHeight="1" x14ac:dyDescent="0.2">
      <c r="B11" s="501" t="s">
        <v>990</v>
      </c>
      <c r="C11" s="483"/>
      <c r="D11" s="3613">
        <f>IF(SUM(D12,D14,D17)=0,"IE",SUM(D12,D14,D17))</f>
        <v>13196.035226120999</v>
      </c>
      <c r="E11" s="3614">
        <f t="shared" ref="E11:S11" si="2">IF(SUM(E12,E14,E17)=0,"IE",SUM(E12,E14,E17))</f>
        <v>13139.252760545969</v>
      </c>
      <c r="F11" s="3615">
        <f t="shared" si="2"/>
        <v>56.782465575029335</v>
      </c>
      <c r="G11" s="3616" t="str">
        <f t="shared" ref="G11:G56" si="3">IFERROR(IF(SUM($D11)=0,"NA",M11/$D11),"NA")</f>
        <v>NA</v>
      </c>
      <c r="H11" s="3617">
        <f t="shared" ref="H11:H56" si="4">IFERROR(IF(SUM($D11)=0,"NA",N11/$D11),"NA")</f>
        <v>-2.127341089043262E-2</v>
      </c>
      <c r="I11" s="3618">
        <f t="shared" ref="I11:I56" si="5">IFERROR(IF(SUM($D11)=0,"NA",O11/$D11),"NA")</f>
        <v>-2.127341089043262E-2</v>
      </c>
      <c r="J11" s="3617">
        <f t="shared" ref="J11:J56" si="6">IFERROR(IF(SUM($D11)=0,"NA",P11/$D11),"NA")</f>
        <v>-3.4311024042325954E-3</v>
      </c>
      <c r="K11" s="3617">
        <f t="shared" ref="K11:K56" si="7">IFERROR(IF(SUM(E11)=0,"NA",Q11/E11),"NA")</f>
        <v>-2.3464864936661527E-3</v>
      </c>
      <c r="L11" s="3619" t="str">
        <f t="shared" ref="L11:L56" si="8">IFERROR(IF(SUM(F11)=0,"NA",R11/F11),"NA")</f>
        <v>NA</v>
      </c>
      <c r="M11" s="3618" t="str">
        <f t="shared" si="2"/>
        <v>IE</v>
      </c>
      <c r="N11" s="3617">
        <f t="shared" si="2"/>
        <v>-280.72467948989492</v>
      </c>
      <c r="O11" s="3618">
        <f t="shared" si="2"/>
        <v>-280.72467948989492</v>
      </c>
      <c r="P11" s="3617">
        <f t="shared" si="2"/>
        <v>-45.276948190681779</v>
      </c>
      <c r="Q11" s="3620">
        <f t="shared" si="2"/>
        <v>-30.831079139486828</v>
      </c>
      <c r="R11" s="3620" t="str">
        <f t="shared" si="2"/>
        <v>IE</v>
      </c>
      <c r="S11" s="3621">
        <f t="shared" si="2"/>
        <v>1308.3865916735665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866.01849347714051</v>
      </c>
      <c r="E14" s="3564">
        <f>IF(SUM(E15:E16)=0,"IE",SUM(E15:E16))</f>
        <v>866.01849347714051</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533.22840000000008</v>
      </c>
      <c r="E15" s="3569">
        <v>533.22840000000008</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12330.016732643859</v>
      </c>
      <c r="E17" s="3564">
        <f>IF(SUM(E18:E21)=0,"IE",SUM(E18:E21))</f>
        <v>12273.234267068829</v>
      </c>
      <c r="F17" s="3565">
        <f>IF(SUM(F18:F21)=0,"IE",SUM(F18:F21))</f>
        <v>56.782465575029335</v>
      </c>
      <c r="G17" s="3622" t="str">
        <f t="shared" si="3"/>
        <v>NA</v>
      </c>
      <c r="H17" s="3591">
        <f t="shared" si="4"/>
        <v>-2.2767583011195205E-2</v>
      </c>
      <c r="I17" s="3623">
        <f t="shared" si="5"/>
        <v>-2.2767583011195205E-2</v>
      </c>
      <c r="J17" s="3591">
        <f t="shared" si="6"/>
        <v>-3.6720913825534838E-3</v>
      </c>
      <c r="K17" s="3591">
        <f t="shared" si="7"/>
        <v>-2.5120582291997674E-3</v>
      </c>
      <c r="L17" s="3595" t="str">
        <f t="shared" si="8"/>
        <v>NA</v>
      </c>
      <c r="M17" s="3564" t="str">
        <f t="shared" ref="M17:S17" si="16">IF(SUM(M18:M21)=0,"IE",SUM(M18:M21))</f>
        <v>IE</v>
      </c>
      <c r="N17" s="3617">
        <f t="shared" si="16"/>
        <v>-280.72467948989492</v>
      </c>
      <c r="O17" s="3618">
        <f t="shared" si="16"/>
        <v>-280.72467948989492</v>
      </c>
      <c r="P17" s="3617">
        <f t="shared" si="16"/>
        <v>-45.276948190681779</v>
      </c>
      <c r="Q17" s="3620">
        <f t="shared" si="16"/>
        <v>-30.831079139486828</v>
      </c>
      <c r="R17" s="3620" t="str">
        <f t="shared" si="16"/>
        <v>IE</v>
      </c>
      <c r="S17" s="3634">
        <f t="shared" si="16"/>
        <v>1308.3865916735665</v>
      </c>
      <c r="U17" s="2402"/>
    </row>
    <row r="18" spans="1:23" ht="18" customHeight="1" x14ac:dyDescent="0.2">
      <c r="A18" s="2502"/>
      <c r="B18" s="2682"/>
      <c r="C18" s="2503" t="s">
        <v>2231</v>
      </c>
      <c r="D18" s="3600">
        <f>IF(SUM(E18:F18)=0,E18,SUM(E18:F18))</f>
        <v>1716.6986404464244</v>
      </c>
      <c r="E18" s="3569">
        <v>1716.6986404464244</v>
      </c>
      <c r="F18" s="3635" t="s">
        <v>2153</v>
      </c>
      <c r="G18" s="3630" t="str">
        <f t="shared" si="3"/>
        <v>NA</v>
      </c>
      <c r="H18" s="3631">
        <f t="shared" si="4"/>
        <v>-2.2449396776091458E-2</v>
      </c>
      <c r="I18" s="3632">
        <f t="shared" si="5"/>
        <v>-2.2449396776091458E-2</v>
      </c>
      <c r="J18" s="3631">
        <f t="shared" si="6"/>
        <v>-4.4898793552182901E-3</v>
      </c>
      <c r="K18" s="3631">
        <f t="shared" si="7"/>
        <v>-1.795951742087316E-2</v>
      </c>
      <c r="L18" s="3633" t="str">
        <f t="shared" si="8"/>
        <v>NA</v>
      </c>
      <c r="M18" s="3624" t="s">
        <v>2153</v>
      </c>
      <c r="N18" s="3625">
        <v>-38.538848924358547</v>
      </c>
      <c r="O18" s="3109">
        <f>IF(SUM(M18:N18)=0,M18,SUM(M18:N18))</f>
        <v>-38.538848924358547</v>
      </c>
      <c r="P18" s="3625">
        <v>-7.7077697848717071</v>
      </c>
      <c r="Q18" s="3626">
        <v>-30.831079139486828</v>
      </c>
      <c r="R18" s="3636" t="s">
        <v>2153</v>
      </c>
      <c r="S18" s="3570">
        <f>IF(SUM(O18:R18)=0,Q18,SUM(O18:R18)*-44/12)</f>
        <v>282.61822544529599</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-242.18583056553638</v>
      </c>
      <c r="O19" s="3109">
        <f t="shared" ref="O19:O22" si="18">IF(SUM(M19:N19)=0,M19,SUM(M19:N19))</f>
        <v>-242.18583056553638</v>
      </c>
      <c r="P19" s="3625">
        <v>-37.569178405810071</v>
      </c>
      <c r="Q19" s="3628" t="s">
        <v>2147</v>
      </c>
      <c r="R19" s="3627" t="s">
        <v>2147</v>
      </c>
      <c r="S19" s="3570">
        <f t="shared" ref="S19:S22" si="19">IF(SUM(O19:R19)=0,Q19,SUM(O19:R19)*-44/12)</f>
        <v>1025.7683662282705</v>
      </c>
      <c r="T19" s="2502"/>
      <c r="U19" s="2684"/>
      <c r="V19" s="2502"/>
      <c r="W19" s="2502"/>
    </row>
    <row r="20" spans="1:23" ht="18" customHeight="1" x14ac:dyDescent="0.2">
      <c r="A20" s="2502"/>
      <c r="B20" s="2682"/>
      <c r="C20" s="2683" t="s">
        <v>2234</v>
      </c>
      <c r="D20" s="3600">
        <f t="shared" si="17"/>
        <v>10556.535626622404</v>
      </c>
      <c r="E20" s="3607">
        <v>10556.535626622404</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56.782465575029335</v>
      </c>
      <c r="E21" s="3564" t="str">
        <f t="shared" ref="E21:F21" si="20">E22</f>
        <v>IE</v>
      </c>
      <c r="F21" s="3565">
        <f t="shared" si="20"/>
        <v>56.782465575029335</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56.782465575029335</v>
      </c>
      <c r="E22" s="3569" t="s">
        <v>2153</v>
      </c>
      <c r="F22" s="3554">
        <v>56.782465575029335</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38.591000000000001</v>
      </c>
      <c r="E23" s="3591">
        <f t="shared" ref="E23:F23" si="22">IF(SUM(E24,E35,E46)=0,"IE",SUM(E24,E35,E46))</f>
        <v>38.591000000000001</v>
      </c>
      <c r="F23" s="3595" t="str">
        <f t="shared" si="22"/>
        <v>IE</v>
      </c>
      <c r="G23" s="3622" t="str">
        <f t="shared" si="3"/>
        <v>NA</v>
      </c>
      <c r="H23" s="3591">
        <f t="shared" si="4"/>
        <v>-0.19255785027597108</v>
      </c>
      <c r="I23" s="3623">
        <f t="shared" si="5"/>
        <v>-0.19255785027597108</v>
      </c>
      <c r="J23" s="3591" t="str">
        <f t="shared" si="6"/>
        <v>NA</v>
      </c>
      <c r="K23" s="3591" t="str">
        <f t="shared" si="7"/>
        <v>NA</v>
      </c>
      <c r="L23" s="3595" t="str">
        <f t="shared" si="8"/>
        <v>NA</v>
      </c>
      <c r="M23" s="3591" t="str">
        <f t="shared" ref="M23" si="23">IF(SUM(M24,M35,M46)=0,"IE",SUM(M24,M35,M46))</f>
        <v>IE</v>
      </c>
      <c r="N23" s="3591">
        <f t="shared" ref="N23" si="24">IF(SUM(N24,N35,N46)=0,"IE",SUM(N24,N35,N46))</f>
        <v>-7.431</v>
      </c>
      <c r="O23" s="3623">
        <f t="shared" ref="O23" si="25">IF(SUM(O24,O35,O46)=0,"IE",SUM(O24,O35,O46))</f>
        <v>-7.431</v>
      </c>
      <c r="P23" s="3591" t="str">
        <f>IF(SUM(P24,P35,P46)=0,"NO",SUM(P24,P35,P46))</f>
        <v>NO</v>
      </c>
      <c r="Q23" s="3590" t="str">
        <f>IF(SUM(Q24,Q35,Q46)=0,"NO",SUM(Q24,Q35,Q46))</f>
        <v>NO</v>
      </c>
      <c r="R23" s="3590" t="str">
        <f>IF(SUM(R24,R35,R46)=0,"NO",SUM(R24,R35,R46))</f>
        <v>NO</v>
      </c>
      <c r="S23" s="3594">
        <f t="shared" ref="S23" si="26">IF(SUM(S24,S35,S46)=0,"IE",SUM(S24,S35,S46))</f>
        <v>27.247</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38.591000000000001</v>
      </c>
      <c r="E35" s="3591">
        <f>IF(SUM(E36,E38,E40,E42,E44)=0,"IE",SUM(E36,E38,E40,E42,E44))</f>
        <v>38.591000000000001</v>
      </c>
      <c r="F35" s="3595" t="str">
        <f>IF(SUM(F36,F38,F40,F42,F44)=0,"IE",SUM(F36,F38,F40,F42,F44))</f>
        <v>IE</v>
      </c>
      <c r="G35" s="3622" t="str">
        <f t="shared" si="3"/>
        <v>NA</v>
      </c>
      <c r="H35" s="3591">
        <f t="shared" si="4"/>
        <v>-0.19255785027597108</v>
      </c>
      <c r="I35" s="3623">
        <f t="shared" si="5"/>
        <v>-0.19255785027597108</v>
      </c>
      <c r="J35" s="3591" t="str">
        <f t="shared" si="6"/>
        <v>NA</v>
      </c>
      <c r="K35" s="3591" t="str">
        <f t="shared" si="7"/>
        <v>NA</v>
      </c>
      <c r="L35" s="3595" t="str">
        <f t="shared" si="8"/>
        <v>NA</v>
      </c>
      <c r="M35" s="3591" t="str">
        <f t="shared" ref="M35:S35" si="48">IF(SUM(M36,M38,M40,M42,M44)=0,"IE",SUM(M36,M38,M40,M42,M44))</f>
        <v>IE</v>
      </c>
      <c r="N35" s="3591">
        <f t="shared" si="48"/>
        <v>-7.431</v>
      </c>
      <c r="O35" s="3623">
        <f t="shared" si="48"/>
        <v>-7.431</v>
      </c>
      <c r="P35" s="3591" t="str">
        <f>IF(SUM(P36,P38,P40,P42,P44)=0,"NO",SUM(P36,P38,P40,P42,P44))</f>
        <v>NO</v>
      </c>
      <c r="Q35" s="3590" t="str">
        <f>IF(SUM(Q36,Q38,Q40,Q42,Q44)=0,"NO",SUM(Q36,Q38,Q40,Q42,Q44))</f>
        <v>NO</v>
      </c>
      <c r="R35" s="3590" t="str">
        <f>IF(SUM(R36,R38,R40,R42,R44)=0,"NO",SUM(R36,R38,R40,R42,R44))</f>
        <v>NO</v>
      </c>
      <c r="S35" s="3594">
        <f t="shared" si="48"/>
        <v>27.247</v>
      </c>
      <c r="U35" s="503"/>
    </row>
    <row r="36" spans="2:21" ht="18" customHeight="1" x14ac:dyDescent="0.2">
      <c r="B36" s="505" t="s">
        <v>1087</v>
      </c>
      <c r="C36" s="486"/>
      <c r="D36" s="3600">
        <f>D37</f>
        <v>38.591000000000001</v>
      </c>
      <c r="E36" s="3564">
        <f t="shared" ref="E36:F36" si="49">E37</f>
        <v>38.591000000000001</v>
      </c>
      <c r="F36" s="3565" t="str">
        <f t="shared" si="49"/>
        <v>IE</v>
      </c>
      <c r="G36" s="3558" t="str">
        <f t="shared" si="3"/>
        <v>NA</v>
      </c>
      <c r="H36" s="3078">
        <f t="shared" si="4"/>
        <v>-0.19255785027597108</v>
      </c>
      <c r="I36" s="3078">
        <f t="shared" si="5"/>
        <v>-0.19255785027597108</v>
      </c>
      <c r="J36" s="3078" t="str">
        <f t="shared" si="6"/>
        <v>NA</v>
      </c>
      <c r="K36" s="3573" t="str">
        <f t="shared" si="7"/>
        <v>NA</v>
      </c>
      <c r="L36" s="3128" t="str">
        <f t="shared" si="8"/>
        <v>NA</v>
      </c>
      <c r="M36" s="3505" t="str">
        <f t="shared" ref="M36:S36" si="50">M37</f>
        <v>IE</v>
      </c>
      <c r="N36" s="3506">
        <f t="shared" si="50"/>
        <v>-7.431</v>
      </c>
      <c r="O36" s="3506">
        <f t="shared" si="50"/>
        <v>-7.431</v>
      </c>
      <c r="P36" s="3506" t="str">
        <f t="shared" si="50"/>
        <v>NA</v>
      </c>
      <c r="Q36" s="3601" t="str">
        <f t="shared" si="50"/>
        <v>NA</v>
      </c>
      <c r="R36" s="3601" t="str">
        <f t="shared" si="50"/>
        <v>NA</v>
      </c>
      <c r="S36" s="3287">
        <f t="shared" si="50"/>
        <v>27.247</v>
      </c>
      <c r="U36" s="2402"/>
    </row>
    <row r="37" spans="2:21" ht="18" customHeight="1" x14ac:dyDescent="0.2">
      <c r="B37" s="1479"/>
      <c r="C37" s="885" t="s">
        <v>278</v>
      </c>
      <c r="D37" s="3600">
        <f>IF(SUM(E37:F37)=0,E37,SUM(E37:F37))</f>
        <v>38.591000000000001</v>
      </c>
      <c r="E37" s="3569">
        <v>38.591000000000001</v>
      </c>
      <c r="F37" s="3554" t="s">
        <v>2153</v>
      </c>
      <c r="G37" s="3622" t="str">
        <f t="shared" si="3"/>
        <v>NA</v>
      </c>
      <c r="H37" s="3591">
        <f t="shared" si="4"/>
        <v>-0.19255785027597108</v>
      </c>
      <c r="I37" s="3623">
        <f t="shared" si="5"/>
        <v>-0.19255785027597108</v>
      </c>
      <c r="J37" s="3591" t="str">
        <f t="shared" si="6"/>
        <v>NA</v>
      </c>
      <c r="K37" s="3591" t="str">
        <f t="shared" si="7"/>
        <v>NA</v>
      </c>
      <c r="L37" s="3595" t="str">
        <f t="shared" si="8"/>
        <v>NA</v>
      </c>
      <c r="M37" s="3624" t="s">
        <v>2153</v>
      </c>
      <c r="N37" s="3625">
        <v>-7.431</v>
      </c>
      <c r="O37" s="3109">
        <f t="shared" ref="O37" si="51">IF(SUM(M37:N37)=0,M37,SUM(M37:N37))</f>
        <v>-7.431</v>
      </c>
      <c r="P37" s="3625" t="s">
        <v>2147</v>
      </c>
      <c r="Q37" s="3626" t="s">
        <v>2147</v>
      </c>
      <c r="R37" s="3626" t="s">
        <v>2147</v>
      </c>
      <c r="S37" s="3570">
        <f t="shared" ref="S37" si="52">IF(SUM(O37:R37)=0,Q37,SUM(O37:R37)*-44/12)</f>
        <v>27.247</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1468.3282966081997</v>
      </c>
      <c r="E10" s="3583">
        <f t="shared" ref="E10:F10" si="0">IF(SUM(E11,E13)=0,"IE",SUM(E11,E13))</f>
        <v>1385.2571918190001</v>
      </c>
      <c r="F10" s="3584">
        <f t="shared" si="0"/>
        <v>83.07110478919968</v>
      </c>
      <c r="G10" s="3582" t="str">
        <f>IFERROR(IF(SUM($D10)=0,"NA",M10/$D10),"NA")</f>
        <v>NA</v>
      </c>
      <c r="H10" s="3583">
        <f t="shared" ref="H10:J10" si="1">IFERROR(IF(SUM($D10)=0,"NA",N10/$D10),"NA")</f>
        <v>-0.67907257318084246</v>
      </c>
      <c r="I10" s="3583">
        <f t="shared" si="1"/>
        <v>-0.67907257318084246</v>
      </c>
      <c r="J10" s="3583">
        <f t="shared" si="1"/>
        <v>-0.17989293329040085</v>
      </c>
      <c r="K10" s="3585">
        <f>IFERROR(IF(SUM(E10)=0,"NA",Q10/E10),"NA")</f>
        <v>-0.14117812688456235</v>
      </c>
      <c r="L10" s="3584">
        <f>IFERROR(IF(SUM(F10)=0,"NA",R10/F10),"NA")</f>
        <v>0.8924548984852263</v>
      </c>
      <c r="M10" s="3586" t="str">
        <f>IF(SUM(M11,M13)=0,"IE",SUM(M11,M13))</f>
        <v>IE</v>
      </c>
      <c r="N10" s="3583">
        <f t="shared" ref="N10:S10" si="2">IF(SUM(N11,N13)=0,"IE",SUM(N11,N13))</f>
        <v>-997.10147465197338</v>
      </c>
      <c r="O10" s="3587">
        <f t="shared" si="2"/>
        <v>-997.10147465197338</v>
      </c>
      <c r="P10" s="3583">
        <f t="shared" si="2"/>
        <v>-264.14188431014679</v>
      </c>
      <c r="Q10" s="3585">
        <f t="shared" si="2"/>
        <v>-195.56801559437534</v>
      </c>
      <c r="R10" s="3585">
        <f t="shared" si="2"/>
        <v>74.137214391700795</v>
      </c>
      <c r="S10" s="3588">
        <f t="shared" si="2"/>
        <v>5069.8052539375813</v>
      </c>
      <c r="U10" s="2261"/>
    </row>
    <row r="11" spans="2:21" ht="18" customHeight="1" x14ac:dyDescent="0.2">
      <c r="B11" s="493" t="s">
        <v>993</v>
      </c>
      <c r="C11" s="2256"/>
      <c r="D11" s="3589">
        <f>D12</f>
        <v>991.445191819</v>
      </c>
      <c r="E11" s="3078">
        <f t="shared" ref="E11:F11" si="3">E12</f>
        <v>991.445191819</v>
      </c>
      <c r="F11" s="3078" t="str">
        <f t="shared" si="3"/>
        <v>IE</v>
      </c>
      <c r="G11" s="3558" t="str">
        <f t="shared" ref="G11:G24" si="4">IFERROR(IF(SUM($D11)=0,"NA",M11/$D11),"NA")</f>
        <v>NA</v>
      </c>
      <c r="H11" s="3078">
        <f t="shared" ref="H11:H24" si="5">IFERROR(IF(SUM($D11)=0,"NA",N11/$D11),"NA")</f>
        <v>-4.8326115578599333E-3</v>
      </c>
      <c r="I11" s="3078">
        <f t="shared" ref="I11:I24" si="6">IFERROR(IF(SUM($D11)=0,"NA",O11/$D11),"NA")</f>
        <v>-4.8326115578599333E-3</v>
      </c>
      <c r="J11" s="3078">
        <f t="shared" ref="J11:J24" si="7">IFERROR(IF(SUM($D11)=0,"NA",P11/$D11),"NA")</f>
        <v>-9.6652231157198689E-4</v>
      </c>
      <c r="K11" s="3573">
        <f t="shared" ref="K11:K24" si="8">IFERROR(IF(SUM(E11)=0,"NA",Q11/E11),"NA")</f>
        <v>-3.8660892462879476E-3</v>
      </c>
      <c r="L11" s="3128" t="str">
        <f t="shared" ref="L11:L24" si="9">IFERROR(IF(SUM(F11)=0,"NA",R11/F11),"NA")</f>
        <v>NA</v>
      </c>
      <c r="M11" s="3590" t="str">
        <f t="shared" ref="M11:S11" si="10">M12</f>
        <v>IE</v>
      </c>
      <c r="N11" s="3591">
        <f t="shared" si="10"/>
        <v>-4.7912694929691577</v>
      </c>
      <c r="O11" s="3592">
        <f t="shared" si="10"/>
        <v>-4.7912694929691577</v>
      </c>
      <c r="P11" s="3591">
        <f t="shared" si="10"/>
        <v>-0.95825389859383181</v>
      </c>
      <c r="Q11" s="3593">
        <f t="shared" si="10"/>
        <v>-3.8330155943753272</v>
      </c>
      <c r="R11" s="3593" t="str">
        <f t="shared" si="10"/>
        <v>IE</v>
      </c>
      <c r="S11" s="3594">
        <f t="shared" si="10"/>
        <v>35.135976281773829</v>
      </c>
      <c r="U11" s="2397"/>
    </row>
    <row r="12" spans="2:21" ht="18" customHeight="1" x14ac:dyDescent="0.2">
      <c r="B12" s="501"/>
      <c r="C12" s="885" t="s">
        <v>278</v>
      </c>
      <c r="D12" s="3600">
        <f>IF(SUM(E12:F12)=0,E12,SUM(E12:F12))</f>
        <v>991.445191819</v>
      </c>
      <c r="E12" s="3569">
        <v>991.445191819</v>
      </c>
      <c r="F12" s="3554" t="s">
        <v>2153</v>
      </c>
      <c r="G12" s="3558" t="str">
        <f t="shared" si="4"/>
        <v>NA</v>
      </c>
      <c r="H12" s="3078">
        <f t="shared" si="5"/>
        <v>-4.8326115578599333E-3</v>
      </c>
      <c r="I12" s="3078">
        <f t="shared" si="6"/>
        <v>-4.8326115578599333E-3</v>
      </c>
      <c r="J12" s="3078">
        <f t="shared" si="7"/>
        <v>-9.6652231157198689E-4</v>
      </c>
      <c r="K12" s="3573">
        <f t="shared" si="8"/>
        <v>-3.8660892462879476E-3</v>
      </c>
      <c r="L12" s="3128" t="str">
        <f t="shared" si="9"/>
        <v>NA</v>
      </c>
      <c r="M12" s="2905" t="s">
        <v>2153</v>
      </c>
      <c r="N12" s="2905">
        <v>-4.7912694929691577</v>
      </c>
      <c r="O12" s="3109">
        <f>IF(SUM(M12:N12)=0,M12,SUM(M12:N12))</f>
        <v>-4.7912694929691577</v>
      </c>
      <c r="P12" s="2905">
        <v>-0.95825389859383181</v>
      </c>
      <c r="Q12" s="2906">
        <v>-3.8330155943753272</v>
      </c>
      <c r="R12" s="2906" t="s">
        <v>2153</v>
      </c>
      <c r="S12" s="3570">
        <f>IF(SUM(O12:R12)=0,Q12,SUM(O12:R12)*-44/12)</f>
        <v>35.135976281773829</v>
      </c>
      <c r="U12" s="2398"/>
    </row>
    <row r="13" spans="2:21" ht="18" customHeight="1" x14ac:dyDescent="0.2">
      <c r="B13" s="493" t="s">
        <v>994</v>
      </c>
      <c r="C13" s="504"/>
      <c r="D13" s="3589">
        <f>IF(SUM(D14,D17,D19,D21,D23)=0,"IE",SUM(D14,D17,D19,D21,D23))</f>
        <v>476.88310478919971</v>
      </c>
      <c r="E13" s="3591">
        <f t="shared" ref="E13:S13" si="11">IF(SUM(E14,E17,E19,E21,E23)=0,"IE",SUM(E14,E17,E19,E21,E23))</f>
        <v>393.81200000000001</v>
      </c>
      <c r="F13" s="3595">
        <f t="shared" si="11"/>
        <v>83.07110478919968</v>
      </c>
      <c r="G13" s="3558" t="str">
        <f t="shared" si="4"/>
        <v>NA</v>
      </c>
      <c r="H13" s="3078">
        <f t="shared" si="5"/>
        <v>-2.0808248293838019</v>
      </c>
      <c r="I13" s="3078">
        <f t="shared" si="6"/>
        <v>-2.0808248293838019</v>
      </c>
      <c r="J13" s="3078">
        <f t="shared" si="7"/>
        <v>-0.55188289911820221</v>
      </c>
      <c r="K13" s="3573">
        <f t="shared" si="8"/>
        <v>-0.48686936914060519</v>
      </c>
      <c r="L13" s="3128">
        <f t="shared" si="9"/>
        <v>0.8924548984852263</v>
      </c>
      <c r="M13" s="3078" t="str">
        <f t="shared" si="11"/>
        <v>IE</v>
      </c>
      <c r="N13" s="3078">
        <f t="shared" si="11"/>
        <v>-992.31020515900423</v>
      </c>
      <c r="O13" s="3078">
        <f t="shared" si="11"/>
        <v>-992.31020515900423</v>
      </c>
      <c r="P13" s="3078">
        <f t="shared" si="11"/>
        <v>-263.18363041155294</v>
      </c>
      <c r="Q13" s="3573">
        <f t="shared" si="11"/>
        <v>-191.73500000000001</v>
      </c>
      <c r="R13" s="3573">
        <f t="shared" si="11"/>
        <v>74.137214391700795</v>
      </c>
      <c r="S13" s="3570">
        <f t="shared" si="11"/>
        <v>5034.6692776558075</v>
      </c>
      <c r="U13" s="2019"/>
    </row>
    <row r="14" spans="2:21" ht="18" customHeight="1" x14ac:dyDescent="0.2">
      <c r="B14" s="495" t="s">
        <v>1101</v>
      </c>
      <c r="C14" s="504"/>
      <c r="D14" s="3599">
        <f>IF(SUM(D15:D16)=0,"IE",SUM(D15:D16))</f>
        <v>476.88310478919971</v>
      </c>
      <c r="E14" s="3564">
        <f t="shared" ref="E14:F14" si="12">IF(SUM(E15:E16)=0,"IE",SUM(E15:E16))</f>
        <v>393.81200000000001</v>
      </c>
      <c r="F14" s="3565">
        <f t="shared" si="12"/>
        <v>83.07110478919968</v>
      </c>
      <c r="G14" s="3558" t="str">
        <f t="shared" si="4"/>
        <v>NA</v>
      </c>
      <c r="H14" s="3078">
        <f t="shared" si="5"/>
        <v>-2.0808248293838019</v>
      </c>
      <c r="I14" s="3078">
        <f t="shared" si="6"/>
        <v>-2.0808248293838019</v>
      </c>
      <c r="J14" s="3078">
        <f t="shared" si="7"/>
        <v>-0.55188289911820221</v>
      </c>
      <c r="K14" s="3573">
        <f t="shared" si="8"/>
        <v>-0.48686936914060519</v>
      </c>
      <c r="L14" s="3128">
        <f t="shared" si="9"/>
        <v>0.8924548984852263</v>
      </c>
      <c r="M14" s="3506" t="str">
        <f>IF(SUM(M15:M16)=0,"IE",SUM(M15:M16))</f>
        <v>IE</v>
      </c>
      <c r="N14" s="3506">
        <f t="shared" ref="N14:S14" si="13">IF(SUM(N15:N16)=0,"IE",SUM(N15:N16))</f>
        <v>-992.31020515900423</v>
      </c>
      <c r="O14" s="3506">
        <f t="shared" si="13"/>
        <v>-992.31020515900423</v>
      </c>
      <c r="P14" s="3506">
        <f t="shared" si="13"/>
        <v>-263.18363041155294</v>
      </c>
      <c r="Q14" s="3601">
        <f t="shared" si="13"/>
        <v>-191.73500000000001</v>
      </c>
      <c r="R14" s="3601">
        <f t="shared" si="13"/>
        <v>74.137214391700795</v>
      </c>
      <c r="S14" s="3287">
        <f t="shared" si="13"/>
        <v>5034.6692776558075</v>
      </c>
      <c r="U14" s="2019"/>
    </row>
    <row r="15" spans="2:21" ht="18" customHeight="1" x14ac:dyDescent="0.2">
      <c r="B15" s="496"/>
      <c r="C15" s="508" t="s">
        <v>2235</v>
      </c>
      <c r="D15" s="3600">
        <f>IF(SUM(E15:F15)=0,E15,SUM(E15:F15))</f>
        <v>83.07110478919968</v>
      </c>
      <c r="E15" s="3569" t="s">
        <v>2146</v>
      </c>
      <c r="F15" s="3554">
        <v>83.07110478919968</v>
      </c>
      <c r="G15" s="3558" t="str">
        <f t="shared" si="4"/>
        <v>NA</v>
      </c>
      <c r="H15" s="3078">
        <f t="shared" si="5"/>
        <v>-5.6840607375718202</v>
      </c>
      <c r="I15" s="3078">
        <f t="shared" si="6"/>
        <v>-5.6840607375718202</v>
      </c>
      <c r="J15" s="3078">
        <f t="shared" si="7"/>
        <v>-1.874100877875815</v>
      </c>
      <c r="K15" s="3573" t="str">
        <f t="shared" si="8"/>
        <v>NA</v>
      </c>
      <c r="L15" s="3128">
        <f t="shared" si="9"/>
        <v>0.8924548984852263</v>
      </c>
      <c r="M15" s="2905" t="s">
        <v>2153</v>
      </c>
      <c r="N15" s="2905">
        <v>-472.18120515900426</v>
      </c>
      <c r="O15" s="3109">
        <f>IF(SUM(M15:N15)=0,M15,SUM(M15:N15))</f>
        <v>-472.18120515900426</v>
      </c>
      <c r="P15" s="2905">
        <v>-155.68363041155294</v>
      </c>
      <c r="Q15" s="2906" t="s">
        <v>2146</v>
      </c>
      <c r="R15" s="2906">
        <v>74.137214391700795</v>
      </c>
      <c r="S15" s="3570">
        <f>IF(SUM(O15:R15)=0,Q15,SUM(O15:R15)*-44/12)</f>
        <v>2030.3346109891402</v>
      </c>
      <c r="U15" s="2019"/>
    </row>
    <row r="16" spans="2:21" ht="18" customHeight="1" x14ac:dyDescent="0.2">
      <c r="B16" s="494"/>
      <c r="C16" s="508" t="s">
        <v>2236</v>
      </c>
      <c r="D16" s="3600">
        <f>IF(SUM(E16:F16)=0,E16,SUM(E16:F16))</f>
        <v>393.81200000000001</v>
      </c>
      <c r="E16" s="3569">
        <v>393.81200000000001</v>
      </c>
      <c r="F16" s="3554" t="s">
        <v>2153</v>
      </c>
      <c r="G16" s="3558" t="str">
        <f t="shared" si="4"/>
        <v>NA</v>
      </c>
      <c r="H16" s="3078">
        <f t="shared" si="5"/>
        <v>-1.3207545732481489</v>
      </c>
      <c r="I16" s="3078">
        <f t="shared" si="6"/>
        <v>-1.3207545732481489</v>
      </c>
      <c r="J16" s="3078">
        <f t="shared" si="7"/>
        <v>-0.27297289061785823</v>
      </c>
      <c r="K16" s="3573">
        <f t="shared" si="8"/>
        <v>-0.48686936914060519</v>
      </c>
      <c r="L16" s="3128" t="str">
        <f t="shared" si="9"/>
        <v>NA</v>
      </c>
      <c r="M16" s="2905" t="s">
        <v>2153</v>
      </c>
      <c r="N16" s="2905">
        <v>-520.12900000000002</v>
      </c>
      <c r="O16" s="3109">
        <f>IF(SUM(M16:N16)=0,M16,SUM(M16:N16))</f>
        <v>-520.12900000000002</v>
      </c>
      <c r="P16" s="2905">
        <v>-107.49999999999999</v>
      </c>
      <c r="Q16" s="2906">
        <v>-191.73500000000001</v>
      </c>
      <c r="R16" s="2906" t="s">
        <v>2153</v>
      </c>
      <c r="S16" s="3570">
        <f>IF(SUM(O16:R16)=0,Q16,SUM(O16:R16)*-44/12)</f>
        <v>3004.3346666666671</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66.794379665128488</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66.794379665128488</v>
      </c>
    </row>
    <row r="270" spans="2:10" ht="18" customHeight="1" x14ac:dyDescent="0.2">
      <c r="B270" s="2827" t="s">
        <v>1187</v>
      </c>
      <c r="C270" s="2828"/>
      <c r="D270" s="2808"/>
      <c r="E270" s="2809"/>
      <c r="F270" s="2810"/>
      <c r="G270" s="2811"/>
      <c r="H270" s="2819" t="s">
        <v>2154</v>
      </c>
      <c r="I270" s="2815" t="s">
        <v>2154</v>
      </c>
      <c r="J270" s="3741">
        <f>J277</f>
        <v>65.114957365302104</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625.80014259239169</v>
      </c>
      <c r="E277" s="2755" t="s">
        <v>2147</v>
      </c>
      <c r="F277" s="2753" t="s">
        <v>2147</v>
      </c>
      <c r="G277" s="3735">
        <f>IF(SUM(D277)=0,"NA",J277*1000/D277)</f>
        <v>104.0507231199435</v>
      </c>
      <c r="H277" s="2778" t="str">
        <f t="shared" ref="H277:J277" si="1">H302</f>
        <v>NE</v>
      </c>
      <c r="I277" s="2777" t="str">
        <f t="shared" si="1"/>
        <v>NE</v>
      </c>
      <c r="J277" s="3734">
        <f t="shared" si="1"/>
        <v>65.114957365302104</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333.04825601066665</v>
      </c>
      <c r="E281" s="2755" t="str">
        <f t="shared" si="2"/>
        <v>NA</v>
      </c>
      <c r="F281" s="2753" t="str">
        <f t="shared" si="2"/>
        <v>NA</v>
      </c>
      <c r="G281" s="3735">
        <f t="shared" si="2"/>
        <v>122.36769926303793</v>
      </c>
      <c r="H281" s="2780" t="str">
        <f t="shared" ref="H281" si="3">H306</f>
        <v>NA</v>
      </c>
      <c r="I281" s="2758" t="str">
        <f t="shared" ref="I281:J281" si="4">I306</f>
        <v>NA</v>
      </c>
      <c r="J281" s="3744">
        <f t="shared" si="4"/>
        <v>40.754348831592523</v>
      </c>
    </row>
    <row r="282" spans="2:10" ht="18" customHeight="1" outlineLevel="1" x14ac:dyDescent="0.2">
      <c r="B282" s="2847" t="str">
        <f>B307</f>
        <v>Other Constructed Water Bodies</v>
      </c>
      <c r="C282" s="2835" t="str">
        <f t="shared" si="2"/>
        <v>Other Constructed Water Bodies</v>
      </c>
      <c r="D282" s="3729">
        <f t="shared" si="2"/>
        <v>292.75188658172505</v>
      </c>
      <c r="E282" s="2755" t="str">
        <f t="shared" si="2"/>
        <v>NA</v>
      </c>
      <c r="F282" s="2753" t="str">
        <f t="shared" si="2"/>
        <v>NA</v>
      </c>
      <c r="G282" s="3735">
        <f t="shared" si="2"/>
        <v>83.212473259020413</v>
      </c>
      <c r="H282" s="2845" t="str">
        <f t="shared" ref="H282" si="5">H307</f>
        <v>NA</v>
      </c>
      <c r="I282" s="2846" t="str">
        <f t="shared" ref="I282:J282" si="6">I307</f>
        <v>NA</v>
      </c>
      <c r="J282" s="3744">
        <f t="shared" si="6"/>
        <v>24.360608533709573</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65.114957365302104</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625.80014259239169</v>
      </c>
      <c r="E302" s="2755" t="s">
        <v>2147</v>
      </c>
      <c r="F302" s="2753" t="s">
        <v>2147</v>
      </c>
      <c r="G302" s="3735">
        <f>IF(SUM(D302)=0,"NA",J302*1000/D302)</f>
        <v>104.0507231199435</v>
      </c>
      <c r="H302" s="2778" t="s">
        <v>2154</v>
      </c>
      <c r="I302" s="2777" t="s">
        <v>2154</v>
      </c>
      <c r="J302" s="3734">
        <f t="shared" ref="J302" si="7">IF(SUM(J306:J307)=0,"NO",SUM(J306:J307))</f>
        <v>65.114957365302104</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333.04825601066665</v>
      </c>
      <c r="E306" s="2755" t="s">
        <v>2147</v>
      </c>
      <c r="F306" s="2753" t="s">
        <v>2147</v>
      </c>
      <c r="G306" s="3735">
        <f>IF(SUM(D306)=0,"NA",J306*1000/D306)</f>
        <v>122.36769926303793</v>
      </c>
      <c r="H306" s="2780" t="s">
        <v>2147</v>
      </c>
      <c r="I306" s="2758" t="s">
        <v>2147</v>
      </c>
      <c r="J306" s="3744">
        <v>40.754348831592523</v>
      </c>
    </row>
    <row r="307" spans="2:10" ht="18" customHeight="1" outlineLevel="2" x14ac:dyDescent="0.2">
      <c r="B307" s="2847" t="s">
        <v>2245</v>
      </c>
      <c r="C307" s="2835" t="s">
        <v>2245</v>
      </c>
      <c r="D307" s="3732">
        <v>292.75188658172505</v>
      </c>
      <c r="E307" s="2755" t="s">
        <v>2147</v>
      </c>
      <c r="F307" s="2753" t="s">
        <v>2147</v>
      </c>
      <c r="G307" s="3735">
        <f>IF(SUM(D307)=0,"NA",J307*1000/D307)</f>
        <v>83.212473259020413</v>
      </c>
      <c r="H307" s="2780" t="s">
        <v>2147</v>
      </c>
      <c r="I307" s="2758" t="s">
        <v>2147</v>
      </c>
      <c r="J307" s="3744">
        <v>24.360608533709573</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1.6794222998263888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10.677425347222222</v>
      </c>
      <c r="E327" s="2776" t="str">
        <f t="shared" ref="E327:J327" si="8">E331</f>
        <v>NA</v>
      </c>
      <c r="F327" s="2777" t="str">
        <f t="shared" si="8"/>
        <v>NA</v>
      </c>
      <c r="G327" s="3737">
        <f t="shared" si="8"/>
        <v>157.28719660524695</v>
      </c>
      <c r="H327" s="2778" t="str">
        <f t="shared" si="8"/>
        <v>IE</v>
      </c>
      <c r="I327" s="2777" t="str">
        <f t="shared" si="8"/>
        <v>NA</v>
      </c>
      <c r="J327" s="3734">
        <f t="shared" si="8"/>
        <v>1.6794222998263888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10.677425347222222</v>
      </c>
      <c r="E331" s="2755" t="str">
        <f t="shared" si="9"/>
        <v>NA</v>
      </c>
      <c r="F331" s="2753" t="str">
        <f t="shared" si="9"/>
        <v>NA</v>
      </c>
      <c r="G331" s="3735">
        <f t="shared" si="9"/>
        <v>157.28719660524695</v>
      </c>
      <c r="H331" s="2765" t="str">
        <f t="shared" si="9"/>
        <v>IE</v>
      </c>
      <c r="I331" s="2758" t="str">
        <f t="shared" si="9"/>
        <v>NA</v>
      </c>
      <c r="J331" s="3744">
        <f t="shared" si="9"/>
        <v>1.6794222998263888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1.6794222998263888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10.677425347222222</v>
      </c>
      <c r="E411" s="2776" t="str">
        <f t="shared" ref="E411:J411" si="10">E415</f>
        <v>NA</v>
      </c>
      <c r="F411" s="2777" t="str">
        <f t="shared" si="10"/>
        <v>NA</v>
      </c>
      <c r="G411" s="3737">
        <f t="shared" si="10"/>
        <v>157.28719660524695</v>
      </c>
      <c r="H411" s="2778" t="str">
        <f t="shared" si="10"/>
        <v>IE</v>
      </c>
      <c r="I411" s="2777" t="str">
        <f t="shared" si="10"/>
        <v>NA</v>
      </c>
      <c r="J411" s="3734">
        <f t="shared" si="10"/>
        <v>1.6794222998263888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10.677425347222222</v>
      </c>
      <c r="E415" s="2755" t="str">
        <f>E427</f>
        <v>NA</v>
      </c>
      <c r="F415" s="2753" t="str">
        <f>F427</f>
        <v>NA</v>
      </c>
      <c r="G415" s="3735">
        <f t="shared" ref="G415:J415" si="11">G427</f>
        <v>157.28719660524695</v>
      </c>
      <c r="H415" s="2780" t="str">
        <f t="shared" si="11"/>
        <v>IE</v>
      </c>
      <c r="I415" s="2758" t="str">
        <f t="shared" si="11"/>
        <v>NA</v>
      </c>
      <c r="J415" s="3744">
        <f t="shared" si="11"/>
        <v>1.6794222998263888</v>
      </c>
    </row>
    <row r="416" spans="2:10" ht="18" customHeight="1" outlineLevel="2" x14ac:dyDescent="0.2">
      <c r="B416" s="2842" t="s">
        <v>1199</v>
      </c>
      <c r="C416" s="2828"/>
      <c r="D416" s="3731"/>
      <c r="E416" s="2809"/>
      <c r="F416" s="2810"/>
      <c r="G416" s="3738"/>
      <c r="H416" s="2819" t="s">
        <v>2154</v>
      </c>
      <c r="I416" s="2815" t="s">
        <v>2154</v>
      </c>
      <c r="J416" s="3741">
        <f>J423</f>
        <v>1.6794222998263888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10.677425347222222</v>
      </c>
      <c r="E423" s="2776" t="str">
        <f t="shared" ref="E423:J423" si="12">E427</f>
        <v>NA</v>
      </c>
      <c r="F423" s="2777" t="str">
        <f t="shared" si="12"/>
        <v>NA</v>
      </c>
      <c r="G423" s="3737">
        <f t="shared" si="12"/>
        <v>157.28719660524695</v>
      </c>
      <c r="H423" s="2778" t="str">
        <f t="shared" si="12"/>
        <v>IE</v>
      </c>
      <c r="I423" s="2777" t="str">
        <f t="shared" si="12"/>
        <v>NA</v>
      </c>
      <c r="J423" s="3734">
        <f t="shared" si="12"/>
        <v>1.6794222998263888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10.677425347222222</v>
      </c>
      <c r="E427" s="2755" t="s">
        <v>2147</v>
      </c>
      <c r="F427" s="2753" t="s">
        <v>2147</v>
      </c>
      <c r="G427" s="3735">
        <f>IF(SUM(D427)=0,"NA",J427*1000/D427)</f>
        <v>157.28719660524695</v>
      </c>
      <c r="H427" s="2780" t="s">
        <v>2153</v>
      </c>
      <c r="I427" s="2758" t="s">
        <v>2147</v>
      </c>
      <c r="J427" s="3744">
        <v>1.6794222998263888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657084.88904659229</v>
      </c>
      <c r="D10" s="4332">
        <f>IF(SUM(D11,D20,D28,D37,D46,D55)=0,"NO",SUM(D11,D20,D28,D37,D46,D55))</f>
        <v>61360.126480752275</v>
      </c>
      <c r="E10" s="4333">
        <f t="shared" ref="E10:E12" si="0">IF(SUM(C10)=0,"NA",G10/C10*1000/(44/28))</f>
        <v>2.0793987445818754E-3</v>
      </c>
      <c r="F10" s="4332">
        <f t="shared" ref="F10:F11" si="1">IF(SUM(D10)=0,"NA",H10/D10*1000/(44/28))</f>
        <v>7.4999999999999997E-3</v>
      </c>
      <c r="G10" s="4331">
        <f>IF(SUM(G11,G20,G28,G37,G46,G55)=0,"NO",SUM(G11,G20,G28,G37,G46,G55))</f>
        <v>2.1471080610056075</v>
      </c>
      <c r="H10" s="4334">
        <f>IF(SUM(H11,H20,H28,H37,H46,H55)=0,"NO",SUM(H11,H20,H28,H37,H46,H55))</f>
        <v>0.72317291923743743</v>
      </c>
      <c r="I10" s="4335">
        <f t="shared" ref="I10:I11" si="2">IF(SUM(G10:H10)=0,"NO",SUM(G10:H10))</f>
        <v>2.8702809802430451</v>
      </c>
    </row>
    <row r="11" spans="2:10" ht="18" customHeight="1" x14ac:dyDescent="0.2">
      <c r="B11" s="2848" t="s">
        <v>1901</v>
      </c>
      <c r="C11" s="4336">
        <f>IF(SUM(C12:C13)=0,"NO",SUM(C12:C13))</f>
        <v>131045.72468173283</v>
      </c>
      <c r="D11" s="4337">
        <f>IF(SUM(D12:D13)=0,"NO",SUM(D12:D13))</f>
        <v>18145.432343280772</v>
      </c>
      <c r="E11" s="4336">
        <f t="shared" si="0"/>
        <v>2.1743356970080284E-3</v>
      </c>
      <c r="F11" s="4337">
        <f t="shared" si="1"/>
        <v>7.5000000000000006E-3</v>
      </c>
      <c r="G11" s="4336">
        <f>IF(SUM(G12:G13)=0,"NO",SUM(G12:G13))</f>
        <v>0.44775876689622218</v>
      </c>
      <c r="H11" s="4338">
        <f>IF(SUM(H12:H13)=0,"NO",SUM(H12:H13))</f>
        <v>0.21385688118866628</v>
      </c>
      <c r="I11" s="4337">
        <f t="shared" si="2"/>
        <v>0.66161564808488849</v>
      </c>
    </row>
    <row r="12" spans="2:10" ht="18" customHeight="1" x14ac:dyDescent="0.2">
      <c r="B12" s="914" t="s">
        <v>1228</v>
      </c>
      <c r="C12" s="4339">
        <f>Table4.A!E11</f>
        <v>121919.900002963</v>
      </c>
      <c r="D12" s="4340">
        <f>H12/F12*1000/(44/28)</f>
        <v>7070.6900232887519</v>
      </c>
      <c r="E12" s="4341">
        <f t="shared" si="0"/>
        <v>5.1849594104025701E-4</v>
      </c>
      <c r="F12" s="4342">
        <v>7.4999999999999997E-3</v>
      </c>
      <c r="G12" s="4339">
        <v>9.9337815159896245E-2</v>
      </c>
      <c r="H12" s="4343">
        <v>8.3333132417331701E-2</v>
      </c>
      <c r="I12" s="4344">
        <f>IF(SUM(G12:H12)=0,"NO",SUM(G12:H12))</f>
        <v>0.18267094757722796</v>
      </c>
    </row>
    <row r="13" spans="2:10" ht="18" customHeight="1" x14ac:dyDescent="0.2">
      <c r="B13" s="914" t="s">
        <v>1902</v>
      </c>
      <c r="C13" s="4345">
        <f>IF(SUM(C15:C19)=0,"NO",SUM(C15:C19))</f>
        <v>9125.8246787698281</v>
      </c>
      <c r="D13" s="4344">
        <f>IF(SUM(D15:D19)=0,"NO",SUM(D15:D19))</f>
        <v>11074.742319992021</v>
      </c>
      <c r="E13" s="4345">
        <f>IF(SUM(C13)=0,"NA",G13/C13*1000/(44/28))</f>
        <v>2.4296152034130013E-2</v>
      </c>
      <c r="F13" s="4344">
        <f>IF(SUM(D13)=0,"NA",H13/D13*1000/(44/28))</f>
        <v>7.5000000000000015E-3</v>
      </c>
      <c r="G13" s="4345">
        <f>IF(SUM(G15:G19)=0,"NO",SUM(G15:G19))</f>
        <v>0.34842095173632592</v>
      </c>
      <c r="H13" s="4346">
        <f>IF(SUM(H15:H19)=0,"NO",SUM(H15:H19))</f>
        <v>0.13052374877133457</v>
      </c>
      <c r="I13" s="4344">
        <f>IF(SUM(G13:H13)=0,"NO",SUM(G13:H13))</f>
        <v>0.47894470050766047</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55.331000000000003</v>
      </c>
      <c r="D15" s="4340">
        <f>H15/F15*1000/(44/28)</f>
        <v>101.13171867083376</v>
      </c>
      <c r="E15" s="4345">
        <f>IF(SUM(C15)=0,"NA",G15/C15*1000/(44/28))</f>
        <v>4.2090329110263683E-2</v>
      </c>
      <c r="F15" s="4342">
        <v>7.4999999999999997E-3</v>
      </c>
      <c r="G15" s="4350">
        <v>3.6597000000000001E-3</v>
      </c>
      <c r="H15" s="4351">
        <v>1.1919095414776835E-3</v>
      </c>
      <c r="I15" s="4344">
        <f>IF(SUM(G15:H15)=0,"NO",SUM(G15:H15))</f>
        <v>4.8516095414776837E-3</v>
      </c>
    </row>
    <row r="16" spans="2:10" ht="18" customHeight="1" x14ac:dyDescent="0.2">
      <c r="B16" s="528" t="s">
        <v>1230</v>
      </c>
      <c r="C16" s="4350">
        <f>Table4.A!E19</f>
        <v>9023.6356787698278</v>
      </c>
      <c r="D16" s="4340">
        <f>H16/F16*1000/(44/28)</f>
        <v>10817.305477323689</v>
      </c>
      <c r="E16" s="4345">
        <f t="shared" ref="E16:E21" si="3">IF(SUM(C16)=0,"NA",G16/C16*1000/(44/28))</f>
        <v>2.3869418953341166E-2</v>
      </c>
      <c r="F16" s="4342">
        <v>7.4999999999999997E-3</v>
      </c>
      <c r="G16" s="4350">
        <v>0.33846833506965929</v>
      </c>
      <c r="H16" s="4351">
        <v>0.12748967169702921</v>
      </c>
      <c r="I16" s="4344">
        <f t="shared" ref="I16:I21" si="4">IF(SUM(G16:H16)=0,"NO",SUM(G16:H16))</f>
        <v>0.46595800676668853</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46.857999999999997</v>
      </c>
      <c r="D18" s="4340">
        <f>H18/F18*1000/(44/28)</f>
        <v>156.30512399749998</v>
      </c>
      <c r="E18" s="4345">
        <f t="shared" si="3"/>
        <v>8.5462105367991259E-2</v>
      </c>
      <c r="F18" s="4342">
        <v>7.4999999999999997E-3</v>
      </c>
      <c r="G18" s="4350">
        <v>6.2929166666666671E-3</v>
      </c>
      <c r="H18" s="4351">
        <v>1.8421675328276783E-3</v>
      </c>
      <c r="I18" s="4344">
        <f t="shared" si="4"/>
        <v>8.1350841994943454E-3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2282.248</v>
      </c>
      <c r="D20" s="4360">
        <f>D21</f>
        <v>2384.1585440416361</v>
      </c>
      <c r="E20" s="4359">
        <f t="shared" si="3"/>
        <v>2.2711591086215576E-2</v>
      </c>
      <c r="F20" s="4360">
        <f t="shared" si="5"/>
        <v>7.4999999999999997E-3</v>
      </c>
      <c r="G20" s="4359">
        <f>G21</f>
        <v>8.1452616666666658E-2</v>
      </c>
      <c r="H20" s="4361">
        <f>H21</f>
        <v>2.809901141191928E-2</v>
      </c>
      <c r="I20" s="4360">
        <f t="shared" si="4"/>
        <v>0.10955162807858594</v>
      </c>
    </row>
    <row r="21" spans="2:9" ht="18" customHeight="1" x14ac:dyDescent="0.2">
      <c r="B21" s="914" t="s">
        <v>1904</v>
      </c>
      <c r="C21" s="4345">
        <f>IF(SUM(C23:C27)=0,"NO",SUM(C23:C27))</f>
        <v>2282.248</v>
      </c>
      <c r="D21" s="4344">
        <f>IF(SUM(D23:D27)=0,"NO",SUM(D23:D27))</f>
        <v>2384.1585440416361</v>
      </c>
      <c r="E21" s="4345">
        <f t="shared" si="3"/>
        <v>2.2711591086215576E-2</v>
      </c>
      <c r="F21" s="4344">
        <f t="shared" si="5"/>
        <v>7.4999999999999997E-3</v>
      </c>
      <c r="G21" s="4345">
        <f>IF(SUM(G23:G27)=0,"NO",SUM(G23:G27))</f>
        <v>8.1452616666666658E-2</v>
      </c>
      <c r="H21" s="4346">
        <f>IF(SUM(H23:H27)=0,"NO",SUM(H23:H27))</f>
        <v>2.809901141191928E-2</v>
      </c>
      <c r="I21" s="4344">
        <f t="shared" si="4"/>
        <v>0.10955162807858594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2282.248</v>
      </c>
      <c r="D23" s="4340">
        <f>H23/F23*1000/(44/28)</f>
        <v>2384.1585440416361</v>
      </c>
      <c r="E23" s="4345">
        <f>IF(SUM(C23)=0,"NA",G23/C23*1000/(44/28))</f>
        <v>2.2711591086215576E-2</v>
      </c>
      <c r="F23" s="4342">
        <v>7.4999999999999997E-3</v>
      </c>
      <c r="G23" s="4350">
        <v>8.1452616666666658E-2</v>
      </c>
      <c r="H23" s="4351">
        <v>2.809901141191928E-2</v>
      </c>
      <c r="I23" s="4344">
        <f>IF(SUM(G23:H23)=0,"NO",SUM(G23:H23))</f>
        <v>0.10955162807858594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522371.65917304042</v>
      </c>
      <c r="D28" s="4337">
        <f>IF(SUM(D29:D30)=0,"NO",SUM(D29:D30))</f>
        <v>39954.21228328596</v>
      </c>
      <c r="E28" s="4336">
        <f t="shared" si="6"/>
        <v>1.9272563331830235E-3</v>
      </c>
      <c r="F28" s="4337">
        <f t="shared" si="7"/>
        <v>7.4999999999999997E-3</v>
      </c>
      <c r="G28" s="4336">
        <f>IF(SUM(G29:G30)=0,"NO",SUM(G29:G30))</f>
        <v>1.5820264246546039</v>
      </c>
      <c r="H28" s="4338">
        <f>IF(SUM(H29:H30)=0,"NO",SUM(H29:H30))</f>
        <v>0.47088893048158448</v>
      </c>
      <c r="I28" s="4360">
        <f t="shared" si="8"/>
        <v>2.0529153551361885</v>
      </c>
    </row>
    <row r="29" spans="2:9" ht="18" customHeight="1" x14ac:dyDescent="0.2">
      <c r="B29" s="914" t="s">
        <v>1239</v>
      </c>
      <c r="C29" s="4339">
        <f>Table4.C!E11</f>
        <v>508667.74696593097</v>
      </c>
      <c r="D29" s="4340">
        <f>H29/F29*1000/(44/28)</f>
        <v>30370.875734145146</v>
      </c>
      <c r="E29" s="4341">
        <f t="shared" si="6"/>
        <v>1.2821497423267593E-3</v>
      </c>
      <c r="F29" s="4342">
        <v>7.4999999999999997E-3</v>
      </c>
      <c r="G29" s="4339">
        <v>1.0248672039607598</v>
      </c>
      <c r="H29" s="4343">
        <v>0.35794246400956775</v>
      </c>
      <c r="I29" s="4344">
        <f t="shared" si="8"/>
        <v>1.3828096679703274</v>
      </c>
    </row>
    <row r="30" spans="2:9" ht="18" customHeight="1" x14ac:dyDescent="0.2">
      <c r="B30" s="914" t="s">
        <v>1906</v>
      </c>
      <c r="C30" s="4345">
        <f>IF(SUM(C32:C36)=0,"NO",SUM(C32:C36))</f>
        <v>13703.912207109472</v>
      </c>
      <c r="D30" s="4344">
        <f>IF(SUM(D32:D36)=0,"NO",SUM(D32:D36))</f>
        <v>9583.3365491408131</v>
      </c>
      <c r="E30" s="4345">
        <f>IF(SUM(C30)=0,"NA",G30/C30*1000/(44/28))</f>
        <v>2.5872602097547295E-2</v>
      </c>
      <c r="F30" s="4344">
        <f>IF(SUM(D30)=0,"NA",H30/D30*1000/(44/28))</f>
        <v>7.4999999999999997E-3</v>
      </c>
      <c r="G30" s="4345">
        <f>IF(SUM(G32:G36)=0,"NO",SUM(G32:G36))</f>
        <v>0.55715922069384416</v>
      </c>
      <c r="H30" s="4346">
        <f>IF(SUM(H32:H36)=0,"NO",SUM(H32:H36))</f>
        <v>0.11294646647201673</v>
      </c>
      <c r="I30" s="4344">
        <f t="shared" si="8"/>
        <v>0.67010568716586083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13703.912207109472</v>
      </c>
      <c r="D32" s="4340">
        <f>H32/F32*1000/(44/28)</f>
        <v>9583.3365491408131</v>
      </c>
      <c r="E32" s="4345">
        <f>IF(SUM(C32)=0,"NA",G32/C32*1000/(44/28))</f>
        <v>2.5872602097547295E-2</v>
      </c>
      <c r="F32" s="4342">
        <v>7.4999999999999997E-3</v>
      </c>
      <c r="G32" s="4350">
        <v>0.55715922069384416</v>
      </c>
      <c r="H32" s="4351">
        <v>0.11294646647201673</v>
      </c>
      <c r="I32" s="4344">
        <f t="shared" si="8"/>
        <v>0.67010568716586083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1385.2571918190001</v>
      </c>
      <c r="D46" s="4337">
        <f>IF(SUM(D47:D48)=0,"NO",SUM(D47:D48))</f>
        <v>876.32331014390184</v>
      </c>
      <c r="E46" s="4336">
        <f t="shared" si="11"/>
        <v>1.6478185160369824E-2</v>
      </c>
      <c r="F46" s="4337">
        <f t="shared" si="12"/>
        <v>7.4999999999999997E-3</v>
      </c>
      <c r="G46" s="4336">
        <f>IF(SUM(G47:G48)=0,"NO",SUM(G47:G48))</f>
        <v>3.5870252788114523E-2</v>
      </c>
      <c r="H46" s="4338">
        <f>IF(SUM(H47:H48)=0,"NO",SUM(H47:H48))</f>
        <v>1.0328096155267414E-2</v>
      </c>
      <c r="I46" s="4337">
        <f t="shared" si="8"/>
        <v>4.6198348943381935E-2</v>
      </c>
    </row>
    <row r="47" spans="2:9" ht="18" customHeight="1" x14ac:dyDescent="0.2">
      <c r="B47" s="914" t="s">
        <v>1251</v>
      </c>
      <c r="C47" s="4339">
        <f>Table4.E!E11</f>
        <v>991.445191819</v>
      </c>
      <c r="D47" s="4340">
        <f>H47/F47*1000/(44/28)</f>
        <v>33.657279104626248</v>
      </c>
      <c r="E47" s="4341">
        <f t="shared" si="11"/>
        <v>4.6138825622304633E-4</v>
      </c>
      <c r="F47" s="4342">
        <v>7.4999999999999997E-3</v>
      </c>
      <c r="G47" s="4339">
        <v>7.1883612144785897E-4</v>
      </c>
      <c r="H47" s="4343">
        <v>3.9667507516166647E-4</v>
      </c>
      <c r="I47" s="4344">
        <f t="shared" si="8"/>
        <v>1.1155111966095256E-3</v>
      </c>
    </row>
    <row r="48" spans="2:9" ht="18" customHeight="1" x14ac:dyDescent="0.2">
      <c r="B48" s="914" t="s">
        <v>1910</v>
      </c>
      <c r="C48" s="4345">
        <f>IF(SUM(C50:C54)=0,"NO",SUM(C50:C54))</f>
        <v>393.81200000000001</v>
      </c>
      <c r="D48" s="4344">
        <f>IF(SUM(D50:D54)=0,"NO",SUM(D50:D54))</f>
        <v>842.66603103927559</v>
      </c>
      <c r="E48" s="4345">
        <f>IF(SUM(C48)=0,"NA",G48/C48*1000/(44/28))</f>
        <v>5.6801426399737259E-2</v>
      </c>
      <c r="F48" s="4344">
        <f>IF(SUM(D48)=0,"NA",H48/D48*1000/(44/28))</f>
        <v>7.4999999999999997E-3</v>
      </c>
      <c r="G48" s="4345">
        <f>IF(SUM(G50:G54)=0,"NO",SUM(G50:G54))</f>
        <v>3.5151416666666664E-2</v>
      </c>
      <c r="H48" s="4346">
        <f>IF(SUM(H50:H54)=0,"NO",SUM(H50:H54))</f>
        <v>9.9314210801057477E-3</v>
      </c>
      <c r="I48" s="4344">
        <f t="shared" si="8"/>
        <v>4.5082837746772408E-2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393.81200000000001</v>
      </c>
      <c r="D50" s="4340">
        <f>H50/F50*1000/(44/28)</f>
        <v>842.66603103927559</v>
      </c>
      <c r="E50" s="4345">
        <f>IF(SUM(C50)=0,"NA",G50/C50*1000/(44/28))</f>
        <v>5.6801426399737259E-2</v>
      </c>
      <c r="F50" s="4342">
        <v>7.4999999999999997E-3</v>
      </c>
      <c r="G50" s="4350">
        <v>3.5151416666666664E-2</v>
      </c>
      <c r="H50" s="4351">
        <v>9.9314210801057477E-3</v>
      </c>
      <c r="I50" s="4344">
        <f t="shared" si="8"/>
        <v>4.5082837746772408E-2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5271549.4407921759</v>
      </c>
      <c r="D10" s="3076" t="s">
        <v>1814</v>
      </c>
      <c r="E10" s="628"/>
      <c r="F10" s="628"/>
      <c r="G10" s="628"/>
      <c r="H10" s="1913">
        <f>IF(SUM(H11:H15)=0,"NO",SUM(H11:H15))</f>
        <v>370963.40705041459</v>
      </c>
      <c r="I10" s="1913">
        <f t="shared" ref="I10:K10" si="0">IF(SUM(I11:I16)=0,"NO",SUM(I11:I16))</f>
        <v>81.359383932283663</v>
      </c>
      <c r="J10" s="1913">
        <f t="shared" si="0"/>
        <v>12.637035243069617</v>
      </c>
      <c r="K10" s="3085" t="str">
        <f t="shared" si="0"/>
        <v>NO</v>
      </c>
    </row>
    <row r="11" spans="2:11" ht="18" customHeight="1" x14ac:dyDescent="0.2">
      <c r="B11" s="282" t="s">
        <v>132</v>
      </c>
      <c r="C11" s="3086">
        <f>IF(SUM(C18,'Table1.A(a)s2'!C11,'Table1.A(a)s3'!C11,'Table1.A(a)s4'!C11,'Table1.A(a)s4'!C94)=0,"NO",SUM(C18,'Table1.A(a)s2'!C11,'Table1.A(a)s3'!C11,'Table1.A(a)s4'!C11,'Table1.A(a)s4'!C94))</f>
        <v>1742821.5079701</v>
      </c>
      <c r="D11" s="3077" t="s">
        <v>2145</v>
      </c>
      <c r="E11" s="1913">
        <f>IFERROR(H11*1000/$C11,"NA")</f>
        <v>68.238010616178414</v>
      </c>
      <c r="F11" s="1913">
        <f t="shared" ref="F11:G16" si="1">IFERROR(I11*1000000/$C11,"NA")</f>
        <v>11.995042388952903</v>
      </c>
      <c r="G11" s="1913">
        <f t="shared" si="1"/>
        <v>4.4900783445270251</v>
      </c>
      <c r="H11" s="1913">
        <f>IF(SUM(H18,'Table1.A(a)s2'!H11,'Table1.A(a)s3'!H11,'Table1.A(a)s4'!H11,'Table1.A(a)s4'!H94)=0,"NO",SUM(H18,'Table1.A(a)s2'!H11,'Table1.A(a)s3'!H11,'Table1.A(a)s4'!H11,'Table1.A(a)s4'!H94))</f>
        <v>118926.67256296775</v>
      </c>
      <c r="I11" s="1913">
        <f>IF(SUM(I18,'Table1.A(a)s2'!I11,'Table1.A(a)s3'!I11,'Table1.A(a)s4'!I11,'Table1.A(a)s4'!I94)=0,"NO",SUM(I18,'Table1.A(a)s2'!I11,'Table1.A(a)s3'!I11,'Table1.A(a)s4'!I11,'Table1.A(a)s4'!I94))</f>
        <v>20.905217864480171</v>
      </c>
      <c r="J11" s="1913">
        <f>IF(SUM(J18,'Table1.A(a)s2'!J11,'Table1.A(a)s3'!J11,'Table1.A(a)s4'!J11,'Table1.A(a)s4'!J94)=0,"NO",SUM(J18,'Table1.A(a)s2'!J11,'Table1.A(a)s3'!J11,'Table1.A(a)s4'!J11,'Table1.A(a)s4'!J94))</f>
        <v>7.8254051113124801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2166033.8005132349</v>
      </c>
      <c r="D12" s="3077" t="s">
        <v>1814</v>
      </c>
      <c r="E12" s="1913">
        <f t="shared" ref="E12:E16" si="2">IFERROR(H12*1000/$C12,"NA")</f>
        <v>89.319049812443154</v>
      </c>
      <c r="F12" s="1913">
        <f t="shared" si="1"/>
        <v>0.68591478805301531</v>
      </c>
      <c r="G12" s="1913">
        <f t="shared" si="1"/>
        <v>1.2586170198098663</v>
      </c>
      <c r="H12" s="1913">
        <f>IF(SUM(H19,'Table1.A(a)s2'!H12,'Table1.A(a)s3'!H12,'Table1.A(a)s4'!H12,'Table1.A(a)s4'!H95)=0,"NO",SUM(H19,'Table1.A(a)s2'!H12,'Table1.A(a)s3'!H12,'Table1.A(a)s4'!H12,'Table1.A(a)s4'!H95))</f>
        <v>193468.08092347719</v>
      </c>
      <c r="I12" s="1913">
        <f>IF(SUM(I19,'Table1.A(a)s2'!I12,'Table1.A(a)s3'!I12,'Table1.A(a)s4'!I12,'Table1.A(a)s4'!I95)=0,"NO",SUM(I19,'Table1.A(a)s2'!I12,'Table1.A(a)s3'!I12,'Table1.A(a)s4'!I12,'Table1.A(a)s4'!I95))</f>
        <v>1.4857146151947027</v>
      </c>
      <c r="J12" s="1913">
        <f>IF(SUM(J19,'Table1.A(a)s2'!J12,'Table1.A(a)s3'!J12,'Table1.A(a)s4'!J12,'Table1.A(a)s4'!J95)=0,"NO",SUM(J19,'Table1.A(a)s2'!J12,'Table1.A(a)s3'!J12,'Table1.A(a)s4'!J12,'Table1.A(a)s4'!J95))</f>
        <v>2.726207006809406</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1138072.8863727574</v>
      </c>
      <c r="D13" s="3077" t="s">
        <v>2145</v>
      </c>
      <c r="E13" s="1913">
        <f t="shared" si="2"/>
        <v>51.461830689692029</v>
      </c>
      <c r="F13" s="1913">
        <f t="shared" si="1"/>
        <v>9.7098318058796593</v>
      </c>
      <c r="G13" s="1913">
        <f t="shared" si="1"/>
        <v>0.9216525085642373</v>
      </c>
      <c r="H13" s="1913">
        <f>IF(SUM(H20,'Table1.A(a)s2'!H13,'Table1.A(a)s3'!H13,'Table1.A(a)s4'!H13,'Table1.A(a)s4'!H96)=0,"NO",SUM(H20,'Table1.A(a)s2'!H13,'Table1.A(a)s3'!H13,'Table1.A(a)s4'!H13,'Table1.A(a)s4'!H96))</f>
        <v>58567.314191043959</v>
      </c>
      <c r="I13" s="1913">
        <f>IF(SUM(I20,'Table1.A(a)s2'!I13,'Table1.A(a)s3'!I13,'Table1.A(a)s4'!I13,'Table1.A(a)s4'!I96)=0,"NO",SUM(I20,'Table1.A(a)s2'!I13,'Table1.A(a)s3'!I13,'Table1.A(a)s4'!I13,'Table1.A(a)s4'!I96))</f>
        <v>11.050496309511468</v>
      </c>
      <c r="J13" s="1913">
        <f>IF(SUM(J20,'Table1.A(a)s2'!J13,'Table1.A(a)s3'!J13,'Table1.A(a)s4'!J13,'Table1.A(a)s4'!J96)=0,"NO",SUM(J20,'Table1.A(a)s2'!J13,'Table1.A(a)s3'!J13,'Table1.A(a)s4'!J13,'Table1.A(a)s4'!J96))</f>
        <v>1.0489077306543941</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18.272481933407171</v>
      </c>
      <c r="D14" s="3077" t="s">
        <v>2145</v>
      </c>
      <c r="E14" s="1913">
        <f t="shared" si="2"/>
        <v>73.300000000000168</v>
      </c>
      <c r="F14" s="1913" t="str">
        <f t="shared" si="1"/>
        <v>NA</v>
      </c>
      <c r="G14" s="1913" t="str">
        <f t="shared" si="1"/>
        <v>NA</v>
      </c>
      <c r="H14" s="1913">
        <f>IF(SUM(H21,'Table1.A(a)s2'!H14,'Table1.A(a)s3'!H14,'Table1.A(a)s4'!H14,'Table1.A(a)s4'!H97)=0,"NO",SUM(H21,'Table1.A(a)s2'!H14,'Table1.A(a)s3'!H14,'Table1.A(a)s4'!H14,'Table1.A(a)s4'!H97))</f>
        <v>1.3393729257187488</v>
      </c>
      <c r="I14" s="1913" t="str">
        <f>IF(SUM(I21,'Table1.A(a)s2'!I14,'Table1.A(a)s3'!I14,'Table1.A(a)s4'!I14,'Table1.A(a)s4'!I97)=0,"NO",SUM(I21,'Table1.A(a)s2'!I14,'Table1.A(a)s3'!I14,'Table1.A(a)s4'!I14,'Table1.A(a)s4'!I97))</f>
        <v>NO</v>
      </c>
      <c r="J14" s="1913" t="str">
        <f>IF(SUM(J21,'Table1.A(a)s2'!J14,'Table1.A(a)s3'!J14,'Table1.A(a)s4'!J14,'Table1.A(a)s4'!J97)=0,"NO",SUM(J21,'Table1.A(a)s2'!J14,'Table1.A(a)s3'!J14,'Table1.A(a)s4'!J14,'Table1.A(a)s4'!J97))</f>
        <v>NO</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224602.97345415031</v>
      </c>
      <c r="D16" s="3079" t="s">
        <v>2145</v>
      </c>
      <c r="E16" s="2880">
        <f t="shared" si="2"/>
        <v>87.583780656554339</v>
      </c>
      <c r="F16" s="1913">
        <f t="shared" si="1"/>
        <v>213.34515036097304</v>
      </c>
      <c r="G16" s="1913">
        <f t="shared" si="1"/>
        <v>4.6148783266439164</v>
      </c>
      <c r="H16" s="2880">
        <f>IF(SUM(H23,'Table1.A(a)s2'!H16,'Table1.A(a)s3'!H15,'Table1.A(a)s4'!H16,'Table1.A(a)s4'!H99)=0,"NO",SUM(H23,'Table1.A(a)s2'!H16,'Table1.A(a)s3'!H15,'Table1.A(a)s4'!H16,'Table1.A(a)s4'!H99))</f>
        <v>19671.577561818198</v>
      </c>
      <c r="I16" s="2880">
        <f>IF(SUM(I23,'Table1.A(a)s2'!I16,'Table1.A(a)s3'!I15,'Table1.A(a)s4'!I16,'Table1.A(a)s4'!I99)=0,"NO",SUM(I23,'Table1.A(a)s2'!I16,'Table1.A(a)s3'!I15,'Table1.A(a)s4'!I16,'Table1.A(a)s4'!I99))</f>
        <v>47.917955143097331</v>
      </c>
      <c r="J16" s="2880">
        <f>IF(SUM(J23,'Table1.A(a)s2'!J16,'Table1.A(a)s3'!J15,'Table1.A(a)s4'!J16,'Table1.A(a)s4'!J99)=0,"NO",SUM(J23,'Table1.A(a)s2'!J16,'Table1.A(a)s3'!J15,'Table1.A(a)s4'!J16,'Table1.A(a)s4'!J99))</f>
        <v>1.0365153942933372</v>
      </c>
      <c r="K16" s="3066" t="str">
        <f>IF(SUM(K23,'Table1.A(a)s2'!K16,'Table1.A(a)s3'!K15,'Table1.A(a)s4'!K16,'Table1.A(a)s4'!K99)=0,"NO",SUM(K23,'Table1.A(a)s2'!K16,'Table1.A(a)s3'!K15,'Table1.A(a)s4'!K16,'Table1.A(a)s4'!K99))</f>
        <v>NO</v>
      </c>
    </row>
    <row r="17" spans="2:12" ht="18" customHeight="1" x14ac:dyDescent="0.2">
      <c r="B17" s="2184" t="s">
        <v>76</v>
      </c>
      <c r="C17" s="3067">
        <f>IF(SUM(C18:C23)=0,"NO",SUM(C18:C23))</f>
        <v>2825018.3687025039</v>
      </c>
      <c r="D17" s="3080" t="s">
        <v>1814</v>
      </c>
      <c r="E17" s="3081"/>
      <c r="F17" s="3081"/>
      <c r="G17" s="3081"/>
      <c r="H17" s="3067">
        <f>IF(SUM(H18:H22)=0,"NO",SUM(H18:H22))</f>
        <v>224490.41435401238</v>
      </c>
      <c r="I17" s="3067">
        <f t="shared" ref="I17" si="3">IF(SUM(I18:I23)=0,"NO",SUM(I18:I23))</f>
        <v>14.444937477271949</v>
      </c>
      <c r="J17" s="3067">
        <f t="shared" ref="J17" si="4">IF(SUM(J18:J23)=0,"NO",SUM(J18:J23))</f>
        <v>3.7433117435250378</v>
      </c>
      <c r="K17" s="3068" t="str">
        <f t="shared" ref="K17" si="5">IF(SUM(K18:K23)=0,"NO",SUM(K18:K23))</f>
        <v>NO</v>
      </c>
    </row>
    <row r="18" spans="2:12" ht="18" customHeight="1" x14ac:dyDescent="0.2">
      <c r="B18" s="282" t="s">
        <v>132</v>
      </c>
      <c r="C18" s="3086">
        <f>IF(SUM(C25,C54,C61)=0,"NO",SUM(C25,C54,C61))</f>
        <v>170739.33218732366</v>
      </c>
      <c r="D18" s="3077" t="s">
        <v>1814</v>
      </c>
      <c r="E18" s="1913">
        <f>IFERROR(H18*1000/$C18,"NA")</f>
        <v>68.031987678217519</v>
      </c>
      <c r="F18" s="1913">
        <f t="shared" ref="F18:G23" si="6">IFERROR(I18*1000000/$C18,"NA")</f>
        <v>2.4576243005017884</v>
      </c>
      <c r="G18" s="1913">
        <f t="shared" si="6"/>
        <v>1.578071955740497</v>
      </c>
      <c r="H18" s="3086">
        <f>IF(SUM(H25,H54,H61)=0,"NO",SUM(H25,H54,H61))</f>
        <v>11615.736143555092</v>
      </c>
      <c r="I18" s="3086">
        <f>IF(SUM(I25,I54,I61)=0,"NO",SUM(I25,I54,I61))</f>
        <v>0.41961313183501381</v>
      </c>
      <c r="J18" s="3086">
        <f>IF(SUM(J25,J54,J61)=0,"NO",SUM(J25,J54,J61))</f>
        <v>0.26943895186667621</v>
      </c>
      <c r="K18" s="3069" t="str">
        <f>IF(SUM(K25,K54,K61)=0,"NO",SUM(K25,K54,K61))</f>
        <v>NO</v>
      </c>
      <c r="L18" s="19"/>
    </row>
    <row r="19" spans="2:12" ht="18" customHeight="1" x14ac:dyDescent="0.2">
      <c r="B19" s="282" t="s">
        <v>133</v>
      </c>
      <c r="C19" s="3086">
        <f t="shared" ref="C19:C23" si="7">IF(SUM(C26,C55,C62)=0,"NO",SUM(C26,C55,C62))</f>
        <v>2027431.4648420538</v>
      </c>
      <c r="D19" s="3077" t="s">
        <v>1814</v>
      </c>
      <c r="E19" s="1913">
        <f t="shared" ref="E19:E23" si="8">IFERROR(H19*1000/$C19,"NA")</f>
        <v>89.878798665579168</v>
      </c>
      <c r="F19" s="1913">
        <f t="shared" si="6"/>
        <v>0.66782692881039341</v>
      </c>
      <c r="G19" s="1913">
        <f t="shared" si="6"/>
        <v>1.2966875071562254</v>
      </c>
      <c r="H19" s="3086">
        <f t="shared" ref="H19:K23" si="9">IF(SUM(H26,H55,H62)=0,"NO",SUM(H26,H55,H62))</f>
        <v>182223.10443679919</v>
      </c>
      <c r="I19" s="3086">
        <f t="shared" si="9"/>
        <v>1.3539733285390259</v>
      </c>
      <c r="J19" s="3086">
        <f t="shared" si="9"/>
        <v>2.628945052076137</v>
      </c>
      <c r="K19" s="3069" t="str">
        <f t="shared" si="9"/>
        <v>NO</v>
      </c>
      <c r="L19" s="19"/>
    </row>
    <row r="20" spans="2:12" ht="18" customHeight="1" x14ac:dyDescent="0.2">
      <c r="B20" s="282" t="s">
        <v>134</v>
      </c>
      <c r="C20" s="3086">
        <f t="shared" si="7"/>
        <v>595742.58745201305</v>
      </c>
      <c r="D20" s="3077" t="s">
        <v>1814</v>
      </c>
      <c r="E20" s="1913">
        <f t="shared" si="8"/>
        <v>51.451036772030484</v>
      </c>
      <c r="F20" s="1913">
        <f t="shared" si="6"/>
        <v>17.158983965078388</v>
      </c>
      <c r="G20" s="1913">
        <f t="shared" si="6"/>
        <v>1.1666800148337704</v>
      </c>
      <c r="H20" s="3086">
        <f t="shared" si="9"/>
        <v>30651.57377365811</v>
      </c>
      <c r="I20" s="3086">
        <f t="shared" si="9"/>
        <v>10.2223375054034</v>
      </c>
      <c r="J20" s="3086">
        <f t="shared" si="9"/>
        <v>0.69504097076562343</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31104.984221113526</v>
      </c>
      <c r="D23" s="3077" t="s">
        <v>1814</v>
      </c>
      <c r="E23" s="1913">
        <f t="shared" si="8"/>
        <v>80.279926880281849</v>
      </c>
      <c r="F23" s="1913">
        <f t="shared" si="6"/>
        <v>78.733796940239628</v>
      </c>
      <c r="G23" s="1913">
        <f t="shared" si="6"/>
        <v>4.8187379794541236</v>
      </c>
      <c r="H23" s="3086">
        <f t="shared" si="9"/>
        <v>2497.1058588833143</v>
      </c>
      <c r="I23" s="3086">
        <f t="shared" si="9"/>
        <v>2.4490135114945097</v>
      </c>
      <c r="J23" s="3086">
        <f t="shared" si="9"/>
        <v>0.14988676881660098</v>
      </c>
      <c r="K23" s="3069" t="str">
        <f t="shared" si="9"/>
        <v>NO</v>
      </c>
      <c r="L23" s="19"/>
    </row>
    <row r="24" spans="2:12" ht="18" customHeight="1" x14ac:dyDescent="0.2">
      <c r="B24" s="1237" t="s">
        <v>138</v>
      </c>
      <c r="C24" s="3086">
        <f>IF(SUM(C25:C30)=0,"NO",SUM(C25:C30))</f>
        <v>2495086.779238164</v>
      </c>
      <c r="D24" s="3077" t="s">
        <v>1814</v>
      </c>
      <c r="E24" s="628"/>
      <c r="F24" s="628"/>
      <c r="G24" s="628"/>
      <c r="H24" s="3086">
        <f>IF(SUM(H25:H29)=0,"NO",SUM(H25:H29))</f>
        <v>204797.83307240278</v>
      </c>
      <c r="I24" s="3086">
        <f t="shared" ref="I24" si="10">IF(SUM(I25:I30)=0,"NO",SUM(I25:I30))</f>
        <v>6.9233261948821934</v>
      </c>
      <c r="J24" s="3086">
        <f t="shared" ref="J24" si="11">IF(SUM(J25:J30)=0,"NO",SUM(J25:J30))</f>
        <v>3.3236893288306888</v>
      </c>
      <c r="K24" s="3069" t="str">
        <f t="shared" ref="K24" si="12">IF(SUM(K25:K30)=0,"NO",SUM(K25:K30))</f>
        <v>NO</v>
      </c>
      <c r="L24" s="19"/>
    </row>
    <row r="25" spans="2:12" ht="18" customHeight="1" x14ac:dyDescent="0.2">
      <c r="B25" s="160" t="s">
        <v>132</v>
      </c>
      <c r="C25" s="3074">
        <f>IF(SUM(C33,C40,C47)=0,"NO",SUM(C33,C40,C47))</f>
        <v>45114.782787299722</v>
      </c>
      <c r="D25" s="3082" t="s">
        <v>1814</v>
      </c>
      <c r="E25" s="3086">
        <f>IFERROR(H25*1000/$C25,"NA")</f>
        <v>69.992974570157699</v>
      </c>
      <c r="F25" s="1913">
        <f t="shared" ref="F25:G30" si="13">IFERROR(I25*1000000/$C25,"NA")</f>
        <v>3.4280602431052474</v>
      </c>
      <c r="G25" s="1913">
        <f t="shared" si="13"/>
        <v>0.40817167344927974</v>
      </c>
      <c r="H25" s="3086">
        <f>IF(SUM(H33,H40,H47)=0,"NO",SUM(H33,H40,H47))</f>
        <v>3157.717844369658</v>
      </c>
      <c r="I25" s="3086">
        <f>IF(SUM(I33,I40,I47)=0,"NO",SUM(I33,I40,I47))</f>
        <v>0.15465619324947111</v>
      </c>
      <c r="J25" s="3086">
        <f>IF(SUM(J33,J40,J47)=0,"NO",SUM(J33,J40,J47))</f>
        <v>1.841457638759289E-2</v>
      </c>
      <c r="K25" s="3069" t="str">
        <f>IF(SUM(K33,K40,K47)=0,"NO",SUM(K33,K40,K47))</f>
        <v>NO</v>
      </c>
      <c r="L25" s="19"/>
    </row>
    <row r="26" spans="2:12" ht="18" customHeight="1" x14ac:dyDescent="0.2">
      <c r="B26" s="160" t="s">
        <v>133</v>
      </c>
      <c r="C26" s="3086">
        <f t="shared" ref="C26:C30" si="14">IF(SUM(C34,C41,C48)=0,"NO",SUM(C34,C41,C48))</f>
        <v>2004909.4759461447</v>
      </c>
      <c r="D26" s="3082" t="s">
        <v>1814</v>
      </c>
      <c r="E26" s="3086">
        <f t="shared" ref="E26:E30" si="15">IFERROR(H26*1000/$C26,"NA")</f>
        <v>89.942706715739575</v>
      </c>
      <c r="F26" s="1913">
        <f t="shared" si="13"/>
        <v>0.66454007748565969</v>
      </c>
      <c r="G26" s="1913">
        <f t="shared" si="13"/>
        <v>1.3024815788859339</v>
      </c>
      <c r="H26" s="3086">
        <f t="shared" ref="H26:K30" si="16">IF(SUM(H34,H41,H48)=0,"NO",SUM(H34,H41,H48))</f>
        <v>180326.98498663123</v>
      </c>
      <c r="I26" s="3086">
        <f t="shared" si="16"/>
        <v>1.3323426984969844</v>
      </c>
      <c r="J26" s="3086">
        <f t="shared" si="16"/>
        <v>2.6113576597537049</v>
      </c>
      <c r="K26" s="3069" t="str">
        <f t="shared" si="16"/>
        <v>NO</v>
      </c>
      <c r="L26" s="19"/>
    </row>
    <row r="27" spans="2:12" ht="18" customHeight="1" x14ac:dyDescent="0.2">
      <c r="B27" s="160" t="s">
        <v>134</v>
      </c>
      <c r="C27" s="3086">
        <f t="shared" si="14"/>
        <v>414106.91120451799</v>
      </c>
      <c r="D27" s="3082" t="s">
        <v>1814</v>
      </c>
      <c r="E27" s="3086">
        <f t="shared" si="15"/>
        <v>51.467699921762069</v>
      </c>
      <c r="F27" s="1913">
        <f t="shared" si="13"/>
        <v>7.2151685933836598</v>
      </c>
      <c r="G27" s="1913">
        <f t="shared" si="13"/>
        <v>1.3150379669350047</v>
      </c>
      <c r="H27" s="3086">
        <f t="shared" si="16"/>
        <v>21313.130241401905</v>
      </c>
      <c r="I27" s="3086">
        <f t="shared" si="16"/>
        <v>2.9878511800259542</v>
      </c>
      <c r="J27" s="3086">
        <f t="shared" si="16"/>
        <v>0.54456631060412386</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30955.609300201872</v>
      </c>
      <c r="D30" s="3082" t="s">
        <v>1814</v>
      </c>
      <c r="E30" s="3086">
        <f t="shared" si="15"/>
        <v>80.338653924666758</v>
      </c>
      <c r="F30" s="1913">
        <f t="shared" si="13"/>
        <v>79.09636342043558</v>
      </c>
      <c r="G30" s="1913">
        <f t="shared" si="13"/>
        <v>4.8246758975696595</v>
      </c>
      <c r="H30" s="3086">
        <f t="shared" si="16"/>
        <v>2486.9319825961138</v>
      </c>
      <c r="I30" s="3086">
        <f t="shared" si="16"/>
        <v>2.4484761231097827</v>
      </c>
      <c r="J30" s="3086">
        <f t="shared" si="16"/>
        <v>0.14935078208526717</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2495086.779238164</v>
      </c>
      <c r="D32" s="3077" t="s">
        <v>1814</v>
      </c>
      <c r="E32" s="1914"/>
      <c r="F32" s="1914"/>
      <c r="G32" s="1914"/>
      <c r="H32" s="3086">
        <f>IF(SUM(H33:H37)=0,"NO",SUM(H33:H37))</f>
        <v>204797.83307240278</v>
      </c>
      <c r="I32" s="3086">
        <f t="shared" ref="I32" si="17">IF(SUM(I33:I38)=0,"NO",SUM(I33:I38))</f>
        <v>6.9233261948821934</v>
      </c>
      <c r="J32" s="3086">
        <f t="shared" ref="J32" si="18">IF(SUM(J33:J38)=0,"NO",SUM(J33:J38))</f>
        <v>3.3236893288306888</v>
      </c>
      <c r="K32" s="3069" t="str">
        <f t="shared" ref="K32" si="19">IF(SUM(K33:K38)=0,"NO",SUM(K33:K38))</f>
        <v>NO</v>
      </c>
      <c r="L32" s="19"/>
    </row>
    <row r="33" spans="2:12" ht="18" customHeight="1" x14ac:dyDescent="0.2">
      <c r="B33" s="160" t="s">
        <v>132</v>
      </c>
      <c r="C33" s="3033">
        <v>45114.782787299722</v>
      </c>
      <c r="D33" s="3077" t="s">
        <v>1814</v>
      </c>
      <c r="E33" s="1913">
        <f>IFERROR(H33*1000/$C33,"NA")</f>
        <v>69.992974570157699</v>
      </c>
      <c r="F33" s="1913">
        <f t="shared" ref="F33:G38" si="20">IFERROR(I33*1000000/$C33,"NA")</f>
        <v>3.4280602431052474</v>
      </c>
      <c r="G33" s="1913">
        <f t="shared" si="20"/>
        <v>0.40817167344927974</v>
      </c>
      <c r="H33" s="3033">
        <v>3157.717844369658</v>
      </c>
      <c r="I33" s="3033">
        <v>0.15465619324947111</v>
      </c>
      <c r="J33" s="3033">
        <v>1.841457638759289E-2</v>
      </c>
      <c r="K33" s="3072" t="s">
        <v>2146</v>
      </c>
      <c r="L33" s="19"/>
    </row>
    <row r="34" spans="2:12" ht="18" customHeight="1" x14ac:dyDescent="0.2">
      <c r="B34" s="160" t="s">
        <v>133</v>
      </c>
      <c r="C34" s="3033">
        <v>2004909.4759461447</v>
      </c>
      <c r="D34" s="3077" t="s">
        <v>1814</v>
      </c>
      <c r="E34" s="1913">
        <f t="shared" ref="E34:E38" si="21">IFERROR(H34*1000/$C34,"NA")</f>
        <v>89.942706715739575</v>
      </c>
      <c r="F34" s="1913">
        <f t="shared" si="20"/>
        <v>0.66454007748565969</v>
      </c>
      <c r="G34" s="1913">
        <f t="shared" si="20"/>
        <v>1.3024815788859339</v>
      </c>
      <c r="H34" s="3033">
        <v>180326.98498663123</v>
      </c>
      <c r="I34" s="3033">
        <v>1.3323426984969844</v>
      </c>
      <c r="J34" s="3033">
        <v>2.6113576597537049</v>
      </c>
      <c r="K34" s="3072" t="s">
        <v>2146</v>
      </c>
      <c r="L34" s="19"/>
    </row>
    <row r="35" spans="2:12" ht="18" customHeight="1" x14ac:dyDescent="0.2">
      <c r="B35" s="160" t="s">
        <v>134</v>
      </c>
      <c r="C35" s="3033">
        <v>414106.91120451799</v>
      </c>
      <c r="D35" s="3077" t="s">
        <v>1814</v>
      </c>
      <c r="E35" s="1913">
        <f t="shared" si="21"/>
        <v>51.467699921762069</v>
      </c>
      <c r="F35" s="1913">
        <f t="shared" si="20"/>
        <v>7.2151685933836598</v>
      </c>
      <c r="G35" s="1913">
        <f t="shared" si="20"/>
        <v>1.3150379669350047</v>
      </c>
      <c r="H35" s="3033">
        <v>21313.130241401905</v>
      </c>
      <c r="I35" s="3033">
        <v>2.9878511800259542</v>
      </c>
      <c r="J35" s="3033">
        <v>0.54456631060412386</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30955.609300201872</v>
      </c>
      <c r="D38" s="3077" t="s">
        <v>1814</v>
      </c>
      <c r="E38" s="1913">
        <f t="shared" si="21"/>
        <v>80.338653924666758</v>
      </c>
      <c r="F38" s="1913">
        <f t="shared" si="20"/>
        <v>79.09636342043558</v>
      </c>
      <c r="G38" s="1913">
        <f t="shared" si="20"/>
        <v>4.8246758975696595</v>
      </c>
      <c r="H38" s="3033">
        <v>2486.9319825961138</v>
      </c>
      <c r="I38" s="3033">
        <v>2.4484761231097827</v>
      </c>
      <c r="J38" s="3033">
        <v>0.14935078208526717</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83504.451726424857</v>
      </c>
      <c r="D53" s="3077" t="s">
        <v>1814</v>
      </c>
      <c r="E53" s="628"/>
      <c r="F53" s="628"/>
      <c r="G53" s="628"/>
      <c r="H53" s="3086">
        <f>IF(SUM(H54:H58)=0,"NO",SUM(H54:H58))</f>
        <v>5110.7059330660186</v>
      </c>
      <c r="I53" s="3086">
        <f t="shared" ref="I53:K53" si="28">IF(SUM(I54:I59)=0,"NO",SUM(I54:I59))</f>
        <v>6.3740319321993755E-2</v>
      </c>
      <c r="J53" s="3086">
        <f t="shared" si="28"/>
        <v>4.2432250301022378E-2</v>
      </c>
      <c r="K53" s="3069" t="str">
        <f t="shared" si="28"/>
        <v>NO</v>
      </c>
      <c r="L53" s="19"/>
    </row>
    <row r="54" spans="2:12" ht="18" customHeight="1" x14ac:dyDescent="0.2">
      <c r="B54" s="160" t="s">
        <v>132</v>
      </c>
      <c r="C54" s="3033">
        <v>60704.451726424879</v>
      </c>
      <c r="D54" s="3077" t="s">
        <v>1814</v>
      </c>
      <c r="E54" s="1913">
        <f>IFERROR(H54*1000/$C54,"NA")</f>
        <v>64.880154303680612</v>
      </c>
      <c r="F54" s="1913">
        <f t="shared" ref="F54:G59" si="29">IFERROR(I54*1000000/$C54,"NA")</f>
        <v>0.66383556265456811</v>
      </c>
      <c r="G54" s="1913">
        <f t="shared" si="29"/>
        <v>0.53950806372009219</v>
      </c>
      <c r="H54" s="3033">
        <v>3938.5141949307776</v>
      </c>
      <c r="I54" s="3033">
        <v>4.0297773867448324E-2</v>
      </c>
      <c r="J54" s="3033">
        <v>3.2750541210113296E-2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22799.999999999975</v>
      </c>
      <c r="D56" s="3077" t="s">
        <v>1814</v>
      </c>
      <c r="E56" s="1913">
        <f t="shared" si="30"/>
        <v>51.411918339265</v>
      </c>
      <c r="F56" s="1913">
        <f t="shared" si="29"/>
        <v>1.0281818181818181</v>
      </c>
      <c r="G56" s="1913">
        <f t="shared" si="29"/>
        <v>0.4246363636363637</v>
      </c>
      <c r="H56" s="3033">
        <v>1172.1917381352407</v>
      </c>
      <c r="I56" s="3033">
        <v>2.3442545454545428E-2</v>
      </c>
      <c r="J56" s="3033">
        <v>9.6817090909090825E-3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246427.13773791507</v>
      </c>
      <c r="D60" s="3077" t="s">
        <v>1814</v>
      </c>
      <c r="E60" s="628"/>
      <c r="F60" s="628"/>
      <c r="G60" s="628"/>
      <c r="H60" s="3086">
        <f>IF(SUM(H61:H65)=0,"NO",SUM(H61:H65))</f>
        <v>14581.87534854359</v>
      </c>
      <c r="I60" s="3086">
        <f t="shared" ref="I60:K60" si="31">IF(SUM(I61:I66)=0,"NO",SUM(I61:I66))</f>
        <v>7.4578709630677631</v>
      </c>
      <c r="J60" s="3086">
        <f t="shared" si="31"/>
        <v>0.37719016439332664</v>
      </c>
      <c r="K60" s="3069" t="str">
        <f t="shared" si="31"/>
        <v>NO</v>
      </c>
      <c r="L60" s="19"/>
    </row>
    <row r="61" spans="2:12" ht="18" customHeight="1" x14ac:dyDescent="0.2">
      <c r="B61" s="160" t="s">
        <v>132</v>
      </c>
      <c r="C61" s="3074">
        <f>IF(SUM(C69,C76,C83)=0,"NO",SUM(C69,C76,C83))</f>
        <v>64920.097673599055</v>
      </c>
      <c r="D61" s="3077" t="s">
        <v>1814</v>
      </c>
      <c r="E61" s="1913">
        <f>IFERROR(H61*1000/$C61,"NA")</f>
        <v>69.616409497371947</v>
      </c>
      <c r="F61" s="1913">
        <f t="shared" ref="F61:G66" si="32">IFERROR(I61*1000000/$C61,"NA")</f>
        <v>3.4605487787098039</v>
      </c>
      <c r="G61" s="1913">
        <f t="shared" si="32"/>
        <v>3.3621920189706533</v>
      </c>
      <c r="H61" s="3074">
        <f>IF(SUM(H69,H76,H83)=0,"NO",SUM(H69,H76,H83))</f>
        <v>4519.5041042546554</v>
      </c>
      <c r="I61" s="3074">
        <f>IF(SUM(I69,I76,I83)=0,"NO",SUM(I69,I76,I83))</f>
        <v>0.22465916471809441</v>
      </c>
      <c r="J61" s="3074">
        <f>IF(SUM(J69,J76,J83)=0,"NO",SUM(J69,J76,J83))</f>
        <v>0.21827383426897004</v>
      </c>
      <c r="K61" s="3088" t="str">
        <f>IF(SUM(K69,K76,K83)=0,"NO",SUM(K69,K76,K83))</f>
        <v>NO</v>
      </c>
    </row>
    <row r="62" spans="2:12" ht="18" customHeight="1" x14ac:dyDescent="0.2">
      <c r="B62" s="160" t="s">
        <v>133</v>
      </c>
      <c r="C62" s="3074">
        <f t="shared" ref="C62:C66" si="33">IF(SUM(C70,C77,C84)=0,"NO",SUM(C70,C77,C84))</f>
        <v>22521.988895909268</v>
      </c>
      <c r="D62" s="3077" t="s">
        <v>1814</v>
      </c>
      <c r="E62" s="1913">
        <f t="shared" ref="E62:E66" si="34">IFERROR(H62*1000/$C62,"NA")</f>
        <v>84.189698295800412</v>
      </c>
      <c r="F62" s="1913">
        <f t="shared" si="32"/>
        <v>0.96042272918313198</v>
      </c>
      <c r="G62" s="1913">
        <f t="shared" si="32"/>
        <v>0.78089872096628066</v>
      </c>
      <c r="H62" s="3074">
        <f t="shared" ref="H62:K66" si="35">IF(SUM(H70,H77,H84)=0,"NO",SUM(H70,H77,H84))</f>
        <v>1896.1194501679684</v>
      </c>
      <c r="I62" s="3074">
        <f t="shared" si="35"/>
        <v>2.1630630042041372E-2</v>
      </c>
      <c r="J62" s="3074">
        <f t="shared" si="35"/>
        <v>1.7587392322432324E-2</v>
      </c>
      <c r="K62" s="3088" t="str">
        <f t="shared" si="35"/>
        <v>NO</v>
      </c>
    </row>
    <row r="63" spans="2:12" ht="18" customHeight="1" x14ac:dyDescent="0.2">
      <c r="B63" s="160" t="s">
        <v>134</v>
      </c>
      <c r="C63" s="3074">
        <f t="shared" si="33"/>
        <v>158835.67624749508</v>
      </c>
      <c r="D63" s="3077" t="s">
        <v>1814</v>
      </c>
      <c r="E63" s="1913">
        <f t="shared" si="34"/>
        <v>51.413208839785149</v>
      </c>
      <c r="F63" s="1913">
        <f t="shared" si="32"/>
        <v>45.399396094658066</v>
      </c>
      <c r="G63" s="1913">
        <f t="shared" si="32"/>
        <v>0.8864063439451052</v>
      </c>
      <c r="H63" s="3074">
        <f t="shared" si="35"/>
        <v>8166.2517941209662</v>
      </c>
      <c r="I63" s="3074">
        <f t="shared" si="35"/>
        <v>7.2110437799229006</v>
      </c>
      <c r="J63" s="3074">
        <f t="shared" si="35"/>
        <v>0.14079295107059051</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149.37492091165313</v>
      </c>
      <c r="D66" s="3077" t="s">
        <v>1814</v>
      </c>
      <c r="E66" s="1913">
        <f t="shared" si="34"/>
        <v>68.109668109668078</v>
      </c>
      <c r="F66" s="1913">
        <f t="shared" si="32"/>
        <v>3.5975810493976863</v>
      </c>
      <c r="G66" s="1913">
        <f t="shared" si="32"/>
        <v>3.5881975907510713</v>
      </c>
      <c r="H66" s="3074">
        <f t="shared" si="35"/>
        <v>10.173876287200613</v>
      </c>
      <c r="I66" s="3074">
        <f t="shared" si="35"/>
        <v>5.3738838472704154E-4</v>
      </c>
      <c r="J66" s="3074">
        <f t="shared" si="35"/>
        <v>5.3598673133382554E-4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23330.765550009717</v>
      </c>
      <c r="D68" s="3077" t="s">
        <v>1814</v>
      </c>
      <c r="E68" s="628"/>
      <c r="F68" s="628"/>
      <c r="G68" s="628"/>
      <c r="H68" s="3086">
        <f>IF(SUM(H69:H73)=0,"NO",SUM(H69:H73))</f>
        <v>1953.3324321831451</v>
      </c>
      <c r="I68" s="3086">
        <f t="shared" ref="I68:K68" si="36">IF(SUM(I69:I74)=0,"NO",SUM(I69:I74))</f>
        <v>2.3392087840126856E-2</v>
      </c>
      <c r="J68" s="3086">
        <f t="shared" si="36"/>
        <v>1.8008114152300813E-2</v>
      </c>
      <c r="K68" s="3069" t="str">
        <f t="shared" si="36"/>
        <v>NO</v>
      </c>
    </row>
    <row r="69" spans="2:11" ht="18" customHeight="1" x14ac:dyDescent="0.2">
      <c r="B69" s="282" t="s">
        <v>132</v>
      </c>
      <c r="C69" s="3033">
        <v>915.22145410045096</v>
      </c>
      <c r="D69" s="3076" t="s">
        <v>1814</v>
      </c>
      <c r="E69" s="1913">
        <f>IFERROR(H69*1000/$C69,"NA")</f>
        <v>73.561691231712928</v>
      </c>
      <c r="F69" s="1913">
        <f t="shared" ref="F69:G74" si="37">IFERROR(I69*1000000/$C69,"NA")</f>
        <v>2.0353913140251056</v>
      </c>
      <c r="G69" s="1913">
        <f t="shared" si="37"/>
        <v>0.54799718125209307</v>
      </c>
      <c r="H69" s="3033">
        <v>67.325238015176694</v>
      </c>
      <c r="I69" s="3033">
        <v>1.8628337980854848E-3</v>
      </c>
      <c r="J69" s="3033">
        <v>5.0153877706848903E-4</v>
      </c>
      <c r="K69" s="3072" t="s">
        <v>2146</v>
      </c>
    </row>
    <row r="70" spans="2:11" ht="18" customHeight="1" x14ac:dyDescent="0.2">
      <c r="B70" s="282" t="s">
        <v>133</v>
      </c>
      <c r="C70" s="3033">
        <v>22415.544095909267</v>
      </c>
      <c r="D70" s="3076" t="s">
        <v>1814</v>
      </c>
      <c r="E70" s="1913">
        <f t="shared" ref="E70:E74" si="38">IFERROR(H70*1000/$C70,"NA")</f>
        <v>84.138363365096993</v>
      </c>
      <c r="F70" s="1913">
        <f t="shared" si="37"/>
        <v>0.9604609172065719</v>
      </c>
      <c r="G70" s="1913">
        <f t="shared" si="37"/>
        <v>0.78100158088186644</v>
      </c>
      <c r="H70" s="3033">
        <v>1886.0071941679685</v>
      </c>
      <c r="I70" s="3033">
        <v>2.1529254042041372E-2</v>
      </c>
      <c r="J70" s="3033">
        <v>1.7506575375232324E-2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154142.9881436062</v>
      </c>
      <c r="D75" s="3077" t="s">
        <v>1814</v>
      </c>
      <c r="E75" s="628"/>
      <c r="F75" s="628"/>
      <c r="G75" s="628"/>
      <c r="H75" s="3086">
        <f>IF(SUM(H76:H80)=0,"NO",SUM(H76:H80))</f>
        <v>8012.7023657347645</v>
      </c>
      <c r="I75" s="3086">
        <f t="shared" ref="I75:K75" si="39">IF(SUM(I76:I81)=0,"NO",SUM(I76:I81))</f>
        <v>7.1883463257455489</v>
      </c>
      <c r="J75" s="3086">
        <f t="shared" si="39"/>
        <v>0.14112190041400327</v>
      </c>
      <c r="K75" s="3069" t="str">
        <f t="shared" si="39"/>
        <v>NO</v>
      </c>
    </row>
    <row r="76" spans="2:11" ht="18" customHeight="1" x14ac:dyDescent="0.2">
      <c r="B76" s="282" t="s">
        <v>132</v>
      </c>
      <c r="C76" s="3033">
        <v>5855.2578780716121</v>
      </c>
      <c r="D76" s="3076" t="s">
        <v>1814</v>
      </c>
      <c r="E76" s="1913">
        <f>IFERROR(H76*1000/$C76,"NA")</f>
        <v>66.426738959658053</v>
      </c>
      <c r="F76" s="1913">
        <f t="shared" ref="F76:G81" si="40">IFERROR(I76*1000000/$C76,"NA")</f>
        <v>2.242979720145974</v>
      </c>
      <c r="G76" s="1913">
        <f t="shared" si="40"/>
        <v>1.6932167192221383</v>
      </c>
      <c r="H76" s="3033">
        <v>388.94568660814434</v>
      </c>
      <c r="I76" s="3033">
        <v>1.3133224676739573E-2</v>
      </c>
      <c r="J76" s="3033">
        <v>9.9142205345079948E-3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148287.7302655346</v>
      </c>
      <c r="D78" s="3076" t="s">
        <v>1814</v>
      </c>
      <c r="E78" s="1913">
        <f t="shared" si="41"/>
        <v>51.411918339265</v>
      </c>
      <c r="F78" s="1913">
        <f t="shared" si="40"/>
        <v>48.387099109416269</v>
      </c>
      <c r="G78" s="1913">
        <f t="shared" si="40"/>
        <v>0.88481818181818161</v>
      </c>
      <c r="H78" s="3033">
        <v>7623.7566791266199</v>
      </c>
      <c r="I78" s="3033">
        <v>7.1752131010688096</v>
      </c>
      <c r="J78" s="3033">
        <v>0.13120767987949528</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68953.384044299135</v>
      </c>
      <c r="D82" s="3077" t="s">
        <v>1814</v>
      </c>
      <c r="E82" s="628"/>
      <c r="F82" s="628"/>
      <c r="G82" s="628"/>
      <c r="H82" s="3086">
        <f>IF(SUM(H83:H87)=0,"NO",SUM(H83:H87))</f>
        <v>4615.8405506256804</v>
      </c>
      <c r="I82" s="3086">
        <f t="shared" ref="I82:K82" si="42">IF(SUM(I83:I88)=0,"NO",SUM(I83:I88))</f>
        <v>0.24613254948208702</v>
      </c>
      <c r="J82" s="3086">
        <f t="shared" si="42"/>
        <v>0.2180601498270226</v>
      </c>
      <c r="K82" s="3069" t="str">
        <f t="shared" si="42"/>
        <v>NO</v>
      </c>
    </row>
    <row r="83" spans="2:11" ht="18" customHeight="1" x14ac:dyDescent="0.2">
      <c r="B83" s="282" t="s">
        <v>132</v>
      </c>
      <c r="C83" s="3033">
        <v>58149.618341426991</v>
      </c>
      <c r="D83" s="3076" t="s">
        <v>1814</v>
      </c>
      <c r="E83" s="1913">
        <f>IFERROR(H83*1000/$C83,"NA")</f>
        <v>69.875491800719232</v>
      </c>
      <c r="F83" s="1913">
        <f t="shared" ref="F83:G88" si="43">IFERROR(I83*1000000/$C83,"NA")</f>
        <v>3.605580091897199</v>
      </c>
      <c r="G83" s="1913">
        <f t="shared" si="43"/>
        <v>3.5745389374174303</v>
      </c>
      <c r="H83" s="3033">
        <v>4063.2331796313347</v>
      </c>
      <c r="I83" s="3033">
        <v>0.20966310624326936</v>
      </c>
      <c r="J83" s="3033">
        <v>0.20785807495739356</v>
      </c>
      <c r="K83" s="3072" t="s">
        <v>2146</v>
      </c>
    </row>
    <row r="84" spans="2:11" ht="18" customHeight="1" x14ac:dyDescent="0.2">
      <c r="B84" s="282" t="s">
        <v>133</v>
      </c>
      <c r="C84" s="3033">
        <v>106.44479999999999</v>
      </c>
      <c r="D84" s="3076" t="s">
        <v>1814</v>
      </c>
      <c r="E84" s="1913">
        <f t="shared" ref="E84:E88" si="44">IFERROR(H84*1000/$C84,"NA")</f>
        <v>95</v>
      </c>
      <c r="F84" s="1913">
        <f t="shared" si="43"/>
        <v>0.95238095238095255</v>
      </c>
      <c r="G84" s="1913">
        <f t="shared" si="43"/>
        <v>0.75923809523809538</v>
      </c>
      <c r="H84" s="3033">
        <v>10.112255999999999</v>
      </c>
      <c r="I84" s="3033">
        <v>1.01376E-4</v>
      </c>
      <c r="J84" s="3033">
        <v>8.08169472E-5</v>
      </c>
      <c r="K84" s="3072" t="s">
        <v>2146</v>
      </c>
    </row>
    <row r="85" spans="2:11" ht="18" customHeight="1" x14ac:dyDescent="0.2">
      <c r="B85" s="282" t="s">
        <v>134</v>
      </c>
      <c r="C85" s="3033">
        <v>10547.945981960491</v>
      </c>
      <c r="D85" s="3076" t="s">
        <v>1814</v>
      </c>
      <c r="E85" s="1913">
        <f t="shared" si="44"/>
        <v>51.431351271815622</v>
      </c>
      <c r="F85" s="1913">
        <f t="shared" si="43"/>
        <v>3.3969342387010375</v>
      </c>
      <c r="G85" s="1913">
        <f t="shared" si="43"/>
        <v>0.90873343563650655</v>
      </c>
      <c r="H85" s="3033">
        <v>542.49511499434618</v>
      </c>
      <c r="I85" s="3033">
        <v>3.5830678854090629E-2</v>
      </c>
      <c r="J85" s="3033">
        <v>9.5852711910952414E-3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149.37492091165313</v>
      </c>
      <c r="D88" s="3084" t="s">
        <v>1814</v>
      </c>
      <c r="E88" s="2880">
        <f t="shared" si="44"/>
        <v>68.109668109668078</v>
      </c>
      <c r="F88" s="2880">
        <f t="shared" si="43"/>
        <v>3.5975810493976863</v>
      </c>
      <c r="G88" s="2880">
        <f t="shared" si="43"/>
        <v>3.5881975907510713</v>
      </c>
      <c r="H88" s="3040">
        <v>10.173876287200613</v>
      </c>
      <c r="I88" s="3040">
        <v>5.3738838472704154E-4</v>
      </c>
      <c r="J88" s="3040">
        <v>5.3598673133382554E-4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58380918.004718356</v>
      </c>
      <c r="G10" s="3657" t="s">
        <v>2147</v>
      </c>
      <c r="H10" s="3658">
        <f t="shared" ref="H10:H13" si="0">IF(SUM($F10)=0,"NA",K10*1000/$F10)</f>
        <v>1.1449511833018082E-2</v>
      </c>
      <c r="I10" s="3659">
        <f t="shared" ref="I10:I13" si="1">IF(SUM($F10)=0,"NA",L10*1000/$F10)</f>
        <v>2.4765750963206775E-4</v>
      </c>
      <c r="J10" s="3499" t="str">
        <f>IF(SUM(J11,J25,J36,J48,J59,J70,J76)=0,"IE",SUM(J11,J25,J36,J48,J59,J70,J76))</f>
        <v>IE</v>
      </c>
      <c r="K10" s="3500">
        <f>IF(SUM(K11,K25,K36,K48,K59,K70,K76)=0,"NO",SUM(K11,K25,K36,K48,K59,K70,K76))</f>
        <v>668.43301151748119</v>
      </c>
      <c r="L10" s="3501">
        <f>IF(SUM(L11,L25,L36,L48,L59,L70,L76)=0,"NO",SUM(L11,L25,L36,L48,L59,L70,L76))</f>
        <v>14.458472763082494</v>
      </c>
    </row>
    <row r="11" spans="2:13" ht="18" customHeight="1" x14ac:dyDescent="0.2">
      <c r="B11" s="933" t="s">
        <v>1985</v>
      </c>
      <c r="C11" s="934"/>
      <c r="D11" s="2850"/>
      <c r="E11" s="2854" t="s">
        <v>2250</v>
      </c>
      <c r="F11" s="3679">
        <f>IF(SUM(F12,F19)=0,"NO",SUM(F12,F19))</f>
        <v>8836075.2963815667</v>
      </c>
      <c r="G11" s="3660" t="s">
        <v>2147</v>
      </c>
      <c r="H11" s="3661">
        <f t="shared" si="0"/>
        <v>3.5365198649126184E-2</v>
      </c>
      <c r="I11" s="3662">
        <f t="shared" si="1"/>
        <v>5.526801153099344E-4</v>
      </c>
      <c r="J11" s="3502" t="str">
        <f>IF(SUM(J12,J19)=0,"IE",SUM(J12,J19))</f>
        <v>IE</v>
      </c>
      <c r="K11" s="3503">
        <f>IF(SUM(K12,K19)=0,"NO",SUM(K12,K19))</f>
        <v>312.48955813517063</v>
      </c>
      <c r="L11" s="3504">
        <f>IF(SUM(L12,L19)=0,"NO",SUM(L12,L19))</f>
        <v>4.8835231136914272</v>
      </c>
      <c r="M11" s="482"/>
    </row>
    <row r="12" spans="2:13" ht="18" customHeight="1" x14ac:dyDescent="0.2">
      <c r="B12" s="903" t="s">
        <v>1912</v>
      </c>
      <c r="C12" s="476"/>
      <c r="D12" s="298"/>
      <c r="E12" s="2852" t="s">
        <v>2250</v>
      </c>
      <c r="F12" s="3680">
        <f>IF(SUM(F13,F17)=0,"NO",SUM(F13,F17))</f>
        <v>8798483.9810511004</v>
      </c>
      <c r="G12" s="3663" t="str">
        <f>IFERROR(IF(SUM($F12)=0,"NA",J12*1000/$F12),"NA")</f>
        <v>NA</v>
      </c>
      <c r="H12" s="3664">
        <f t="shared" si="0"/>
        <v>3.524293281054626E-2</v>
      </c>
      <c r="I12" s="3665">
        <f t="shared" si="1"/>
        <v>5.5089226377002631E-4</v>
      </c>
      <c r="J12" s="3505" t="str">
        <f>IF(SUM(J13,J17)=0,"IE",SUM(J13,J17))</f>
        <v>IE</v>
      </c>
      <c r="K12" s="3506">
        <f>IF(SUM(K13,K17)=0,"NO",SUM(K13,K17))</f>
        <v>310.08437977885154</v>
      </c>
      <c r="L12" s="3507">
        <f>IF(SUM(L13,L17)=0,"NO",SUM(L13,L17))</f>
        <v>4.8470167580655543</v>
      </c>
    </row>
    <row r="13" spans="2:13" ht="18" customHeight="1" x14ac:dyDescent="0.2">
      <c r="B13" s="923" t="s">
        <v>1270</v>
      </c>
      <c r="C13" s="476"/>
      <c r="D13" s="298"/>
      <c r="E13" s="2852" t="s">
        <v>2250</v>
      </c>
      <c r="F13" s="3681">
        <f>IF(SUM(F14:F16)=0,"NO",SUM(F14:F16))</f>
        <v>8481444.5876255203</v>
      </c>
      <c r="G13" s="3666" t="str">
        <f t="shared" ref="G13:G76" si="2">IFERROR(IF(SUM($F13)=0,"NA",J13*1000/$F13),"NA")</f>
        <v>NA</v>
      </c>
      <c r="H13" s="3667">
        <f t="shared" si="0"/>
        <v>2.4484795767236837E-2</v>
      </c>
      <c r="I13" s="3668">
        <f t="shared" si="1"/>
        <v>4.5399397148759759E-4</v>
      </c>
      <c r="J13" s="3505" t="str">
        <f>IF(SUM(J14:J16)=0,"IE",SUM(J14:J16))</f>
        <v>IE</v>
      </c>
      <c r="K13" s="3505">
        <f>IF(SUM(K14:K16)=0,"NO",SUM(K14:K16))</f>
        <v>207.66643853914712</v>
      </c>
      <c r="L13" s="3508">
        <f>IF(SUM(L14:L16)=0,"NO",SUM(L14:L16))</f>
        <v>3.8505247122880992</v>
      </c>
      <c r="M13" s="482"/>
    </row>
    <row r="14" spans="2:13" ht="24" x14ac:dyDescent="0.2">
      <c r="B14" s="923"/>
      <c r="C14" s="4367" t="s">
        <v>2247</v>
      </c>
      <c r="D14" s="542" t="s">
        <v>940</v>
      </c>
      <c r="E14" s="2851" t="s">
        <v>2250</v>
      </c>
      <c r="F14" s="3654">
        <v>386188.60945321945</v>
      </c>
      <c r="G14" s="3666" t="str">
        <f t="shared" si="2"/>
        <v>NA</v>
      </c>
      <c r="H14" s="3667">
        <f>IF(SUM($F14)=0,"NA",K14*1000/$F14)</f>
        <v>0.11421473455250758</v>
      </c>
      <c r="I14" s="3668">
        <f>IF(SUM($F14)=0,"NA",L14*1000/$F14)</f>
        <v>1.2372123081194936E-3</v>
      </c>
      <c r="J14" s="3509" t="s">
        <v>2153</v>
      </c>
      <c r="K14" s="3510">
        <v>44.108429515901477</v>
      </c>
      <c r="L14" s="3511">
        <v>0.4777973008710753</v>
      </c>
      <c r="M14" s="482"/>
    </row>
    <row r="15" spans="2:13" ht="18" customHeight="1" x14ac:dyDescent="0.2">
      <c r="B15" s="923"/>
      <c r="C15" s="4367" t="s">
        <v>2248</v>
      </c>
      <c r="D15" s="542" t="s">
        <v>940</v>
      </c>
      <c r="E15" s="543" t="s">
        <v>2250</v>
      </c>
      <c r="F15" s="3655">
        <v>88065.491720594131</v>
      </c>
      <c r="G15" s="3666" t="str">
        <f t="shared" si="2"/>
        <v>NA</v>
      </c>
      <c r="H15" s="3667">
        <f t="shared" ref="H15:H77" si="3">IF(SUM($F15)=0,"NA",K15*1000/$F15)</f>
        <v>0.13965972989798894</v>
      </c>
      <c r="I15" s="3668">
        <f t="shared" ref="I15:I77" si="4">IF(SUM($F15)=0,"NA",L15*1000/$F15)</f>
        <v>2.5817652846419903E-3</v>
      </c>
      <c r="J15" s="3509" t="s">
        <v>2153</v>
      </c>
      <c r="K15" s="3510">
        <v>12.299202787031758</v>
      </c>
      <c r="L15" s="3512">
        <v>0.22736442929915654</v>
      </c>
      <c r="M15" s="482"/>
    </row>
    <row r="16" spans="2:13" ht="18" customHeight="1" x14ac:dyDescent="0.2">
      <c r="B16" s="923"/>
      <c r="C16" s="4367" t="s">
        <v>2263</v>
      </c>
      <c r="D16" s="542" t="s">
        <v>940</v>
      </c>
      <c r="E16" s="543" t="s">
        <v>2250</v>
      </c>
      <c r="F16" s="3655">
        <v>8007190.4864517068</v>
      </c>
      <c r="G16" s="3666" t="str">
        <f t="shared" si="2"/>
        <v>NA</v>
      </c>
      <c r="H16" s="3667">
        <f t="shared" si="3"/>
        <v>1.8890371909116705E-2</v>
      </c>
      <c r="I16" s="3668">
        <f t="shared" si="4"/>
        <v>3.9281730432663882E-4</v>
      </c>
      <c r="J16" s="3509" t="s">
        <v>2153</v>
      </c>
      <c r="K16" s="3510">
        <v>151.25880623621387</v>
      </c>
      <c r="L16" s="3512">
        <v>3.1453629821178675</v>
      </c>
      <c r="M16" s="482"/>
    </row>
    <row r="17" spans="2:13" ht="18" customHeight="1" x14ac:dyDescent="0.2">
      <c r="B17" s="923" t="s">
        <v>1271</v>
      </c>
      <c r="C17" s="4368"/>
      <c r="D17" s="298"/>
      <c r="E17" s="5" t="s">
        <v>2250</v>
      </c>
      <c r="F17" s="3681">
        <f>F18</f>
        <v>317039.39342558</v>
      </c>
      <c r="G17" s="3666" t="str">
        <f t="shared" si="2"/>
        <v>NA</v>
      </c>
      <c r="H17" s="3667">
        <f t="shared" si="3"/>
        <v>0.32304484352271962</v>
      </c>
      <c r="I17" s="3668">
        <f t="shared" si="4"/>
        <v>3.1431174372700344E-3</v>
      </c>
      <c r="J17" s="3505" t="str">
        <f>J18</f>
        <v>IE</v>
      </c>
      <c r="K17" s="3505">
        <f>K18</f>
        <v>102.41794123970443</v>
      </c>
      <c r="L17" s="3508">
        <f>L18</f>
        <v>0.9964920457774552</v>
      </c>
      <c r="M17" s="482"/>
    </row>
    <row r="18" spans="2:13" ht="18" customHeight="1" x14ac:dyDescent="0.2">
      <c r="B18" s="923"/>
      <c r="C18" s="4367" t="s">
        <v>2249</v>
      </c>
      <c r="D18" s="542" t="s">
        <v>940</v>
      </c>
      <c r="E18" s="543" t="s">
        <v>2250</v>
      </c>
      <c r="F18" s="3654">
        <v>317039.39342558</v>
      </c>
      <c r="G18" s="3666" t="str">
        <f t="shared" si="2"/>
        <v>NA</v>
      </c>
      <c r="H18" s="3667">
        <f t="shared" si="3"/>
        <v>0.32304484352271962</v>
      </c>
      <c r="I18" s="3668">
        <f t="shared" si="4"/>
        <v>3.1431174372700344E-3</v>
      </c>
      <c r="J18" s="3509" t="s">
        <v>2153</v>
      </c>
      <c r="K18" s="3510">
        <v>102.41794123970443</v>
      </c>
      <c r="L18" s="3511">
        <v>0.9964920457774552</v>
      </c>
      <c r="M18" s="482"/>
    </row>
    <row r="19" spans="2:13" ht="18" customHeight="1" x14ac:dyDescent="0.2">
      <c r="B19" s="903" t="s">
        <v>1272</v>
      </c>
      <c r="C19" s="4368"/>
      <c r="D19" s="298"/>
      <c r="E19" s="5" t="s">
        <v>2250</v>
      </c>
      <c r="F19" s="3682">
        <f>IF(SUM(F20,F23)=0,"NO",SUM(F20,F23))</f>
        <v>37591.315330465593</v>
      </c>
      <c r="G19" s="3663" t="s">
        <v>2147</v>
      </c>
      <c r="H19" s="3664">
        <f t="shared" si="3"/>
        <v>6.3982287801721133E-2</v>
      </c>
      <c r="I19" s="3665">
        <f t="shared" si="4"/>
        <v>9.7113802230503247E-4</v>
      </c>
      <c r="J19" s="3505" t="str">
        <f>IF(SUM(J20,J23)=0,"IE",SUM(J20,J23))</f>
        <v>IE</v>
      </c>
      <c r="K19" s="3506">
        <f>IF(SUM(K20,K23)=0,"NO",SUM(K20,K23))</f>
        <v>2.4051783563191016</v>
      </c>
      <c r="L19" s="3507">
        <f>IF(SUM(L20,L23)=0,"NO",SUM(L20,L23))</f>
        <v>3.6506355625873205E-2</v>
      </c>
    </row>
    <row r="20" spans="2:13" ht="18" customHeight="1" x14ac:dyDescent="0.2">
      <c r="B20" s="923" t="s">
        <v>1273</v>
      </c>
      <c r="C20" s="4368"/>
      <c r="D20" s="298"/>
      <c r="E20" s="5" t="s">
        <v>2250</v>
      </c>
      <c r="F20" s="3681">
        <f>IF(SUM(F21:F22)=0,"NO",SUM(F21:F22))</f>
        <v>34199.051516221087</v>
      </c>
      <c r="G20" s="3666" t="str">
        <f t="shared" si="2"/>
        <v>NA</v>
      </c>
      <c r="H20" s="3667">
        <f t="shared" si="3"/>
        <v>4.2406906153144762E-2</v>
      </c>
      <c r="I20" s="3668">
        <f t="shared" si="4"/>
        <v>7.9185659472783714E-4</v>
      </c>
      <c r="J20" s="3505" t="str">
        <f>IF(SUM(J21:J22)=0,"IE",SUM(J21:J22))</f>
        <v>IE</v>
      </c>
      <c r="K20" s="3505">
        <f>IF(SUM(K21:K22)=0,"NO",SUM(K21:K22))</f>
        <v>1.4502759681749509</v>
      </c>
      <c r="L20" s="3508">
        <f>IF(SUM(L21:L22)=0,"NO",SUM(L21:L22))</f>
        <v>2.7080744476556708E-2</v>
      </c>
      <c r="M20" s="482"/>
    </row>
    <row r="21" spans="2:13" ht="18" customHeight="1" x14ac:dyDescent="0.2">
      <c r="B21" s="923"/>
      <c r="C21" s="4367" t="s">
        <v>2248</v>
      </c>
      <c r="D21" s="542" t="s">
        <v>940</v>
      </c>
      <c r="E21" s="543" t="s">
        <v>2250</v>
      </c>
      <c r="F21" s="3654">
        <v>26117.947415604882</v>
      </c>
      <c r="G21" s="3666" t="str">
        <f t="shared" si="2"/>
        <v>NA</v>
      </c>
      <c r="H21" s="3667">
        <f t="shared" si="3"/>
        <v>5.2210764644214133E-2</v>
      </c>
      <c r="I21" s="3668">
        <f t="shared" si="4"/>
        <v>9.6517399640901394E-4</v>
      </c>
      <c r="J21" s="3509" t="s">
        <v>2153</v>
      </c>
      <c r="K21" s="3510">
        <v>1.3636380055061073</v>
      </c>
      <c r="L21" s="3511">
        <v>2.520836368511984E-2</v>
      </c>
      <c r="M21" s="482"/>
    </row>
    <row r="22" spans="2:13" ht="18" customHeight="1" x14ac:dyDescent="0.2">
      <c r="B22" s="923"/>
      <c r="C22" s="4367" t="s">
        <v>2263</v>
      </c>
      <c r="D22" s="542" t="s">
        <v>940</v>
      </c>
      <c r="E22" s="543" t="s">
        <v>2250</v>
      </c>
      <c r="F22" s="3655">
        <v>8081.1041006162059</v>
      </c>
      <c r="G22" s="3666" t="str">
        <f t="shared" si="2"/>
        <v>NA</v>
      </c>
      <c r="H22" s="3667">
        <f t="shared" si="3"/>
        <v>1.0721055141739513E-2</v>
      </c>
      <c r="I22" s="3668">
        <f t="shared" si="4"/>
        <v>2.3169863525135054E-4</v>
      </c>
      <c r="J22" s="3509" t="s">
        <v>2153</v>
      </c>
      <c r="K22" s="3510">
        <v>8.6637962668843632E-2</v>
      </c>
      <c r="L22" s="3512">
        <v>1.8723807914368673E-3</v>
      </c>
      <c r="M22" s="482"/>
    </row>
    <row r="23" spans="2:13" ht="18" customHeight="1" x14ac:dyDescent="0.2">
      <c r="B23" s="923" t="s">
        <v>1274</v>
      </c>
      <c r="C23" s="4368"/>
      <c r="D23" s="298"/>
      <c r="E23" s="5" t="s">
        <v>2250</v>
      </c>
      <c r="F23" s="3681">
        <f>F24</f>
        <v>3392.2638142445035</v>
      </c>
      <c r="G23" s="3666" t="str">
        <f t="shared" si="2"/>
        <v>NA</v>
      </c>
      <c r="H23" s="3667">
        <f t="shared" si="3"/>
        <v>0.28149414091392494</v>
      </c>
      <c r="I23" s="3668">
        <f t="shared" si="4"/>
        <v>2.7785607681033767E-3</v>
      </c>
      <c r="J23" s="3505" t="str">
        <f>J24</f>
        <v>IE</v>
      </c>
      <c r="K23" s="3505">
        <f>K24</f>
        <v>0.95490238814415063</v>
      </c>
      <c r="L23" s="3508">
        <f>L24</f>
        <v>9.4256111493164988E-3</v>
      </c>
      <c r="M23" s="482"/>
    </row>
    <row r="24" spans="2:13" ht="18" customHeight="1" thickBot="1" x14ac:dyDescent="0.25">
      <c r="B24" s="938"/>
      <c r="C24" s="4369" t="s">
        <v>2251</v>
      </c>
      <c r="D24" s="939" t="s">
        <v>940</v>
      </c>
      <c r="E24" s="940" t="s">
        <v>2250</v>
      </c>
      <c r="F24" s="3656">
        <v>3392.2638142445035</v>
      </c>
      <c r="G24" s="3669" t="str">
        <f t="shared" si="2"/>
        <v>NA</v>
      </c>
      <c r="H24" s="3670">
        <f t="shared" si="3"/>
        <v>0.28149414091392494</v>
      </c>
      <c r="I24" s="3671">
        <f t="shared" si="4"/>
        <v>2.7785607681033767E-3</v>
      </c>
      <c r="J24" s="3513" t="s">
        <v>2153</v>
      </c>
      <c r="K24" s="3514">
        <v>0.95490238814415063</v>
      </c>
      <c r="L24" s="3515">
        <v>9.4256111493164988E-3</v>
      </c>
      <c r="M24" s="482"/>
    </row>
    <row r="25" spans="2:13" ht="18" customHeight="1" x14ac:dyDescent="0.2">
      <c r="B25" s="933" t="s">
        <v>1986</v>
      </c>
      <c r="C25" s="4370"/>
      <c r="D25" s="2850"/>
      <c r="E25" s="935" t="s">
        <v>2250</v>
      </c>
      <c r="F25" s="3683">
        <f>IF(SUM(F26,F31)=0,"IE",SUM(F26,F31))</f>
        <v>20707</v>
      </c>
      <c r="G25" s="3660" t="str">
        <f t="shared" si="2"/>
        <v>NA</v>
      </c>
      <c r="H25" s="3661">
        <f t="shared" si="3"/>
        <v>0.12535865166368862</v>
      </c>
      <c r="I25" s="3662">
        <f t="shared" si="4"/>
        <v>2.3173939633940213E-3</v>
      </c>
      <c r="J25" s="3502" t="str">
        <f>IF(SUM(J26,J31)=0,"IE",SUM(J26,J31))</f>
        <v>IE</v>
      </c>
      <c r="K25" s="3503">
        <f>IF(SUM(K26,K31)=0,"IE",SUM(K26,K31))</f>
        <v>2.5958016000000002</v>
      </c>
      <c r="L25" s="3504">
        <f>IF(SUM(L26,L31)=0,"IE",SUM(L26,L31))</f>
        <v>4.7986276799999998E-2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20707</v>
      </c>
      <c r="G31" s="3663" t="str">
        <f t="shared" si="2"/>
        <v>NA</v>
      </c>
      <c r="H31" s="3664">
        <f t="shared" si="3"/>
        <v>0.12535865166368862</v>
      </c>
      <c r="I31" s="3665">
        <f t="shared" si="4"/>
        <v>2.3173939633940213E-3</v>
      </c>
      <c r="J31" s="3505" t="str">
        <f>IF(SUM(J32,J34)=0,"IE",SUM(J32,J34))</f>
        <v>IE</v>
      </c>
      <c r="K31" s="3505">
        <f t="shared" ref="K31:L31" si="6">IF(SUM(K32,K34)=0,"IE",SUM(K32,K34))</f>
        <v>2.5958016000000002</v>
      </c>
      <c r="L31" s="3508">
        <f t="shared" si="6"/>
        <v>4.7986276799999998E-2</v>
      </c>
    </row>
    <row r="32" spans="2:13" ht="18" customHeight="1" x14ac:dyDescent="0.2">
      <c r="B32" s="923" t="s">
        <v>1278</v>
      </c>
      <c r="C32" s="4368"/>
      <c r="D32" s="298"/>
      <c r="E32" s="5" t="s">
        <v>2250</v>
      </c>
      <c r="F32" s="3681">
        <f>F33</f>
        <v>20707</v>
      </c>
      <c r="G32" s="3663" t="str">
        <f t="shared" si="2"/>
        <v>NA</v>
      </c>
      <c r="H32" s="3664">
        <f t="shared" si="3"/>
        <v>0.12535865166368862</v>
      </c>
      <c r="I32" s="3665">
        <f t="shared" si="4"/>
        <v>2.3173939633940213E-3</v>
      </c>
      <c r="J32" s="3505" t="str">
        <f>J33</f>
        <v>IE</v>
      </c>
      <c r="K32" s="3505">
        <f>K33</f>
        <v>2.5958016000000002</v>
      </c>
      <c r="L32" s="3508">
        <f>L33</f>
        <v>4.7986276799999998E-2</v>
      </c>
      <c r="M32" s="482"/>
    </row>
    <row r="33" spans="2:13" ht="18" customHeight="1" x14ac:dyDescent="0.2">
      <c r="B33" s="923"/>
      <c r="C33" s="4367" t="s">
        <v>2252</v>
      </c>
      <c r="D33" s="542" t="s">
        <v>940</v>
      </c>
      <c r="E33" s="543" t="s">
        <v>2250</v>
      </c>
      <c r="F33" s="3654">
        <v>20707</v>
      </c>
      <c r="G33" s="3666" t="str">
        <f t="shared" si="2"/>
        <v>NA</v>
      </c>
      <c r="H33" s="3667">
        <f t="shared" si="3"/>
        <v>0.12535865166368862</v>
      </c>
      <c r="I33" s="3668">
        <f t="shared" si="4"/>
        <v>2.3173939633940213E-3</v>
      </c>
      <c r="J33" s="3509" t="s">
        <v>2153</v>
      </c>
      <c r="K33" s="3510">
        <v>2.5958016000000002</v>
      </c>
      <c r="L33" s="3511">
        <v>4.7986276799999998E-2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48516385.420405529</v>
      </c>
      <c r="G36" s="3660" t="str">
        <f t="shared" si="2"/>
        <v>NA</v>
      </c>
      <c r="H36" s="3661">
        <f t="shared" ref="H36" si="7">IF(SUM($F36)=0,"NA",K36*1000/$F36)</f>
        <v>6.8483688345797669E-3</v>
      </c>
      <c r="I36" s="3662">
        <f t="shared" ref="I36" si="8">IF(SUM($F36)=0,"NA",L36*1000/$F36)</f>
        <v>1.8760882304455501E-4</v>
      </c>
      <c r="J36" s="3502" t="str">
        <f>IF(SUM(J37,J42)=0,"IE",SUM(J37,J42))</f>
        <v>IE</v>
      </c>
      <c r="K36" s="3503">
        <f>IF(SUM(K37,K42)=0,"NO",SUM(K37,K42))</f>
        <v>332.2581018795654</v>
      </c>
      <c r="L36" s="3504">
        <f>IF(SUM(L37,L42)=0,"NO",SUM(L37,L42))</f>
        <v>9.1021019670982888</v>
      </c>
      <c r="M36" s="482"/>
    </row>
    <row r="37" spans="2:13" ht="18" customHeight="1" x14ac:dyDescent="0.2">
      <c r="B37" s="903" t="s">
        <v>1876</v>
      </c>
      <c r="C37" s="4368"/>
      <c r="D37" s="298"/>
      <c r="E37" s="5" t="s">
        <v>2250</v>
      </c>
      <c r="F37" s="3680">
        <f>IF(SUM(F38,F40)=0,"NO",SUM(F38,F40))</f>
        <v>47933380.660214782</v>
      </c>
      <c r="G37" s="3666" t="str">
        <f t="shared" si="2"/>
        <v>NA</v>
      </c>
      <c r="H37" s="3664">
        <f t="shared" si="3"/>
        <v>5.22517367061524E-3</v>
      </c>
      <c r="I37" s="3665">
        <f t="shared" si="4"/>
        <v>1.582277742137608E-4</v>
      </c>
      <c r="J37" s="3505" t="str">
        <f>IF(SUM(J38,J40)=0,"IE",SUM(J38,J40))</f>
        <v>IE</v>
      </c>
      <c r="K37" s="3506">
        <f>IF(SUM(K38,K40)=0,"NO",SUM(K38,K40))</f>
        <v>250.46023856933203</v>
      </c>
      <c r="L37" s="3507">
        <f>IF(SUM(L38,L40)=0,"NO",SUM(L38,L40))</f>
        <v>7.5843921324067125</v>
      </c>
    </row>
    <row r="38" spans="2:13" ht="18" customHeight="1" x14ac:dyDescent="0.2">
      <c r="B38" s="923" t="s">
        <v>1280</v>
      </c>
      <c r="C38" s="4368"/>
      <c r="D38" s="298"/>
      <c r="E38" s="5" t="s">
        <v>2250</v>
      </c>
      <c r="F38" s="3681">
        <f>F39</f>
        <v>47933380.660214782</v>
      </c>
      <c r="G38" s="3666" t="str">
        <f t="shared" si="2"/>
        <v>NA</v>
      </c>
      <c r="H38" s="3667">
        <f t="shared" si="3"/>
        <v>5.22517367061524E-3</v>
      </c>
      <c r="I38" s="3668">
        <f t="shared" si="4"/>
        <v>1.582277742137608E-4</v>
      </c>
      <c r="J38" s="3505" t="str">
        <f>J39</f>
        <v>IE</v>
      </c>
      <c r="K38" s="3505">
        <f>K39</f>
        <v>250.46023856933203</v>
      </c>
      <c r="L38" s="3508">
        <f>L39</f>
        <v>7.5843921324067125</v>
      </c>
      <c r="M38" s="482"/>
    </row>
    <row r="39" spans="2:13" ht="18" customHeight="1" x14ac:dyDescent="0.2">
      <c r="B39" s="923"/>
      <c r="C39" s="4367" t="s">
        <v>2263</v>
      </c>
      <c r="D39" s="542" t="s">
        <v>940</v>
      </c>
      <c r="E39" s="543" t="s">
        <v>2250</v>
      </c>
      <c r="F39" s="3655">
        <v>47933380.660214782</v>
      </c>
      <c r="G39" s="3666" t="str">
        <f t="shared" si="2"/>
        <v>NA</v>
      </c>
      <c r="H39" s="3667">
        <f t="shared" ref="H39:H40" si="9">IF(SUM($F39)=0,"NA",K39*1000/$F39)</f>
        <v>5.22517367061524E-3</v>
      </c>
      <c r="I39" s="3668">
        <f t="shared" ref="I39:I40" si="10">IF(SUM($F39)=0,"NA",L39*1000/$F39)</f>
        <v>1.582277742137608E-4</v>
      </c>
      <c r="J39" s="3509" t="s">
        <v>2153</v>
      </c>
      <c r="K39" s="3510">
        <v>250.46023856933203</v>
      </c>
      <c r="L39" s="3512">
        <v>7.5843921324067125</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583004.76019074966</v>
      </c>
      <c r="G42" s="3663" t="str">
        <f t="shared" si="2"/>
        <v>NA</v>
      </c>
      <c r="H42" s="3664">
        <f t="shared" si="11"/>
        <v>0.14030393728426926</v>
      </c>
      <c r="I42" s="3665">
        <f t="shared" si="12"/>
        <v>2.6032546187015801E-3</v>
      </c>
      <c r="J42" s="3505" t="str">
        <f>IF(SUM(J43,J46)=0,"IE",SUM(J43,J46))</f>
        <v>IE</v>
      </c>
      <c r="K42" s="3506">
        <f>IF(SUM(K43,K46)=0,"NO",SUM(K43,K46))</f>
        <v>81.797863310233382</v>
      </c>
      <c r="L42" s="3507">
        <f>IF(SUM(L43,L46)=0,"NO",SUM(L43,L46))</f>
        <v>1.5177098346915761</v>
      </c>
    </row>
    <row r="43" spans="2:13" ht="18" customHeight="1" x14ac:dyDescent="0.2">
      <c r="B43" s="923" t="s">
        <v>1283</v>
      </c>
      <c r="C43" s="4368"/>
      <c r="D43" s="298"/>
      <c r="E43" s="5" t="s">
        <v>2250</v>
      </c>
      <c r="F43" s="3681">
        <f>IF(SUM(F44:F45)=0,"NO",SUM(F44:F45))</f>
        <v>583004.76019074966</v>
      </c>
      <c r="G43" s="3666" t="str">
        <f t="shared" si="2"/>
        <v>NA</v>
      </c>
      <c r="H43" s="3667">
        <f t="shared" ref="H43" si="13">IF(SUM($F43)=0,"NA",K43*1000/$F43)</f>
        <v>0.14030393728426926</v>
      </c>
      <c r="I43" s="3668">
        <f t="shared" ref="I43" si="14">IF(SUM($F43)=0,"NA",L43*1000/$F43)</f>
        <v>2.6032546187015801E-3</v>
      </c>
      <c r="J43" s="3505" t="str">
        <f>IF(SUM(J44:J45)=0,"IE",SUM(J44:J45))</f>
        <v>IE</v>
      </c>
      <c r="K43" s="3505">
        <f>IF(SUM(K44:K45)=0,"NO",SUM(K44:K45))</f>
        <v>81.797863310233382</v>
      </c>
      <c r="L43" s="3508">
        <f>IF(SUM(L44:L45)=0,"NO",SUM(L44:L45))</f>
        <v>1.5177098346915761</v>
      </c>
      <c r="M43" s="482"/>
    </row>
    <row r="44" spans="2:13" ht="18" customHeight="1" x14ac:dyDescent="0.2">
      <c r="B44" s="923"/>
      <c r="C44" s="4367" t="s">
        <v>2252</v>
      </c>
      <c r="D44" s="542" t="s">
        <v>940</v>
      </c>
      <c r="E44" s="543" t="s">
        <v>2250</v>
      </c>
      <c r="F44" s="3655">
        <v>503056.30090791674</v>
      </c>
      <c r="G44" s="3666" t="str">
        <f t="shared" si="2"/>
        <v>NA</v>
      </c>
      <c r="H44" s="3667">
        <f t="shared" ref="H44:H46" si="15">IF(SUM($F44)=0,"NA",K44*1000/$F44)</f>
        <v>0.16058532473115927</v>
      </c>
      <c r="I44" s="3668">
        <f t="shared" ref="I44:I46" si="16">IF(SUM($F44)=0,"NA",L44*1000/$F44)</f>
        <v>2.9685981557940693E-3</v>
      </c>
      <c r="J44" s="3509" t="s">
        <v>2153</v>
      </c>
      <c r="K44" s="3510">
        <v>80.783459439353578</v>
      </c>
      <c r="L44" s="3512">
        <v>1.4933720071358281</v>
      </c>
      <c r="M44" s="482"/>
    </row>
    <row r="45" spans="2:13" ht="18" customHeight="1" x14ac:dyDescent="0.2">
      <c r="B45" s="923"/>
      <c r="C45" s="4367" t="s">
        <v>2263</v>
      </c>
      <c r="D45" s="542" t="s">
        <v>940</v>
      </c>
      <c r="E45" s="543" t="s">
        <v>2250</v>
      </c>
      <c r="F45" s="3655">
        <v>79948.459282832875</v>
      </c>
      <c r="G45" s="3666" t="str">
        <f t="shared" si="2"/>
        <v>NA</v>
      </c>
      <c r="H45" s="3667">
        <f t="shared" si="15"/>
        <v>1.2688222887337426E-2</v>
      </c>
      <c r="I45" s="3668">
        <f t="shared" si="16"/>
        <v>3.0441896909668049E-4</v>
      </c>
      <c r="J45" s="3509" t="s">
        <v>2153</v>
      </c>
      <c r="K45" s="3510">
        <v>1.0144038708798044</v>
      </c>
      <c r="L45" s="3512">
        <v>2.4337827555747923E-2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985622.28793125716</v>
      </c>
      <c r="G48" s="3660" t="str">
        <f t="shared" si="2"/>
        <v>NA</v>
      </c>
      <c r="H48" s="3661">
        <f t="shared" si="17"/>
        <v>1.7768214575893074E-2</v>
      </c>
      <c r="I48" s="3662">
        <f t="shared" si="18"/>
        <v>3.6397335783238397E-4</v>
      </c>
      <c r="J48" s="3502" t="str">
        <f>IF(SUM(J49,J54)=0,"IE",SUM(J49,J54))</f>
        <v>IE</v>
      </c>
      <c r="K48" s="3503">
        <f>IF(SUM(K49,K54)=0,"NO",SUM(K49,K54))</f>
        <v>17.512748302745244</v>
      </c>
      <c r="L48" s="3504">
        <f>IF(SUM(L49,L54)=0,"NO",SUM(L49,L54))</f>
        <v>0.35874025369277646</v>
      </c>
      <c r="M48" s="482"/>
    </row>
    <row r="49" spans="2:13" ht="18" customHeight="1" x14ac:dyDescent="0.2">
      <c r="B49" s="903" t="s">
        <v>1285</v>
      </c>
      <c r="C49" s="4368"/>
      <c r="D49" s="298"/>
      <c r="E49" s="5" t="s">
        <v>2250</v>
      </c>
      <c r="F49" s="3680">
        <f>IF(SUM(F50,F52)=0,"NO",SUM(F50,F52))</f>
        <v>985622.28793125716</v>
      </c>
      <c r="G49" s="3663" t="str">
        <f t="shared" si="2"/>
        <v>NA</v>
      </c>
      <c r="H49" s="3664">
        <f t="shared" si="17"/>
        <v>1.7768214575893074E-2</v>
      </c>
      <c r="I49" s="3665">
        <f t="shared" si="18"/>
        <v>3.6397335783238397E-4</v>
      </c>
      <c r="J49" s="3505" t="str">
        <f>IF(SUM(J50,J52)=0,"IE",SUM(J50,J52))</f>
        <v>IE</v>
      </c>
      <c r="K49" s="3506">
        <f>IF(SUM(K50,K52)=0,"NO",SUM(K50,K52))</f>
        <v>17.512748302745244</v>
      </c>
      <c r="L49" s="3507">
        <f>IF(SUM(L50,L52)=0,"NO",SUM(L50,L52))</f>
        <v>0.35874025369277646</v>
      </c>
    </row>
    <row r="50" spans="2:13" ht="18" customHeight="1" x14ac:dyDescent="0.2">
      <c r="B50" s="923" t="s">
        <v>1286</v>
      </c>
      <c r="C50" s="4368"/>
      <c r="D50" s="298"/>
      <c r="E50" s="5" t="s">
        <v>2250</v>
      </c>
      <c r="F50" s="3681">
        <f>F51</f>
        <v>985622.28793125716</v>
      </c>
      <c r="G50" s="3666" t="str">
        <f t="shared" si="2"/>
        <v>NA</v>
      </c>
      <c r="H50" s="3667">
        <f t="shared" si="17"/>
        <v>1.7768214575893074E-2</v>
      </c>
      <c r="I50" s="3668">
        <f t="shared" si="18"/>
        <v>3.6397335783238397E-4</v>
      </c>
      <c r="J50" s="3505" t="str">
        <f>J51</f>
        <v>IE</v>
      </c>
      <c r="K50" s="3505">
        <f>K51</f>
        <v>17.512748302745244</v>
      </c>
      <c r="L50" s="3508">
        <f>L51</f>
        <v>0.35874025369277646</v>
      </c>
      <c r="M50" s="482"/>
    </row>
    <row r="51" spans="2:13" ht="18" customHeight="1" x14ac:dyDescent="0.2">
      <c r="B51" s="923"/>
      <c r="C51" s="4367" t="s">
        <v>2263</v>
      </c>
      <c r="D51" s="542" t="s">
        <v>940</v>
      </c>
      <c r="E51" s="543" t="s">
        <v>2250</v>
      </c>
      <c r="F51" s="3655">
        <v>985622.28793125716</v>
      </c>
      <c r="G51" s="3666" t="str">
        <f t="shared" si="2"/>
        <v>NA</v>
      </c>
      <c r="H51" s="3667">
        <f t="shared" si="17"/>
        <v>1.7768214575893074E-2</v>
      </c>
      <c r="I51" s="3668">
        <f t="shared" si="18"/>
        <v>3.6397335783238397E-4</v>
      </c>
      <c r="J51" s="3509" t="s">
        <v>2153</v>
      </c>
      <c r="K51" s="3510">
        <v>17.512748302745244</v>
      </c>
      <c r="L51" s="3512">
        <v>0.35874025369277646</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22128</v>
      </c>
      <c r="G59" s="3660" t="str">
        <f t="shared" si="2"/>
        <v>NA</v>
      </c>
      <c r="H59" s="3661">
        <f t="shared" si="3"/>
        <v>0.16164143167028203</v>
      </c>
      <c r="I59" s="3662">
        <f t="shared" si="4"/>
        <v>2.9881214660159076E-3</v>
      </c>
      <c r="J59" s="3502" t="str">
        <f>IF(SUM(J60,J65)=0,"IE",SUM(J60,J65))</f>
        <v>IE</v>
      </c>
      <c r="K59" s="3503">
        <f>IF(SUM(K60,K65)=0,"NO",SUM(K60,K65))</f>
        <v>3.5768016000000005</v>
      </c>
      <c r="L59" s="3504">
        <f>IF(SUM(L60,L65)=0,"NO",SUM(L60,L65))</f>
        <v>6.61211518E-2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22128</v>
      </c>
      <c r="G65" s="3663" t="str">
        <f t="shared" si="2"/>
        <v>NA</v>
      </c>
      <c r="H65" s="3664">
        <f t="shared" si="3"/>
        <v>0.16164143167028203</v>
      </c>
      <c r="I65" s="3665">
        <f t="shared" si="4"/>
        <v>2.9881214660159076E-3</v>
      </c>
      <c r="J65" s="3505" t="str">
        <f>IF(SUM(J66,J68)=0,"IE",SUM(J66,J68))</f>
        <v>IE</v>
      </c>
      <c r="K65" s="3506">
        <f>IF(SUM(K66,K68)=0,"NO",SUM(K66,K68))</f>
        <v>3.5768016000000005</v>
      </c>
      <c r="L65" s="3507">
        <f>IF(SUM(L66,L68)=0,"NO",SUM(L66,L68))</f>
        <v>6.61211518E-2</v>
      </c>
    </row>
    <row r="66" spans="2:13" ht="18" customHeight="1" x14ac:dyDescent="0.2">
      <c r="B66" s="923" t="s">
        <v>1294</v>
      </c>
      <c r="C66" s="4368"/>
      <c r="D66" s="298"/>
      <c r="E66" s="5" t="s">
        <v>2250</v>
      </c>
      <c r="F66" s="3681">
        <f>F67</f>
        <v>22128</v>
      </c>
      <c r="G66" s="3666" t="str">
        <f t="shared" si="2"/>
        <v>NA</v>
      </c>
      <c r="H66" s="3667">
        <f t="shared" si="3"/>
        <v>0.16164143167028203</v>
      </c>
      <c r="I66" s="3668">
        <f t="shared" si="4"/>
        <v>2.9881214660159076E-3</v>
      </c>
      <c r="J66" s="3505" t="str">
        <f>J67</f>
        <v>IE</v>
      </c>
      <c r="K66" s="3505">
        <f>K67</f>
        <v>3.5768016000000005</v>
      </c>
      <c r="L66" s="3508">
        <f>L67</f>
        <v>6.61211518E-2</v>
      </c>
      <c r="M66" s="482"/>
    </row>
    <row r="67" spans="2:13" ht="18" customHeight="1" x14ac:dyDescent="0.2">
      <c r="B67" s="923"/>
      <c r="C67" s="4367" t="s">
        <v>2252</v>
      </c>
      <c r="D67" s="542" t="s">
        <v>940</v>
      </c>
      <c r="E67" s="543" t="s">
        <v>2250</v>
      </c>
      <c r="F67" s="3655">
        <v>22128</v>
      </c>
      <c r="G67" s="3666" t="str">
        <f t="shared" si="2"/>
        <v>NA</v>
      </c>
      <c r="H67" s="3667">
        <f t="shared" ref="H67:H68" si="23">IF(SUM($F67)=0,"NA",K67*1000/$F67)</f>
        <v>0.16164143167028203</v>
      </c>
      <c r="I67" s="3668">
        <f t="shared" ref="I67:I68" si="24">IF(SUM($F67)=0,"NA",L67*1000/$F67)</f>
        <v>2.9881214660159076E-3</v>
      </c>
      <c r="J67" s="3509" t="s">
        <v>2153</v>
      </c>
      <c r="K67" s="3510">
        <v>3.5768016000000005</v>
      </c>
      <c r="L67" s="3512">
        <v>6.61211518E-2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5203.9070041145806</v>
      </c>
      <c r="D10" s="3521">
        <f>IF(SUM(D11,D16:D17)=0,"NO",SUM(D11,D16:D17))</f>
        <v>-3461.9844240783214</v>
      </c>
      <c r="E10" s="3522"/>
      <c r="F10" s="3523">
        <f>IF(SUM(F11,F16:F17)=0,"NO",SUM(F11,F16:F17))</f>
        <v>1741.9225800362588</v>
      </c>
      <c r="G10" s="3524">
        <f>IF(SUM(G11,G16:G17)=0,"NO",SUM(G11,G16:G17))</f>
        <v>-6387.0494601329483</v>
      </c>
      <c r="H10" s="226"/>
      <c r="I10" s="2"/>
      <c r="J10" s="2"/>
    </row>
    <row r="11" spans="1:10" ht="18" customHeight="1" x14ac:dyDescent="0.2">
      <c r="B11" s="606" t="s">
        <v>1314</v>
      </c>
      <c r="C11" s="3525">
        <f>IF(SUM(C13:C15)=0,"NO",SUM(C13:C15))</f>
        <v>1796.6513367037376</v>
      </c>
      <c r="D11" s="3526">
        <f>IF(SUM(D13:D15)=0,"NO",SUM(D13:D15))</f>
        <v>-727.81933557845764</v>
      </c>
      <c r="E11" s="3527"/>
      <c r="F11" s="3528">
        <f>IF(SUM(F13:F15)=0,"NO",SUM(F13:F15))</f>
        <v>1068.8320011252799</v>
      </c>
      <c r="G11" s="3529">
        <f>IF(SUM(G13:G15)=0,"NO",SUM(G13:G15))</f>
        <v>-3919.0506707926929</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1254.8934979670394</v>
      </c>
      <c r="D13" s="3534">
        <f>F13-C13</f>
        <v>-444.04029530284788</v>
      </c>
      <c r="E13" s="3535" t="s">
        <v>2147</v>
      </c>
      <c r="F13" s="3536">
        <f>G13/(-44/12)</f>
        <v>810.85320266419149</v>
      </c>
      <c r="G13" s="3537">
        <v>-2973.1284097687021</v>
      </c>
      <c r="H13" s="226"/>
      <c r="I13" s="2"/>
      <c r="J13" s="2"/>
    </row>
    <row r="14" spans="1:10" ht="18" customHeight="1" x14ac:dyDescent="0.2">
      <c r="B14" s="1193" t="s">
        <v>1316</v>
      </c>
      <c r="C14" s="3538">
        <v>541.7578387366982</v>
      </c>
      <c r="D14" s="3539">
        <f>F14-C14</f>
        <v>-283.77904027560976</v>
      </c>
      <c r="E14" s="3235" t="s">
        <v>2147</v>
      </c>
      <c r="F14" s="3540">
        <f>G14/(-44/12)</f>
        <v>257.97879846108845</v>
      </c>
      <c r="G14" s="3537">
        <v>-945.92226102399093</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2169.9895287459676</v>
      </c>
      <c r="D16" s="3539">
        <f>F16-C16</f>
        <v>-2172.3507510366071</v>
      </c>
      <c r="E16" s="3235" t="s">
        <v>2147</v>
      </c>
      <c r="F16" s="3540">
        <f>G16/(-44/12)</f>
        <v>-2.3612222906394886</v>
      </c>
      <c r="G16" s="3537">
        <v>8.6578150656781254</v>
      </c>
      <c r="H16" s="226"/>
      <c r="I16" s="2"/>
      <c r="J16" s="2"/>
    </row>
    <row r="17" spans="2:10" ht="18" customHeight="1" x14ac:dyDescent="0.2">
      <c r="B17" s="1197" t="s">
        <v>1320</v>
      </c>
      <c r="C17" s="3542">
        <f>C18</f>
        <v>1237.2661386648747</v>
      </c>
      <c r="D17" s="3543">
        <f t="shared" ref="D17:F17" si="0">D18</f>
        <v>-561.81433746325638</v>
      </c>
      <c r="E17" s="3544"/>
      <c r="F17" s="3226">
        <f t="shared" si="0"/>
        <v>675.45180120161831</v>
      </c>
      <c r="G17" s="3537">
        <f>-F17*44/12</f>
        <v>-2476.6566044059341</v>
      </c>
      <c r="H17" s="226"/>
      <c r="I17" s="2"/>
      <c r="J17" s="2"/>
    </row>
    <row r="18" spans="2:10" ht="18" customHeight="1" thickBot="1" x14ac:dyDescent="0.25">
      <c r="B18" s="561" t="s">
        <v>2254</v>
      </c>
      <c r="C18" s="3545">
        <v>1237.2661386648747</v>
      </c>
      <c r="D18" s="3546">
        <f>F18-C18</f>
        <v>-561.81433746325638</v>
      </c>
      <c r="E18" s="3238" t="s">
        <v>2147</v>
      </c>
      <c r="F18" s="3547">
        <f>G18/(-44/12)</f>
        <v>675.45180120161831</v>
      </c>
      <c r="G18" s="3548">
        <v>-2476.6566044059336</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30.138931124908421</v>
      </c>
      <c r="D10" s="4371">
        <f t="shared" ref="D10:I10" si="0">IF(SUM(D11,D15,D18,D21)=0,"NO",SUM(D11,D15,D18,D21))</f>
        <v>574.38132114238556</v>
      </c>
      <c r="E10" s="4371">
        <f t="shared" si="0"/>
        <v>1.0328899956533242</v>
      </c>
      <c r="F10" s="4371" t="str">
        <f t="shared" si="0"/>
        <v>NO</v>
      </c>
      <c r="G10" s="4371" t="str">
        <f t="shared" si="0"/>
        <v>NO</v>
      </c>
      <c r="H10" s="4371">
        <f t="shared" si="0"/>
        <v>259.71670931550852</v>
      </c>
      <c r="I10" s="4372" t="str">
        <f t="shared" si="0"/>
        <v>NO</v>
      </c>
      <c r="J10" s="4373">
        <f>IF(SUM(C10:E10)=0,"NO",SUM(C10,IFERROR(28*D10,0),IFERROR(265*E10,0)))</f>
        <v>16386.531771959832</v>
      </c>
    </row>
    <row r="11" spans="1:10" ht="18" customHeight="1" x14ac:dyDescent="0.2">
      <c r="B11" s="1504" t="s">
        <v>1371</v>
      </c>
      <c r="C11" s="4374"/>
      <c r="D11" s="2883">
        <f>IF(SUM(D12:D14)=0,"NO",SUM(D12:D14))</f>
        <v>455.58731699999998</v>
      </c>
      <c r="E11" s="4374"/>
      <c r="F11" s="2883" t="str">
        <f>IF(SUM(F12:F14)=0,"NO",SUM(F12:F14))</f>
        <v>NO</v>
      </c>
      <c r="G11" s="2883" t="str">
        <f t="shared" ref="G11:H11" si="1">IF(SUM(G12:G14)=0,"NO",SUM(G12:G14))</f>
        <v>NO</v>
      </c>
      <c r="H11" s="2883">
        <f t="shared" si="1"/>
        <v>2.9362761311098104</v>
      </c>
      <c r="I11" s="2153"/>
      <c r="J11" s="2872">
        <f t="shared" ref="J11:J18" si="2">IF(SUM(C11:E11)=0,"NO",SUM(C11,IFERROR(28*D11,0),IFERROR(265*E11,0)))</f>
        <v>12756.444876</v>
      </c>
    </row>
    <row r="12" spans="1:10" ht="18" customHeight="1" x14ac:dyDescent="0.2">
      <c r="B12" s="1270" t="s">
        <v>1372</v>
      </c>
      <c r="C12" s="4375"/>
      <c r="D12" s="4376">
        <f>IF(SUM(Table5.A!F10:H10)=0,"NO",SUM(Table5.A!F10))</f>
        <v>455.58731699999998</v>
      </c>
      <c r="E12" s="4375"/>
      <c r="F12" s="4377" t="s">
        <v>2147</v>
      </c>
      <c r="G12" s="4377" t="s">
        <v>2147</v>
      </c>
      <c r="H12" s="4377">
        <v>2.9362761311098104</v>
      </c>
      <c r="I12" s="4378"/>
      <c r="J12" s="4379">
        <f t="shared" si="2"/>
        <v>12756.444876</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2.8674236249999994</v>
      </c>
      <c r="E15" s="2881">
        <f t="shared" ref="E15" si="3">IF(SUM(E16:E17)=0,"NO",SUM(E16:E17))</f>
        <v>0.36703022400000013</v>
      </c>
      <c r="F15" s="2881" t="s">
        <v>2256</v>
      </c>
      <c r="G15" s="2881" t="s">
        <v>2256</v>
      </c>
      <c r="H15" s="2881" t="s">
        <v>2256</v>
      </c>
      <c r="I15" s="4386"/>
      <c r="J15" s="2873">
        <f t="shared" si="2"/>
        <v>177.55087086000003</v>
      </c>
    </row>
    <row r="16" spans="1:10" ht="18" customHeight="1" x14ac:dyDescent="0.2">
      <c r="B16" s="1883" t="s">
        <v>1376</v>
      </c>
      <c r="C16" s="4387"/>
      <c r="D16" s="4376">
        <f>Table5.B!F10</f>
        <v>2.8674236249999994</v>
      </c>
      <c r="E16" s="4376">
        <f>Table5.B!G10</f>
        <v>0.36703022400000013</v>
      </c>
      <c r="F16" s="4388" t="s">
        <v>2147</v>
      </c>
      <c r="G16" s="4388" t="s">
        <v>2147</v>
      </c>
      <c r="H16" s="4388" t="s">
        <v>2147</v>
      </c>
      <c r="I16" s="4378"/>
      <c r="J16" s="4379">
        <f t="shared" si="2"/>
        <v>177.55087086000003</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30.138931124908421</v>
      </c>
      <c r="D18" s="2871" t="str">
        <f>IF(SUM(D19:D20)=0,"NO,NE",SUM(D19:D20))</f>
        <v>NO,NE</v>
      </c>
      <c r="E18" s="2871" t="str">
        <f>IF(SUM(E19:E20)=0,"NO,NE",SUM(E19:E20))</f>
        <v>NO,NE</v>
      </c>
      <c r="F18" s="2871" t="s">
        <v>2147</v>
      </c>
      <c r="G18" s="2871" t="s">
        <v>2147</v>
      </c>
      <c r="H18" s="2871" t="s">
        <v>2147</v>
      </c>
      <c r="I18" s="2871" t="s">
        <v>2147</v>
      </c>
      <c r="J18" s="2874">
        <f t="shared" si="2"/>
        <v>30.138931124908421</v>
      </c>
    </row>
    <row r="19" spans="2:12" ht="18" customHeight="1" x14ac:dyDescent="0.2">
      <c r="B19" s="1270" t="s">
        <v>1379</v>
      </c>
      <c r="C19" s="4376">
        <f>Table5.C!G10</f>
        <v>30.138931124908421</v>
      </c>
      <c r="D19" s="4376" t="str">
        <f>Table5.C!H10</f>
        <v>NO,NE</v>
      </c>
      <c r="E19" s="4376" t="str">
        <f>Table5.C!I10</f>
        <v>NO,NE</v>
      </c>
      <c r="F19" s="4391" t="s">
        <v>2147</v>
      </c>
      <c r="G19" s="4391" t="s">
        <v>2147</v>
      </c>
      <c r="H19" s="4391" t="s">
        <v>2147</v>
      </c>
      <c r="I19" s="4391" t="s">
        <v>2147</v>
      </c>
      <c r="J19" s="4379">
        <f>IF(SUM(C19:E19)=0,"NO",SUM(C19,IFERROR(28*D19,0),IFERROR(265*E19,0)))</f>
        <v>30.138931124908421</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115.92658051738562</v>
      </c>
      <c r="E21" s="2871">
        <f t="shared" ref="E21:H21" si="5">IF(SUM(E22:E24)=0,"NO",SUM(E22:E24))</f>
        <v>0.665859771653324</v>
      </c>
      <c r="F21" s="2871" t="str">
        <f t="shared" si="5"/>
        <v>NO</v>
      </c>
      <c r="G21" s="2871" t="str">
        <f t="shared" si="5"/>
        <v>NO</v>
      </c>
      <c r="H21" s="2871">
        <f t="shared" si="5"/>
        <v>256.7804331843987</v>
      </c>
      <c r="I21" s="4393"/>
      <c r="J21" s="2874">
        <f t="shared" si="4"/>
        <v>3422.3970939749279</v>
      </c>
    </row>
    <row r="22" spans="2:12" ht="18" customHeight="1" x14ac:dyDescent="0.2">
      <c r="B22" s="1270" t="s">
        <v>1382</v>
      </c>
      <c r="C22" s="4394"/>
      <c r="D22" s="4376">
        <f>IF(SUM(Table5.D!H10)=0,"NO",SUM(Table5.D!H10))</f>
        <v>61.34209492343637</v>
      </c>
      <c r="E22" s="4376">
        <f>IF(SUM(Table5.D!I10:J10)=0,"NO",SUM(Table5.D!I10:J10))</f>
        <v>0.665859771653324</v>
      </c>
      <c r="F22" s="4377" t="s">
        <v>2147</v>
      </c>
      <c r="G22" s="4377" t="s">
        <v>2147</v>
      </c>
      <c r="H22" s="4377">
        <v>6.8670594635048596</v>
      </c>
      <c r="I22" s="4378"/>
      <c r="J22" s="4379">
        <f t="shared" si="4"/>
        <v>1894.0314973443492</v>
      </c>
    </row>
    <row r="23" spans="2:12" ht="18" customHeight="1" x14ac:dyDescent="0.2">
      <c r="B23" s="1270" t="s">
        <v>1383</v>
      </c>
      <c r="C23" s="4394"/>
      <c r="D23" s="4376">
        <f>IF(SUM(Table5.D!H11)=0,"NO",SUM(Table5.D!H11))</f>
        <v>54.584485593949246</v>
      </c>
      <c r="E23" s="4376" t="str">
        <f>IF(SUM(Table5.D!I11:J11)=0,"IE",SUM(Table5.D!I11:J11))</f>
        <v>IE</v>
      </c>
      <c r="F23" s="4377" t="s">
        <v>2147</v>
      </c>
      <c r="G23" s="4377" t="s">
        <v>2147</v>
      </c>
      <c r="H23" s="4377">
        <v>249.91337372089384</v>
      </c>
      <c r="I23" s="4378"/>
      <c r="J23" s="4379">
        <f t="shared" si="4"/>
        <v>1528.3655966305789</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-269080.37844852312</v>
      </c>
      <c r="D28" s="4404"/>
      <c r="E28" s="4404"/>
      <c r="F28" s="4404"/>
      <c r="G28" s="4404"/>
      <c r="H28" s="4404"/>
      <c r="I28" s="4405"/>
      <c r="J28" s="4406"/>
      <c r="K28"/>
      <c r="L28"/>
    </row>
    <row r="29" spans="2:12" ht="18" customHeight="1" x14ac:dyDescent="0.2">
      <c r="B29" s="2487" t="s">
        <v>2081</v>
      </c>
      <c r="C29" s="4407">
        <v>-5368.6823758255023</v>
      </c>
      <c r="D29" s="4408"/>
      <c r="E29" s="4408"/>
      <c r="F29" s="4408"/>
      <c r="G29" s="4408"/>
      <c r="H29" s="4408"/>
      <c r="I29" s="4406"/>
      <c r="J29" s="4406"/>
      <c r="K29"/>
      <c r="L29"/>
    </row>
    <row r="30" spans="2:12" ht="29.25" customHeight="1" thickBot="1" x14ac:dyDescent="0.25">
      <c r="B30" s="2488" t="s">
        <v>2082</v>
      </c>
      <c r="C30" s="4409">
        <v>-2476.6566044059336</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21946.50250584694</v>
      </c>
      <c r="D10" s="3752"/>
      <c r="E10" s="3751">
        <f>IF(SUM(C10)=0,"NA",(F10-SUM(G10:H10))/C10)</f>
        <v>3.0103079833517392E-2</v>
      </c>
      <c r="F10" s="3753">
        <f>F11</f>
        <v>455.58731699999998</v>
      </c>
      <c r="G10" s="3753" t="str">
        <f>G11</f>
        <v>IE</v>
      </c>
      <c r="H10" s="3754">
        <f>H11</f>
        <v>-205.07</v>
      </c>
      <c r="I10" s="44"/>
    </row>
    <row r="11" spans="1:13" ht="18" customHeight="1" x14ac:dyDescent="0.2">
      <c r="B11" s="1750" t="s">
        <v>1395</v>
      </c>
      <c r="C11" s="3755">
        <f>IF(SUM(C13:C16)=0,"NO",SUM(C13:C16))</f>
        <v>21946.50250584694</v>
      </c>
      <c r="D11" s="3755">
        <v>1</v>
      </c>
      <c r="E11" s="3755">
        <f>IF(SUM(C11)=0,"NA",(F11-SUM(G11:H11))/C11)</f>
        <v>3.0103079833517392E-2</v>
      </c>
      <c r="F11" s="3755">
        <f>IF(SUM(F13:F16)=0,"NO",SUM(F13:F16))</f>
        <v>455.58731699999998</v>
      </c>
      <c r="G11" s="3756" t="s">
        <v>2153</v>
      </c>
      <c r="H11" s="3757">
        <v>-205.07</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13392.32560969617</v>
      </c>
      <c r="D13" s="3762">
        <v>1</v>
      </c>
      <c r="E13" s="3755" t="s">
        <v>2153</v>
      </c>
      <c r="F13" s="3762">
        <v>16.893305099999999</v>
      </c>
      <c r="G13" s="3763"/>
      <c r="H13" s="3764"/>
      <c r="I13" s="44"/>
    </row>
    <row r="14" spans="1:13" ht="18" customHeight="1" x14ac:dyDescent="0.2">
      <c r="B14" s="1751" t="s">
        <v>1398</v>
      </c>
      <c r="C14" s="3762">
        <v>2665.2234263765386</v>
      </c>
      <c r="D14" s="3762">
        <v>1</v>
      </c>
      <c r="E14" s="3755" t="s">
        <v>2153</v>
      </c>
      <c r="F14" s="3762">
        <v>196.2286464</v>
      </c>
      <c r="G14" s="3763"/>
      <c r="H14" s="3764"/>
      <c r="I14" s="44"/>
    </row>
    <row r="15" spans="1:13" ht="18" customHeight="1" x14ac:dyDescent="0.2">
      <c r="B15" s="1751" t="s">
        <v>1399</v>
      </c>
      <c r="C15" s="3762">
        <v>5888.9534697742329</v>
      </c>
      <c r="D15" s="3762">
        <v>1</v>
      </c>
      <c r="E15" s="3755" t="s">
        <v>2153</v>
      </c>
      <c r="F15" s="3762">
        <v>242.46536549999999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3823.2314999999999</v>
      </c>
      <c r="D10" s="1913">
        <f>IF(SUM($C10)=0,"NA",F10*1000/$C10)</f>
        <v>0.74999999999999989</v>
      </c>
      <c r="E10" s="1913">
        <f>IF(SUM($C10)=0,"NA",G10*1000/$C10)</f>
        <v>9.6000000000000044E-2</v>
      </c>
      <c r="F10" s="1909">
        <f>IF(SUM(F11:F12)=0,"NO",SUM(F11:F12))</f>
        <v>2.8674236249999994</v>
      </c>
      <c r="G10" s="1909">
        <f>IF(SUM(G11:G12)=0,"NO",SUM(G11:G12))</f>
        <v>0.36703022400000013</v>
      </c>
      <c r="H10" s="1910"/>
      <c r="I10" s="1911"/>
    </row>
    <row r="11" spans="1:9" ht="18" customHeight="1" x14ac:dyDescent="0.2">
      <c r="B11" s="1526" t="s">
        <v>1411</v>
      </c>
      <c r="C11" s="1912">
        <v>3823.2314999999999</v>
      </c>
      <c r="D11" s="1913">
        <f>IF(SUM($C11)=0,"NA",F11*1000/$C11)</f>
        <v>0.74999999999999989</v>
      </c>
      <c r="E11" s="1913">
        <f>IF(SUM($C11)=0,"NA",G11*1000/$C11)</f>
        <v>9.6000000000000044E-2</v>
      </c>
      <c r="F11" s="1912">
        <v>2.8674236249999994</v>
      </c>
      <c r="G11" s="1912">
        <v>0.36703022400000013</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14.682878127554229</v>
      </c>
      <c r="D10" s="2887">
        <f>IF(SUM(G10)=0,"NA",G10*1000/$C10)</f>
        <v>2052.6582638010873</v>
      </c>
      <c r="E10" s="2887" t="str">
        <f t="shared" ref="E10:E20" si="0">IF(SUM(H10)=0,"NA",H10*1000/$C10)</f>
        <v>NA</v>
      </c>
      <c r="F10" s="2887" t="str">
        <f t="shared" ref="F10:F20" si="1">IF(SUM(I10)=0,"NA",I10*1000/$C10)</f>
        <v>NA</v>
      </c>
      <c r="G10" s="2887">
        <f>IF(SUM(G11,G21)=0,"NO",SUM(G11,G21))</f>
        <v>30.138931124908421</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14.682878127554229</v>
      </c>
      <c r="D21" s="116">
        <f>IF(SUM(G21)=0,"NA",G21*1000/$C21)</f>
        <v>2052.6582638010873</v>
      </c>
      <c r="E21" s="116" t="str">
        <f t="shared" ref="E21:F21" si="3">IF(SUM(H21)=0,"NA",H21*1000/$C21)</f>
        <v>NA</v>
      </c>
      <c r="F21" s="116" t="str">
        <f t="shared" si="3"/>
        <v>NA</v>
      </c>
      <c r="G21" s="2889">
        <f>IF(SUM(G22:G23)=0,"NO",SUM(G22:G23))</f>
        <v>30.138931124908421</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14.682878127554229</v>
      </c>
      <c r="D23" s="116">
        <f t="shared" si="4"/>
        <v>2052.6582638010873</v>
      </c>
      <c r="E23" s="151" t="str">
        <f t="shared" si="5"/>
        <v>NA</v>
      </c>
      <c r="F23" s="151" t="str">
        <f t="shared" si="6"/>
        <v>NA</v>
      </c>
      <c r="G23" s="151">
        <f>IF(SUM(G25:G30)=0,"NO",SUM(G25:G30))</f>
        <v>30.138931124908421</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14.682878127554229</v>
      </c>
      <c r="D27" s="116">
        <f t="shared" si="4"/>
        <v>880</v>
      </c>
      <c r="E27" s="116" t="str">
        <f t="shared" si="5"/>
        <v>NA</v>
      </c>
      <c r="F27" s="116" t="str">
        <f t="shared" si="6"/>
        <v>NA</v>
      </c>
      <c r="G27" s="2897">
        <v>12.920932752247722</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20853.517</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35.076573375793807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2480.1956359721598</v>
      </c>
      <c r="D10" s="3435">
        <v>1905.68400758344</v>
      </c>
      <c r="E10" s="3435">
        <v>120.29026628529699</v>
      </c>
      <c r="F10" s="3436">
        <f>(SUM(H10)-SUM(K10:L10))/C10</f>
        <v>4.6009849254769211E-2</v>
      </c>
      <c r="G10" s="3437">
        <f>SUM(I10:J10)/E10/(44/28)</f>
        <v>3.5225538913730208E-3</v>
      </c>
      <c r="H10" s="3434">
        <v>61.34209492343637</v>
      </c>
      <c r="I10" s="3223">
        <v>0.665859771653324</v>
      </c>
      <c r="J10" s="3223" t="s">
        <v>2153</v>
      </c>
      <c r="K10" s="3438">
        <v>-14.827385533439527</v>
      </c>
      <c r="L10" s="2911">
        <v>-37.943946876539627</v>
      </c>
      <c r="M10"/>
      <c r="N10" s="1770" t="s">
        <v>1468</v>
      </c>
      <c r="O10" s="3440">
        <v>1</v>
      </c>
    </row>
    <row r="11" spans="1:15" ht="18" customHeight="1" x14ac:dyDescent="0.2">
      <c r="A11"/>
      <c r="B11" s="1749" t="s">
        <v>1383</v>
      </c>
      <c r="C11" s="3435">
        <v>833.04457906964603</v>
      </c>
      <c r="D11" s="3435">
        <v>123.52814040664499</v>
      </c>
      <c r="E11" s="691" t="s">
        <v>2153</v>
      </c>
      <c r="F11" s="3162">
        <f>(SUM(H11)-SUM(K11:L11))/C11</f>
        <v>6.8609670308129964E-2</v>
      </c>
      <c r="G11" s="3162" t="s">
        <v>2147</v>
      </c>
      <c r="H11" s="691">
        <v>54.584485593949246</v>
      </c>
      <c r="I11" s="691" t="s">
        <v>2153</v>
      </c>
      <c r="J11" s="691" t="s">
        <v>2153</v>
      </c>
      <c r="K11" s="3147" t="s">
        <v>2153</v>
      </c>
      <c r="L11" s="2911">
        <v>-2.570428327994069</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460170.3545597645</v>
      </c>
      <c r="D10" s="4213">
        <f t="shared" si="0"/>
        <v>5097.6797740839784</v>
      </c>
      <c r="E10" s="4213">
        <f t="shared" si="0"/>
        <v>81.099907763796566</v>
      </c>
      <c r="F10" s="4213">
        <f t="shared" si="0"/>
        <v>5286.3167534213244</v>
      </c>
      <c r="G10" s="4213">
        <f t="shared" si="0"/>
        <v>399.79678192568076</v>
      </c>
      <c r="H10" s="4213" t="str">
        <f>IF(SUM(H11,H22,H31,H42,H51)=0,"NO",SUM(H11,H22,H31,H42,H51))</f>
        <v>NO</v>
      </c>
      <c r="I10" s="4213">
        <f t="shared" ref="I10:N10" si="1">IF(SUM(I11,I22,I31,I42,I51)=0,"NO",SUM(I11,I22,I31,I42,I51))</f>
        <v>7.1633572339266042E-3</v>
      </c>
      <c r="J10" s="3834" t="str">
        <f t="shared" si="1"/>
        <v>NO</v>
      </c>
      <c r="K10" s="4213">
        <f t="shared" si="1"/>
        <v>3217.5654662965462</v>
      </c>
      <c r="L10" s="4213">
        <f t="shared" si="1"/>
        <v>28415.126721934434</v>
      </c>
      <c r="M10" s="4213">
        <f t="shared" si="1"/>
        <v>1943.7556444826018</v>
      </c>
      <c r="N10" s="4214">
        <f t="shared" si="1"/>
        <v>2512.3807814257621</v>
      </c>
      <c r="O10" s="3818">
        <f>IF(SUM(C10:J10)=0,"NO",SUM(C10,F10:H10)+28*SUM(D10)+265*SUM(E10)+23500*SUM(I10)+16100*SUM(J10))</f>
        <v>630251.31622186617</v>
      </c>
    </row>
    <row r="11" spans="1:15" ht="18" customHeight="1" x14ac:dyDescent="0.25">
      <c r="B11" s="1120" t="s">
        <v>1476</v>
      </c>
      <c r="C11" s="2552">
        <f>Table1!C10</f>
        <v>378446.132657693</v>
      </c>
      <c r="D11" s="3810">
        <f>Table1!D10</f>
        <v>1453.428496546265</v>
      </c>
      <c r="E11" s="3810">
        <f>Table1!E10</f>
        <v>12.728503907780633</v>
      </c>
      <c r="F11" s="4215"/>
      <c r="G11" s="4215"/>
      <c r="H11" s="4216"/>
      <c r="I11" s="4215"/>
      <c r="J11" s="98"/>
      <c r="K11" s="3810">
        <f>Table1!F10</f>
        <v>2211.3919000356718</v>
      </c>
      <c r="L11" s="3810">
        <f>Table1!G10</f>
        <v>2965.1292309627352</v>
      </c>
      <c r="M11" s="3810">
        <f>Table1!H10</f>
        <v>690.36807438821825</v>
      </c>
      <c r="N11" s="4217">
        <f>Table1!I10</f>
        <v>792.91641860519246</v>
      </c>
      <c r="O11" s="3781">
        <f t="shared" ref="O11:O58" si="2">IF(SUM(C11:J11)=0,"NO",SUM(C11,F11:H11)+28*SUM(D11)+265*SUM(E11)+23500*SUM(I11)+16100*SUM(J11))</f>
        <v>422515.18409655034</v>
      </c>
    </row>
    <row r="12" spans="1:15" ht="18" customHeight="1" x14ac:dyDescent="0.25">
      <c r="B12" s="1370" t="s">
        <v>1477</v>
      </c>
      <c r="C12" s="4218">
        <f>Table1!C11</f>
        <v>370963.40705041465</v>
      </c>
      <c r="D12" s="4219">
        <f>Table1!D11</f>
        <v>81.359383932283677</v>
      </c>
      <c r="E12" s="4219">
        <f>Table1!E11</f>
        <v>12.637035243069617</v>
      </c>
      <c r="F12" s="69"/>
      <c r="G12" s="69"/>
      <c r="H12" s="69"/>
      <c r="I12" s="69"/>
      <c r="J12" s="69"/>
      <c r="K12" s="4219">
        <f>Table1!F11</f>
        <v>2208.5291154019128</v>
      </c>
      <c r="L12" s="4219">
        <f>Table1!G11</f>
        <v>2948.5269220869336</v>
      </c>
      <c r="M12" s="4219">
        <f>Table1!H11</f>
        <v>488.80495166844537</v>
      </c>
      <c r="N12" s="4220">
        <f>Table1!I11</f>
        <v>792.91641860519246</v>
      </c>
      <c r="O12" s="3782">
        <f t="shared" si="2"/>
        <v>376590.28413993202</v>
      </c>
    </row>
    <row r="13" spans="1:15" ht="18" customHeight="1" x14ac:dyDescent="0.25">
      <c r="B13" s="1371" t="s">
        <v>1478</v>
      </c>
      <c r="C13" s="4218">
        <f>Table1!C12</f>
        <v>224490.41435401241</v>
      </c>
      <c r="D13" s="4219">
        <f>Table1!D12</f>
        <v>14.444937477271949</v>
      </c>
      <c r="E13" s="4219">
        <f>Table1!E12</f>
        <v>3.7433117435250378</v>
      </c>
      <c r="F13" s="69"/>
      <c r="G13" s="69"/>
      <c r="H13" s="69"/>
      <c r="I13" s="69"/>
      <c r="J13" s="69"/>
      <c r="K13" s="4219">
        <f>Table1!F12</f>
        <v>936.05886990473903</v>
      </c>
      <c r="L13" s="4219">
        <f>Table1!G12</f>
        <v>173.69096331443592</v>
      </c>
      <c r="M13" s="4219">
        <f>Table1!H12</f>
        <v>38.276180430892893</v>
      </c>
      <c r="N13" s="4220">
        <f>Table1!I12</f>
        <v>654.996790476211</v>
      </c>
      <c r="O13" s="3783">
        <f t="shared" si="2"/>
        <v>225886.85021541014</v>
      </c>
    </row>
    <row r="14" spans="1:15" ht="18" customHeight="1" x14ac:dyDescent="0.25">
      <c r="B14" s="1371" t="s">
        <v>1479</v>
      </c>
      <c r="C14" s="4218">
        <f>Table1!C16</f>
        <v>42551.080627390678</v>
      </c>
      <c r="D14" s="4221">
        <f>Table1!D16</f>
        <v>2.4757433501601485</v>
      </c>
      <c r="E14" s="4221">
        <f>Table1!E16</f>
        <v>1.42404088702423</v>
      </c>
      <c r="F14" s="3784"/>
      <c r="G14" s="3784"/>
      <c r="H14" s="3784"/>
      <c r="I14" s="3784"/>
      <c r="J14" s="69"/>
      <c r="K14" s="4221">
        <f>Table1!F16</f>
        <v>591.61207223374049</v>
      </c>
      <c r="L14" s="4221">
        <f>Table1!G16</f>
        <v>188.52705711198055</v>
      </c>
      <c r="M14" s="4221">
        <f>Table1!H16</f>
        <v>75.06805169721224</v>
      </c>
      <c r="N14" s="4222">
        <f>Table1!I16</f>
        <v>103.60664184098432</v>
      </c>
      <c r="O14" s="3785">
        <f t="shared" si="2"/>
        <v>42997.772276256583</v>
      </c>
    </row>
    <row r="15" spans="1:15" ht="18" customHeight="1" x14ac:dyDescent="0.25">
      <c r="B15" s="1371" t="s">
        <v>1480</v>
      </c>
      <c r="C15" s="4218">
        <f>Table1!C24</f>
        <v>83992.782117918439</v>
      </c>
      <c r="D15" s="4219">
        <f>Table1!D24</f>
        <v>18.758514318479602</v>
      </c>
      <c r="E15" s="4219">
        <f>Table1!E24</f>
        <v>6.791072384936065</v>
      </c>
      <c r="F15" s="69"/>
      <c r="G15" s="69"/>
      <c r="H15" s="69"/>
      <c r="I15" s="69"/>
      <c r="J15" s="69"/>
      <c r="K15" s="4219">
        <f>Table1!F24</f>
        <v>319.20850556817737</v>
      </c>
      <c r="L15" s="4219">
        <f>Table1!G24</f>
        <v>1841.2385568941256</v>
      </c>
      <c r="M15" s="4219">
        <f>Table1!H24</f>
        <v>253.22453796302938</v>
      </c>
      <c r="N15" s="4220">
        <f>Table1!I24</f>
        <v>26.456171483857418</v>
      </c>
      <c r="O15" s="3783">
        <f t="shared" si="2"/>
        <v>86317.654700843923</v>
      </c>
    </row>
    <row r="16" spans="1:15" ht="18" customHeight="1" x14ac:dyDescent="0.25">
      <c r="B16" s="1371" t="s">
        <v>1481</v>
      </c>
      <c r="C16" s="4218">
        <f>Table1!C30</f>
        <v>19090.374478065543</v>
      </c>
      <c r="D16" s="4219">
        <f>Table1!D30</f>
        <v>45.646983038924162</v>
      </c>
      <c r="E16" s="4219">
        <f>Table1!E30</f>
        <v>0.65508919048432157</v>
      </c>
      <c r="F16" s="69"/>
      <c r="G16" s="69"/>
      <c r="H16" s="69"/>
      <c r="I16" s="69"/>
      <c r="J16" s="69"/>
      <c r="K16" s="4219">
        <f>Table1!F30</f>
        <v>354.25715885275861</v>
      </c>
      <c r="L16" s="4219">
        <f>Table1!G30</f>
        <v>740.47217879788286</v>
      </c>
      <c r="M16" s="4219">
        <f>Table1!H30</f>
        <v>121.71738317201437</v>
      </c>
      <c r="N16" s="4220">
        <f>Table1!I30</f>
        <v>7.5781841629903948</v>
      </c>
      <c r="O16" s="3783">
        <f t="shared" si="2"/>
        <v>20542.088638633766</v>
      </c>
    </row>
    <row r="17" spans="2:15" ht="18" customHeight="1" x14ac:dyDescent="0.25">
      <c r="B17" s="1371" t="s">
        <v>1482</v>
      </c>
      <c r="C17" s="4218">
        <f>Table1!C34</f>
        <v>838.75547302757877</v>
      </c>
      <c r="D17" s="4219">
        <f>Table1!D34</f>
        <v>3.3205747447811136E-2</v>
      </c>
      <c r="E17" s="4219">
        <f>Table1!E34</f>
        <v>2.3521037099963411E-2</v>
      </c>
      <c r="F17" s="69"/>
      <c r="G17" s="69"/>
      <c r="H17" s="69"/>
      <c r="I17" s="69"/>
      <c r="J17" s="69"/>
      <c r="K17" s="4219">
        <f>Table1!F34</f>
        <v>7.3925088424974126</v>
      </c>
      <c r="L17" s="4219">
        <f>Table1!G34</f>
        <v>4.5981659685084537</v>
      </c>
      <c r="M17" s="4219">
        <f>Table1!H34</f>
        <v>0.51879840529646115</v>
      </c>
      <c r="N17" s="4220">
        <f>Table1!I34</f>
        <v>0.2786306411492589</v>
      </c>
      <c r="O17" s="3783">
        <f t="shared" si="2"/>
        <v>845.91830878760777</v>
      </c>
    </row>
    <row r="18" spans="2:15" ht="18" customHeight="1" x14ac:dyDescent="0.25">
      <c r="B18" s="1370" t="s">
        <v>99</v>
      </c>
      <c r="C18" s="4223">
        <f>Table1!C37</f>
        <v>7482.7256072783639</v>
      </c>
      <c r="D18" s="4224">
        <f>Table1!D37</f>
        <v>1372.0691126139814</v>
      </c>
      <c r="E18" s="4224">
        <f>Table1!E37</f>
        <v>9.1468664711016029E-2</v>
      </c>
      <c r="F18" s="69"/>
      <c r="G18" s="69"/>
      <c r="H18" s="69"/>
      <c r="I18" s="69"/>
      <c r="J18" s="69"/>
      <c r="K18" s="4224">
        <f>Table1!F37</f>
        <v>2.8627846337588787</v>
      </c>
      <c r="L18" s="4219">
        <f>Table1!G37</f>
        <v>16.602308875801498</v>
      </c>
      <c r="M18" s="4219">
        <f>Table1!H37</f>
        <v>201.56312271977288</v>
      </c>
      <c r="N18" s="4220" t="str">
        <f>Table1!I37</f>
        <v>NO</v>
      </c>
      <c r="O18" s="3783">
        <f t="shared" si="2"/>
        <v>45924.899956618261</v>
      </c>
    </row>
    <row r="19" spans="2:15" ht="18" customHeight="1" x14ac:dyDescent="0.25">
      <c r="B19" s="1371" t="s">
        <v>1483</v>
      </c>
      <c r="C19" s="4225">
        <f>Table1!C38</f>
        <v>1162.3635762445851</v>
      </c>
      <c r="D19" s="4226">
        <f>Table1!D38</f>
        <v>1163.4500821496765</v>
      </c>
      <c r="E19" s="4224">
        <f>Table1!E38</f>
        <v>1.5507322621949082E-4</v>
      </c>
      <c r="F19" s="69"/>
      <c r="G19" s="69"/>
      <c r="H19" s="69"/>
      <c r="I19" s="69"/>
      <c r="J19" s="69"/>
      <c r="K19" s="4224" t="str">
        <f>Table1!F38</f>
        <v>NO</v>
      </c>
      <c r="L19" s="4219" t="str">
        <f>Table1!G38</f>
        <v>NO</v>
      </c>
      <c r="M19" s="4219" t="str">
        <f>Table1!H38</f>
        <v>NO</v>
      </c>
      <c r="N19" s="4220" t="str">
        <f>Table1!I38</f>
        <v>NO</v>
      </c>
      <c r="O19" s="3783">
        <f t="shared" si="2"/>
        <v>33739.006970840477</v>
      </c>
    </row>
    <row r="20" spans="2:15" ht="18" customHeight="1" x14ac:dyDescent="0.25">
      <c r="B20" s="1372" t="s">
        <v>1484</v>
      </c>
      <c r="C20" s="4225">
        <f>Table1!C42</f>
        <v>6320.3620310337783</v>
      </c>
      <c r="D20" s="4227">
        <f>Table1!D42</f>
        <v>208.61903046430487</v>
      </c>
      <c r="E20" s="4224">
        <f>Table1!E42</f>
        <v>9.1313591484796536E-2</v>
      </c>
      <c r="F20" s="3784"/>
      <c r="G20" s="3784"/>
      <c r="H20" s="3784"/>
      <c r="I20" s="3784"/>
      <c r="J20" s="69"/>
      <c r="K20" s="4224">
        <f>Table1!F42</f>
        <v>2.8627846337588787</v>
      </c>
      <c r="L20" s="4221">
        <f>Table1!G42</f>
        <v>16.602308875801498</v>
      </c>
      <c r="M20" s="4221">
        <f>Table1!H42</f>
        <v>201.56312271977288</v>
      </c>
      <c r="N20" s="4222" t="str">
        <f>Table1!I42</f>
        <v>NO</v>
      </c>
      <c r="O20" s="3785">
        <f t="shared" si="2"/>
        <v>12185.892985777786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23949.045712951374</v>
      </c>
      <c r="D22" s="4230">
        <f>'Table2(I)'!D10</f>
        <v>3.5741170618019251</v>
      </c>
      <c r="E22" s="4231">
        <f>'Table2(I)'!E10</f>
        <v>10.453995265722503</v>
      </c>
      <c r="F22" s="3810">
        <f>'Table2(I)'!F10</f>
        <v>5286.3167534213244</v>
      </c>
      <c r="G22" s="3810">
        <f>'Table2(I)'!G10</f>
        <v>399.79678192568076</v>
      </c>
      <c r="H22" s="3810" t="str">
        <f>'Table2(I)'!H10</f>
        <v>NO</v>
      </c>
      <c r="I22" s="3810">
        <f>'Table2(I)'!I10</f>
        <v>7.1633572339266042E-3</v>
      </c>
      <c r="J22" s="3810" t="str">
        <f>'Table2(I)'!J10</f>
        <v>NO</v>
      </c>
      <c r="K22" s="3810">
        <f>'Table2(I)'!K10</f>
        <v>39.597710333653303</v>
      </c>
      <c r="L22" s="3810">
        <f>'Table2(I)'!L10</f>
        <v>10.647801175431537</v>
      </c>
      <c r="M22" s="3810">
        <f>'Table2(I)'!M10</f>
        <v>232.9185796325973</v>
      </c>
      <c r="N22" s="4217">
        <f>'Table2(I)'!N10</f>
        <v>1719.4643628205695</v>
      </c>
      <c r="O22" s="3781">
        <f t="shared" si="2"/>
        <v>32673.882166442574</v>
      </c>
    </row>
    <row r="23" spans="2:15" ht="18" customHeight="1" x14ac:dyDescent="0.25">
      <c r="B23" s="1133" t="s">
        <v>1487</v>
      </c>
      <c r="C23" s="4232">
        <f>'Table2(I)'!C11</f>
        <v>6898.3975325174652</v>
      </c>
      <c r="D23" s="3789"/>
      <c r="E23" s="98"/>
      <c r="F23" s="98"/>
      <c r="G23" s="98"/>
      <c r="H23" s="98"/>
      <c r="I23" s="98"/>
      <c r="J23" s="69"/>
      <c r="K23" s="4233" t="str">
        <f>'Table2(I)'!K11</f>
        <v>NO</v>
      </c>
      <c r="L23" s="4233" t="str">
        <f>'Table2(I)'!L11</f>
        <v>NO</v>
      </c>
      <c r="M23" s="4233" t="str">
        <f>'Table2(I)'!M11</f>
        <v>NO</v>
      </c>
      <c r="N23" s="4234" t="str">
        <f>'Table2(I)'!N11</f>
        <v>NO</v>
      </c>
      <c r="O23" s="3782">
        <f t="shared" si="2"/>
        <v>6898.3975325174652</v>
      </c>
    </row>
    <row r="24" spans="2:15" ht="18" customHeight="1" x14ac:dyDescent="0.25">
      <c r="B24" s="1133" t="s">
        <v>621</v>
      </c>
      <c r="C24" s="4232">
        <f>'Table2(I)'!C16</f>
        <v>3459.3511337487348</v>
      </c>
      <c r="D24" s="4235">
        <f>'Table2(I)'!D16</f>
        <v>0.57776359999999993</v>
      </c>
      <c r="E24" s="4236">
        <f>'Table2(I)'!E16</f>
        <v>10.376143045827572</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6225.2064216930412</v>
      </c>
    </row>
    <row r="25" spans="2:15" ht="18" customHeight="1" x14ac:dyDescent="0.25">
      <c r="B25" s="1133" t="s">
        <v>459</v>
      </c>
      <c r="C25" s="4232">
        <f>'Table2(I)'!C27</f>
        <v>13190.956265353812</v>
      </c>
      <c r="D25" s="4235">
        <f>'Table2(I)'!D27</f>
        <v>2.9963534618019252</v>
      </c>
      <c r="E25" s="4236">
        <f>'Table2(I)'!E27</f>
        <v>7.7852219894930172E-2</v>
      </c>
      <c r="F25" s="4219" t="str">
        <f>'Table2(I)'!F27</f>
        <v>NO</v>
      </c>
      <c r="G25" s="4219">
        <f>'Table2(I)'!G27</f>
        <v>399.79678192568076</v>
      </c>
      <c r="H25" s="4219" t="str">
        <f>'Table2(I)'!H27</f>
        <v>NO</v>
      </c>
      <c r="I25" s="4219" t="str">
        <f>'Table2(I)'!I27</f>
        <v>NO</v>
      </c>
      <c r="J25" s="4219" t="str">
        <f>'Table2(I)'!J27</f>
        <v>NO</v>
      </c>
      <c r="K25" s="4219">
        <f>'Table2(I)'!K27</f>
        <v>39.597710333653303</v>
      </c>
      <c r="L25" s="4219">
        <f>'Table2(I)'!L27</f>
        <v>10.647801175431537</v>
      </c>
      <c r="M25" s="4219">
        <f>'Table2(I)'!M27</f>
        <v>9.6873528935790779E-2</v>
      </c>
      <c r="N25" s="4220">
        <f>'Table2(I)'!N27</f>
        <v>1719.4643628205695</v>
      </c>
      <c r="O25" s="3783">
        <f t="shared" si="2"/>
        <v>13695.281782482103</v>
      </c>
    </row>
    <row r="26" spans="2:15" ht="18" customHeight="1" x14ac:dyDescent="0.25">
      <c r="B26" s="1133" t="s">
        <v>1488</v>
      </c>
      <c r="C26" s="4232">
        <f>'Table2(I)'!C35</f>
        <v>236.96094149999999</v>
      </c>
      <c r="D26" s="3790" t="str">
        <f>'Table2(I)'!D35</f>
        <v>NO</v>
      </c>
      <c r="E26" s="616" t="str">
        <f>'Table2(I)'!E35</f>
        <v>NO</v>
      </c>
      <c r="F26" s="69"/>
      <c r="G26" s="69"/>
      <c r="H26" s="69"/>
      <c r="I26" s="69"/>
      <c r="J26" s="69"/>
      <c r="K26" s="616" t="str">
        <f>'Table2(I)'!K35</f>
        <v>NO</v>
      </c>
      <c r="L26" s="4236" t="str">
        <f>'Table2(I)'!L35</f>
        <v>NO</v>
      </c>
      <c r="M26" s="4236">
        <f>'Table2(I)'!M35</f>
        <v>178.01277089194662</v>
      </c>
      <c r="N26" s="4237" t="str">
        <f>'Table2(I)'!N35</f>
        <v>NO</v>
      </c>
      <c r="O26" s="3783">
        <f t="shared" si="2"/>
        <v>236.96094149999999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5286.3167534213244</v>
      </c>
      <c r="G28" s="4221" t="str">
        <f>'Table2(I)'!G45</f>
        <v>NO</v>
      </c>
      <c r="H28" s="4221" t="str">
        <f>'Table2(I)'!H45</f>
        <v>NO</v>
      </c>
      <c r="I28" s="4221" t="str">
        <f>'Table2(I)'!I45</f>
        <v>NO</v>
      </c>
      <c r="J28" s="4221" t="str">
        <f>'Table2(I)'!J45</f>
        <v>NO</v>
      </c>
      <c r="K28" s="3784"/>
      <c r="L28" s="3784"/>
      <c r="M28" s="3784"/>
      <c r="N28" s="3793"/>
      <c r="O28" s="3785">
        <f t="shared" si="2"/>
        <v>5286.3167534213244</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7.1633572339266042E-3</v>
      </c>
      <c r="J29" s="616" t="str">
        <f>'Table2(I)'!J52</f>
        <v>NO</v>
      </c>
      <c r="K29" s="3796" t="str">
        <f>'Table2(I)'!K52</f>
        <v>NO</v>
      </c>
      <c r="L29" s="3796" t="str">
        <f>'Table2(I)'!L52</f>
        <v>NO</v>
      </c>
      <c r="M29" s="3796" t="str">
        <f>'Table2(I)'!M52</f>
        <v>NO</v>
      </c>
      <c r="N29" s="3797" t="str">
        <f>'Table2(I)'!N52</f>
        <v>NO</v>
      </c>
      <c r="O29" s="3785">
        <f t="shared" si="2"/>
        <v>168.33889499727519</v>
      </c>
    </row>
    <row r="30" spans="2:15" ht="18" customHeight="1" thickBot="1" x14ac:dyDescent="0.3">
      <c r="B30" s="1375" t="s">
        <v>2040</v>
      </c>
      <c r="C30" s="4239">
        <f>'Table2(I)'!C57</f>
        <v>163.37983983135788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51.966374531014907</v>
      </c>
      <c r="N30" s="4242" t="str">
        <f>'Table2(I)'!N57</f>
        <v>NA</v>
      </c>
      <c r="O30" s="3798">
        <f t="shared" si="2"/>
        <v>163.37983983135788</v>
      </c>
    </row>
    <row r="31" spans="2:15" ht="18" customHeight="1" x14ac:dyDescent="0.25">
      <c r="B31" s="1134" t="s">
        <v>1491</v>
      </c>
      <c r="C31" s="3817">
        <f>Table3!C10</f>
        <v>1830.382472917935</v>
      </c>
      <c r="D31" s="3799">
        <f>Table3!D10</f>
        <v>2331.0684481509161</v>
      </c>
      <c r="E31" s="3800">
        <f>Table3!E10</f>
        <v>39.445000995473158</v>
      </c>
      <c r="F31" s="3801"/>
      <c r="G31" s="3801"/>
      <c r="H31" s="3801"/>
      <c r="I31" s="3801"/>
      <c r="J31" s="3801"/>
      <c r="K31" s="4243">
        <f>Table3!F10</f>
        <v>15.196468914646726</v>
      </c>
      <c r="L31" s="4243">
        <f>Table3!G10</f>
        <v>247.57953249374822</v>
      </c>
      <c r="M31" s="4243">
        <f>Table3!H10</f>
        <v>14.442139395468645</v>
      </c>
      <c r="N31" s="4244" t="str">
        <f>Table3!I10</f>
        <v>NO</v>
      </c>
      <c r="O31" s="3782">
        <f t="shared" si="2"/>
        <v>77553.224284943964</v>
      </c>
    </row>
    <row r="32" spans="2:15" ht="18" customHeight="1" x14ac:dyDescent="0.25">
      <c r="B32" s="4245" t="s">
        <v>1492</v>
      </c>
      <c r="C32" s="3791"/>
      <c r="D32" s="4246">
        <f>Table3!D11</f>
        <v>2086.3216602399038</v>
      </c>
      <c r="E32" s="98"/>
      <c r="F32" s="3802"/>
      <c r="G32" s="3802"/>
      <c r="H32" s="3789"/>
      <c r="I32" s="3802"/>
      <c r="J32" s="3789"/>
      <c r="K32" s="98"/>
      <c r="L32" s="98"/>
      <c r="M32" s="98"/>
      <c r="N32" s="3803"/>
      <c r="O32" s="3782">
        <f t="shared" si="2"/>
        <v>58417.006486717306</v>
      </c>
    </row>
    <row r="33" spans="2:15" ht="18" customHeight="1" x14ac:dyDescent="0.25">
      <c r="B33" s="4245" t="s">
        <v>1493</v>
      </c>
      <c r="C33" s="3791"/>
      <c r="D33" s="4226">
        <f>Table3!D20</f>
        <v>238.06935397014655</v>
      </c>
      <c r="E33" s="4226">
        <f>Table3!E20</f>
        <v>1.5211139747914264</v>
      </c>
      <c r="F33" s="3802"/>
      <c r="G33" s="3802"/>
      <c r="H33" s="3802"/>
      <c r="I33" s="3802"/>
      <c r="J33" s="3802"/>
      <c r="K33" s="69"/>
      <c r="L33" s="69"/>
      <c r="M33" s="4247" t="str">
        <f>Table3!H20</f>
        <v>NE</v>
      </c>
      <c r="N33" s="3804"/>
      <c r="O33" s="3783">
        <f t="shared" si="2"/>
        <v>7069.0371144838318</v>
      </c>
    </row>
    <row r="34" spans="2:15" ht="18" customHeight="1" x14ac:dyDescent="0.25">
      <c r="B34" s="4245" t="s">
        <v>1494</v>
      </c>
      <c r="C34" s="3791"/>
      <c r="D34" s="4226">
        <f>Table3!D31</f>
        <v>0.3292408</v>
      </c>
      <c r="E34" s="69"/>
      <c r="F34" s="3802"/>
      <c r="G34" s="3802"/>
      <c r="H34" s="3802"/>
      <c r="I34" s="3802"/>
      <c r="J34" s="3802"/>
      <c r="K34" s="69"/>
      <c r="L34" s="69"/>
      <c r="M34" s="4247" t="str">
        <f>Table3!H31</f>
        <v>NE</v>
      </c>
      <c r="N34" s="3804"/>
      <c r="O34" s="3783">
        <f t="shared" si="2"/>
        <v>9.2187424</v>
      </c>
    </row>
    <row r="35" spans="2:15" ht="18" customHeight="1" x14ac:dyDescent="0.25">
      <c r="B35" s="4245" t="s">
        <v>1495</v>
      </c>
      <c r="C35" s="4248"/>
      <c r="D35" s="4226" t="str">
        <f>Table3!D32</f>
        <v>NE</v>
      </c>
      <c r="E35" s="4226">
        <f>Table3!E32</f>
        <v>37.660859111517247</v>
      </c>
      <c r="F35" s="3802"/>
      <c r="G35" s="3802"/>
      <c r="H35" s="3802"/>
      <c r="I35" s="3802"/>
      <c r="J35" s="3802"/>
      <c r="K35" s="4247" t="str">
        <f>Table3!F32</f>
        <v>NO</v>
      </c>
      <c r="L35" s="4247" t="str">
        <f>Table3!G32</f>
        <v>NO</v>
      </c>
      <c r="M35" s="4247" t="str">
        <f>Table3!H32</f>
        <v>NO</v>
      </c>
      <c r="N35" s="3804"/>
      <c r="O35" s="3783">
        <f t="shared" si="2"/>
        <v>9980.1276645520702</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6.3481931408653383</v>
      </c>
      <c r="E37" s="4226">
        <f>Table3!E43</f>
        <v>0.26302790916448582</v>
      </c>
      <c r="F37" s="3802"/>
      <c r="G37" s="3802"/>
      <c r="H37" s="3802"/>
      <c r="I37" s="3802"/>
      <c r="J37" s="3802"/>
      <c r="K37" s="4247">
        <f>Table3!F43</f>
        <v>15.196468914646726</v>
      </c>
      <c r="L37" s="4247">
        <f>Table3!G43</f>
        <v>247.57953249374822</v>
      </c>
      <c r="M37" s="4247">
        <f>Table3!H43</f>
        <v>14.442139395468645</v>
      </c>
      <c r="N37" s="4247" t="str">
        <f>Table3!I43</f>
        <v>NO</v>
      </c>
      <c r="O37" s="3783">
        <f t="shared" si="2"/>
        <v>247.4518038728182</v>
      </c>
    </row>
    <row r="38" spans="2:15" ht="18" customHeight="1" x14ac:dyDescent="0.25">
      <c r="B38" s="4249" t="s">
        <v>721</v>
      </c>
      <c r="C38" s="3794">
        <f>Table3!C44</f>
        <v>1065.5307007157301</v>
      </c>
      <c r="D38" s="4250"/>
      <c r="E38" s="4250"/>
      <c r="F38" s="3792"/>
      <c r="G38" s="3792"/>
      <c r="H38" s="3792"/>
      <c r="I38" s="3792"/>
      <c r="J38" s="3792"/>
      <c r="K38" s="3805"/>
      <c r="L38" s="3805"/>
      <c r="M38" s="3805"/>
      <c r="N38" s="3793"/>
      <c r="O38" s="3785">
        <f t="shared" si="2"/>
        <v>1065.5307007157301</v>
      </c>
    </row>
    <row r="39" spans="2:15" ht="18" customHeight="1" x14ac:dyDescent="0.25">
      <c r="B39" s="4249" t="s">
        <v>722</v>
      </c>
      <c r="C39" s="3806">
        <f>Table3!C45</f>
        <v>764.85177220220487</v>
      </c>
      <c r="D39" s="4250"/>
      <c r="E39" s="4250"/>
      <c r="F39" s="3792"/>
      <c r="G39" s="3792"/>
      <c r="H39" s="3792"/>
      <c r="I39" s="3792"/>
      <c r="J39" s="3792"/>
      <c r="K39" s="3805"/>
      <c r="L39" s="3805"/>
      <c r="M39" s="3805"/>
      <c r="N39" s="3793"/>
      <c r="O39" s="3785">
        <f t="shared" si="2"/>
        <v>764.85177220220487</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55914.654785077233</v>
      </c>
      <c r="D42" s="3809">
        <f>Table4!D10</f>
        <v>735.22739118260972</v>
      </c>
      <c r="E42" s="3810">
        <f>Table4!E10</f>
        <v>17.439517599166955</v>
      </c>
      <c r="F42" s="3801"/>
      <c r="G42" s="3801"/>
      <c r="H42" s="3801"/>
      <c r="I42" s="3801"/>
      <c r="J42" s="3801"/>
      <c r="K42" s="4253">
        <f>Table4!F10</f>
        <v>951.37938701257485</v>
      </c>
      <c r="L42" s="4253">
        <f>Table4!G10</f>
        <v>25191.770157302519</v>
      </c>
      <c r="M42" s="4253">
        <f>Table4!H10</f>
        <v>746.31014175080907</v>
      </c>
      <c r="N42" s="4254" t="str">
        <f>N50</f>
        <v>NO</v>
      </c>
      <c r="O42" s="3781">
        <f t="shared" si="2"/>
        <v>81122.493901969545</v>
      </c>
    </row>
    <row r="43" spans="2:15" ht="18" customHeight="1" x14ac:dyDescent="0.25">
      <c r="B43" s="4245" t="s">
        <v>2042</v>
      </c>
      <c r="C43" s="4255">
        <f>Table4!C11</f>
        <v>-27800.467365147808</v>
      </c>
      <c r="D43" s="4256">
        <f>Table4!D11</f>
        <v>312.48955813517063</v>
      </c>
      <c r="E43" s="4257">
        <f>Table4!E11</f>
        <v>5.5451387617763164</v>
      </c>
      <c r="F43" s="3792"/>
      <c r="G43" s="3792"/>
      <c r="H43" s="3792"/>
      <c r="I43" s="3792"/>
      <c r="J43" s="3792"/>
      <c r="K43" s="4247">
        <f>Table4!F11</f>
        <v>303.2109804230235</v>
      </c>
      <c r="L43" s="4247">
        <f>Table4!G11</f>
        <v>8332.1803793819145</v>
      </c>
      <c r="M43" s="4247">
        <f>Table4!H11</f>
        <v>334.50552339958523</v>
      </c>
      <c r="N43" s="3811"/>
      <c r="O43" s="3812">
        <f t="shared" si="2"/>
        <v>-17581.297965492307</v>
      </c>
    </row>
    <row r="44" spans="2:15" ht="18" customHeight="1" x14ac:dyDescent="0.25">
      <c r="B44" s="4245" t="s">
        <v>2043</v>
      </c>
      <c r="C44" s="4255">
        <f>Table4!C14</f>
        <v>10292.388232477662</v>
      </c>
      <c r="D44" s="4258">
        <f>Table4!D14</f>
        <v>2.5958016000000002</v>
      </c>
      <c r="E44" s="4258">
        <f>Table4!E14</f>
        <v>0.15753790487858593</v>
      </c>
      <c r="F44" s="3802"/>
      <c r="G44" s="3802"/>
      <c r="H44" s="3802"/>
      <c r="I44" s="3802"/>
      <c r="J44" s="3802"/>
      <c r="K44" s="4247">
        <f>Table4!F14</f>
        <v>1.9545768000000001</v>
      </c>
      <c r="L44" s="4247">
        <f>Table4!G14</f>
        <v>76.552112000000008</v>
      </c>
      <c r="M44" s="4247">
        <f>Table4!H14</f>
        <v>9.2535519999999991</v>
      </c>
      <c r="N44" s="4259"/>
      <c r="O44" s="3783">
        <f t="shared" si="2"/>
        <v>10406.818222070488</v>
      </c>
    </row>
    <row r="45" spans="2:15" ht="18" customHeight="1" x14ac:dyDescent="0.25">
      <c r="B45" s="4245" t="s">
        <v>2044</v>
      </c>
      <c r="C45" s="4255">
        <f>Table4!C17</f>
        <v>73349.847931771059</v>
      </c>
      <c r="D45" s="4258">
        <f>Table4!D17</f>
        <v>332.2581018795654</v>
      </c>
      <c r="E45" s="4258">
        <f>Table4!E17</f>
        <v>11.155017322234478</v>
      </c>
      <c r="F45" s="3802"/>
      <c r="G45" s="3802"/>
      <c r="H45" s="3802"/>
      <c r="I45" s="3802"/>
      <c r="J45" s="3802"/>
      <c r="K45" s="4247">
        <f>Table4!F17</f>
        <v>616.95666846531242</v>
      </c>
      <c r="L45" s="4247">
        <f>Table4!G17</f>
        <v>16040.581157226072</v>
      </c>
      <c r="M45" s="4247">
        <f>Table4!H17</f>
        <v>389.39170604737257</v>
      </c>
      <c r="N45" s="4259"/>
      <c r="O45" s="3783">
        <f t="shared" si="2"/>
        <v>85609.154374791033</v>
      </c>
    </row>
    <row r="46" spans="2:15" ht="18" customHeight="1" x14ac:dyDescent="0.25">
      <c r="B46" s="4245" t="s">
        <v>2045</v>
      </c>
      <c r="C46" s="4255">
        <f>Table4!C20</f>
        <v>1335.6335916735666</v>
      </c>
      <c r="D46" s="4258">
        <f>Table4!D20</f>
        <v>84.30712796787374</v>
      </c>
      <c r="E46" s="4258">
        <f>Table4!E20</f>
        <v>0.35874025369277646</v>
      </c>
      <c r="F46" s="3802"/>
      <c r="G46" s="3802"/>
      <c r="H46" s="3802"/>
      <c r="I46" s="3802"/>
      <c r="J46" s="3802"/>
      <c r="K46" s="4247">
        <f>Table4!F20</f>
        <v>26.563914881381884</v>
      </c>
      <c r="L46" s="4247">
        <f>Table4!G20</f>
        <v>636.97398002786622</v>
      </c>
      <c r="M46" s="4247">
        <f>Table4!H20</f>
        <v>0.4087249705178807</v>
      </c>
      <c r="N46" s="4259"/>
      <c r="O46" s="3783">
        <f t="shared" si="2"/>
        <v>3791.2993420026169</v>
      </c>
    </row>
    <row r="47" spans="2:15" ht="18" customHeight="1" x14ac:dyDescent="0.25">
      <c r="B47" s="4245" t="s">
        <v>2046</v>
      </c>
      <c r="C47" s="4255">
        <f>Table4!C23</f>
        <v>5069.8052539375813</v>
      </c>
      <c r="D47" s="4258">
        <f>Table4!D23</f>
        <v>3.5768016000000005</v>
      </c>
      <c r="E47" s="4260">
        <f>Table4!E23</f>
        <v>0.11231950074338193</v>
      </c>
      <c r="F47" s="3802"/>
      <c r="G47" s="3802"/>
      <c r="H47" s="3802"/>
      <c r="I47" s="3802"/>
      <c r="J47" s="3802"/>
      <c r="K47" s="4247">
        <f>Table4!F23</f>
        <v>2.6932464428571432</v>
      </c>
      <c r="L47" s="4247">
        <f>Table4!G23</f>
        <v>105.48252866666667</v>
      </c>
      <c r="M47" s="4247">
        <f>Table4!H23</f>
        <v>12.750635333333333</v>
      </c>
      <c r="N47" s="1838"/>
      <c r="O47" s="3783">
        <f t="shared" si="2"/>
        <v>5199.720366434577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-6387.0494601329483</v>
      </c>
      <c r="D49" s="3792"/>
      <c r="E49" s="3792"/>
      <c r="F49" s="3792"/>
      <c r="G49" s="3792"/>
      <c r="H49" s="3792"/>
      <c r="I49" s="3792"/>
      <c r="J49" s="3792"/>
      <c r="K49" s="3792"/>
      <c r="L49" s="3792"/>
      <c r="M49" s="3792"/>
      <c r="N49" s="3814"/>
      <c r="O49" s="3785">
        <f t="shared" si="2"/>
        <v>-6387.0494601329483</v>
      </c>
    </row>
    <row r="50" spans="2:15" ht="18" customHeight="1" thickBot="1" x14ac:dyDescent="0.3">
      <c r="B50" s="4251" t="s">
        <v>2049</v>
      </c>
      <c r="C50" s="4264">
        <f>Table4!C30</f>
        <v>54.49660049812001</v>
      </c>
      <c r="D50" s="4265" t="str">
        <f>Table4!D30</f>
        <v>NO</v>
      </c>
      <c r="E50" s="4265">
        <f>Table4!E30</f>
        <v>0.11076385584141431</v>
      </c>
      <c r="F50" s="3807"/>
      <c r="G50" s="3807"/>
      <c r="H50" s="3807"/>
      <c r="I50" s="3807"/>
      <c r="J50" s="3807"/>
      <c r="K50" s="4266" t="str">
        <f>Table4!F30</f>
        <v>NO</v>
      </c>
      <c r="L50" s="4266" t="str">
        <f>Table4!G30</f>
        <v>NO</v>
      </c>
      <c r="M50" s="4266" t="str">
        <f>Table4!H30</f>
        <v>NO</v>
      </c>
      <c r="N50" s="4266" t="s">
        <v>2146</v>
      </c>
      <c r="O50" s="3798">
        <f t="shared" si="2"/>
        <v>83.849022296094802</v>
      </c>
    </row>
    <row r="51" spans="2:15" ht="18" customHeight="1" x14ac:dyDescent="0.25">
      <c r="B51" s="1377" t="s">
        <v>1500</v>
      </c>
      <c r="C51" s="3815">
        <f>Table5!C10</f>
        <v>30.138931124908421</v>
      </c>
      <c r="D51" s="3799">
        <f>Table5!D10</f>
        <v>574.38132114238556</v>
      </c>
      <c r="E51" s="3800">
        <f>Table5!E10</f>
        <v>1.0328899956533242</v>
      </c>
      <c r="F51" s="3801"/>
      <c r="G51" s="3801"/>
      <c r="H51" s="3801"/>
      <c r="I51" s="3801"/>
      <c r="J51" s="3801"/>
      <c r="K51" s="4243" t="str">
        <f>Table5!F10</f>
        <v>NO</v>
      </c>
      <c r="L51" s="4243" t="str">
        <f>Table5!G10</f>
        <v>NO</v>
      </c>
      <c r="M51" s="4243">
        <f>Table5!H10</f>
        <v>259.71670931550852</v>
      </c>
      <c r="N51" s="4244" t="str">
        <f>Table5!I10</f>
        <v>NO</v>
      </c>
      <c r="O51" s="4267">
        <f t="shared" si="2"/>
        <v>16386.531771959832</v>
      </c>
    </row>
    <row r="52" spans="2:15" ht="18" customHeight="1" x14ac:dyDescent="0.25">
      <c r="B52" s="4245" t="s">
        <v>2050</v>
      </c>
      <c r="C52" s="4248"/>
      <c r="D52" s="4246">
        <f>Table5!D11</f>
        <v>455.58731699999998</v>
      </c>
      <c r="E52" s="3816"/>
      <c r="F52" s="3801"/>
      <c r="G52" s="3801"/>
      <c r="H52" s="3801"/>
      <c r="I52" s="3801"/>
      <c r="J52" s="3801"/>
      <c r="K52" s="4247" t="str">
        <f>Table5!F11</f>
        <v>NO</v>
      </c>
      <c r="L52" s="4247" t="str">
        <f>Table5!G11</f>
        <v>NO</v>
      </c>
      <c r="M52" s="4247">
        <f>Table5!H11</f>
        <v>2.9362761311098104</v>
      </c>
      <c r="N52" s="3803"/>
      <c r="O52" s="4267">
        <f t="shared" si="2"/>
        <v>12756.444876</v>
      </c>
    </row>
    <row r="53" spans="2:15" ht="18" customHeight="1" x14ac:dyDescent="0.25">
      <c r="B53" s="4245" t="s">
        <v>1501</v>
      </c>
      <c r="C53" s="4248"/>
      <c r="D53" s="4246">
        <f>Table5!D15</f>
        <v>2.8674236249999994</v>
      </c>
      <c r="E53" s="4246">
        <f>Table5!E15</f>
        <v>0.36703022400000013</v>
      </c>
      <c r="F53" s="3802"/>
      <c r="G53" s="3802"/>
      <c r="H53" s="3802"/>
      <c r="I53" s="3802"/>
      <c r="J53" s="3802"/>
      <c r="K53" s="4247" t="str">
        <f>Table5!F15</f>
        <v>NA,NE</v>
      </c>
      <c r="L53" s="4247" t="str">
        <f>Table5!G15</f>
        <v>NA,NE</v>
      </c>
      <c r="M53" s="4247" t="str">
        <f>Table5!H15</f>
        <v>NA,NE</v>
      </c>
      <c r="N53" s="3803"/>
      <c r="O53" s="3782">
        <f t="shared" si="2"/>
        <v>177.55087086000003</v>
      </c>
    </row>
    <row r="54" spans="2:15" ht="18" customHeight="1" x14ac:dyDescent="0.25">
      <c r="B54" s="4245" t="s">
        <v>2051</v>
      </c>
      <c r="C54" s="4268">
        <f>Table5!C18</f>
        <v>30.138931124908421</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30.138931124908421</v>
      </c>
    </row>
    <row r="55" spans="2:15" ht="18" customHeight="1" x14ac:dyDescent="0.25">
      <c r="B55" s="4245" t="s">
        <v>1502</v>
      </c>
      <c r="C55" s="3791"/>
      <c r="D55" s="4226">
        <f>Table5!D21</f>
        <v>115.92658051738562</v>
      </c>
      <c r="E55" s="4226">
        <f>Table5!E21</f>
        <v>0.665859771653324</v>
      </c>
      <c r="F55" s="3802"/>
      <c r="G55" s="3802"/>
      <c r="H55" s="3802"/>
      <c r="I55" s="3802"/>
      <c r="J55" s="3802"/>
      <c r="K55" s="4247" t="str">
        <f>Table5!F21</f>
        <v>NO</v>
      </c>
      <c r="L55" s="4247" t="str">
        <f>Table5!G21</f>
        <v>NO</v>
      </c>
      <c r="M55" s="4247">
        <f>Table5!H21</f>
        <v>256.7804331843987</v>
      </c>
      <c r="N55" s="3803"/>
      <c r="O55" s="4270">
        <f t="shared" si="2"/>
        <v>3422.3970939749279</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12209.314722839999</v>
      </c>
      <c r="D61" s="3820">
        <f>Table1!D52</f>
        <v>0.2961321315058823</v>
      </c>
      <c r="E61" s="3820">
        <f>Table1!E52</f>
        <v>0.12750554307554179</v>
      </c>
      <c r="F61" s="628"/>
      <c r="G61" s="628"/>
      <c r="H61" s="628"/>
      <c r="I61" s="628"/>
      <c r="J61" s="628"/>
      <c r="K61" s="3820">
        <f>Table1!F52</f>
        <v>125.81134157430341</v>
      </c>
      <c r="L61" s="3820">
        <f>Table1!G52</f>
        <v>16.799962875723839</v>
      </c>
      <c r="M61" s="3820">
        <f>Table1!H52</f>
        <v>9.5755958738315794</v>
      </c>
      <c r="N61" s="3821">
        <f>Table1!I52</f>
        <v>48.661664433665862</v>
      </c>
      <c r="O61" s="4267">
        <f t="shared" ref="O61:O67" si="4">IF(SUM(C61:J61)=0,"NO",SUM(C61,F61:H61)+28*SUM(D61)+265*SUM(E61)+23500*SUM(I61)+16100*SUM(J61))</f>
        <v>12251.395391437181</v>
      </c>
    </row>
    <row r="62" spans="2:15" ht="18" customHeight="1" x14ac:dyDescent="0.25">
      <c r="B62" s="1371" t="s">
        <v>111</v>
      </c>
      <c r="C62" s="4279">
        <f>Table1!C53</f>
        <v>9271.6158911999992</v>
      </c>
      <c r="D62" s="4233">
        <f>Table1!D53</f>
        <v>1.5638964705882351E-2</v>
      </c>
      <c r="E62" s="4233">
        <f>Table1!E53</f>
        <v>4.7364638275541791E-2</v>
      </c>
      <c r="F62" s="628"/>
      <c r="G62" s="628"/>
      <c r="H62" s="628"/>
      <c r="I62" s="628"/>
      <c r="J62" s="2135"/>
      <c r="K62" s="4233">
        <f>Table1!F53</f>
        <v>46.974305774303417</v>
      </c>
      <c r="L62" s="4233">
        <f>Table1!G53</f>
        <v>14.667433420123839</v>
      </c>
      <c r="M62" s="4233">
        <f>Table1!H53</f>
        <v>7.1039330226315789</v>
      </c>
      <c r="N62" s="4234">
        <f>Table1!I53</f>
        <v>1.0923455504000001</v>
      </c>
      <c r="O62" s="3782">
        <f t="shared" si="4"/>
        <v>9284.6054113547834</v>
      </c>
    </row>
    <row r="63" spans="2:15" ht="18" customHeight="1" x14ac:dyDescent="0.25">
      <c r="B63" s="1380" t="s">
        <v>1503</v>
      </c>
      <c r="C63" s="4279">
        <f>Table1!C54</f>
        <v>2937.6988316399998</v>
      </c>
      <c r="D63" s="4219">
        <f>Table1!D54</f>
        <v>0.28049316679999997</v>
      </c>
      <c r="E63" s="4219">
        <f>Table1!E54</f>
        <v>8.0140904799999996E-2</v>
      </c>
      <c r="F63" s="628"/>
      <c r="G63" s="628"/>
      <c r="H63" s="628"/>
      <c r="I63" s="628"/>
      <c r="J63" s="628"/>
      <c r="K63" s="4219">
        <f>Table1!F54</f>
        <v>78.837035799999995</v>
      </c>
      <c r="L63" s="4219">
        <f>Table1!G54</f>
        <v>2.1325294555999998</v>
      </c>
      <c r="M63" s="4219">
        <f>Table1!H54</f>
        <v>2.4716628512000001</v>
      </c>
      <c r="N63" s="4220">
        <f>Table1!I54</f>
        <v>47.569318883265865</v>
      </c>
      <c r="O63" s="3783">
        <f t="shared" si="4"/>
        <v>2966.7899800823998</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19671.577561818198</v>
      </c>
      <c r="D65" s="3823"/>
      <c r="E65" s="3823"/>
      <c r="F65" s="3824"/>
      <c r="G65" s="3824"/>
      <c r="H65" s="3824"/>
      <c r="I65" s="3824"/>
      <c r="J65" s="3823"/>
      <c r="K65" s="3823"/>
      <c r="L65" s="3823"/>
      <c r="M65" s="3823"/>
      <c r="N65" s="3825"/>
      <c r="O65" s="3812">
        <f t="shared" si="4"/>
        <v>19671.577561818198</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-269080.37844852312</v>
      </c>
      <c r="D67" s="3824"/>
      <c r="E67" s="3824"/>
      <c r="F67" s="3828"/>
      <c r="G67" s="3824"/>
      <c r="H67" s="3824"/>
      <c r="I67" s="3824"/>
      <c r="J67" s="3824"/>
      <c r="K67" s="3824"/>
      <c r="L67" s="3824"/>
      <c r="M67" s="3824"/>
      <c r="N67" s="3829"/>
      <c r="O67" s="3785">
        <f t="shared" si="4"/>
        <v>-269080.37844852312</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460170.3545597645</v>
      </c>
      <c r="D10" s="4213">
        <f>IFERROR(Summary1!D10*28,Summary1!D10)</f>
        <v>142735.03367435141</v>
      </c>
      <c r="E10" s="4213">
        <f>IFERROR(Summary1!E10*265,Summary1!E10)</f>
        <v>21491.475557406091</v>
      </c>
      <c r="F10" s="4213">
        <f>Summary1!F10</f>
        <v>5286.3167534213244</v>
      </c>
      <c r="G10" s="4213">
        <f>Summary1!G10</f>
        <v>399.79678192568076</v>
      </c>
      <c r="H10" s="4213" t="str">
        <f>Summary1!H10</f>
        <v>NO</v>
      </c>
      <c r="I10" s="4288">
        <f>IFERROR(Summary1!I10*23500,Summary1!I10)</f>
        <v>168.33889499727519</v>
      </c>
      <c r="J10" s="4289" t="str">
        <f>IFERROR(Summary1!J10*16100,Summary1!J10)</f>
        <v>NO</v>
      </c>
      <c r="K10" s="4214">
        <f>IF(SUM(C10:J10)=0,"NO",SUM(C10:J10))</f>
        <v>630251.31622186629</v>
      </c>
    </row>
    <row r="11" spans="2:12" ht="18" customHeight="1" x14ac:dyDescent="0.2">
      <c r="B11" s="1550" t="s">
        <v>1476</v>
      </c>
      <c r="C11" s="4253">
        <f>Summary1!C11</f>
        <v>378446.132657693</v>
      </c>
      <c r="D11" s="4253">
        <f>IFERROR(Summary1!D11*28,Summary1!D11)</f>
        <v>40695.997903295422</v>
      </c>
      <c r="E11" s="4253">
        <f>IFERROR(Summary1!E11*265,Summary1!E11)</f>
        <v>3373.0535355618676</v>
      </c>
      <c r="F11" s="1929"/>
      <c r="G11" s="1929"/>
      <c r="H11" s="1930"/>
      <c r="I11" s="1930"/>
      <c r="J11" s="627"/>
      <c r="K11" s="4290">
        <f t="shared" ref="K11:K55" si="0">IF(SUM(C11:J11)=0,"NO",SUM(C11:J11))</f>
        <v>422515.18409655034</v>
      </c>
      <c r="L11" s="19"/>
    </row>
    <row r="12" spans="2:12" ht="18" customHeight="1" x14ac:dyDescent="0.2">
      <c r="B12" s="620" t="s">
        <v>131</v>
      </c>
      <c r="C12" s="4247">
        <f>Summary1!C12</f>
        <v>370963.40705041465</v>
      </c>
      <c r="D12" s="4247">
        <f>IFERROR(Summary1!D12*28,Summary1!D12)</f>
        <v>2278.062750103943</v>
      </c>
      <c r="E12" s="4247">
        <f>IFERROR(Summary1!E12*265,Summary1!E12)</f>
        <v>3348.8143394134486</v>
      </c>
      <c r="F12" s="628"/>
      <c r="G12" s="628"/>
      <c r="H12" s="628"/>
      <c r="I12" s="69"/>
      <c r="J12" s="69"/>
      <c r="K12" s="4291">
        <f t="shared" si="0"/>
        <v>376590.28413993202</v>
      </c>
      <c r="L12" s="19"/>
    </row>
    <row r="13" spans="2:12" ht="18" customHeight="1" x14ac:dyDescent="0.2">
      <c r="B13" s="1392" t="s">
        <v>1478</v>
      </c>
      <c r="C13" s="4247">
        <f>Summary1!C13</f>
        <v>224490.41435401241</v>
      </c>
      <c r="D13" s="4247">
        <f>IFERROR(Summary1!D13*28,Summary1!D13)</f>
        <v>404.45824936361458</v>
      </c>
      <c r="E13" s="4247">
        <f>IFERROR(Summary1!E13*265,Summary1!E13)</f>
        <v>991.97761203413506</v>
      </c>
      <c r="F13" s="628"/>
      <c r="G13" s="628"/>
      <c r="H13" s="628"/>
      <c r="I13" s="69"/>
      <c r="J13" s="69"/>
      <c r="K13" s="4291">
        <f t="shared" si="0"/>
        <v>225886.85021541014</v>
      </c>
      <c r="L13" s="19"/>
    </row>
    <row r="14" spans="2:12" ht="18" customHeight="1" x14ac:dyDescent="0.2">
      <c r="B14" s="1392" t="s">
        <v>1517</v>
      </c>
      <c r="C14" s="4247">
        <f>Summary1!C14</f>
        <v>42551.080627390678</v>
      </c>
      <c r="D14" s="4247">
        <f>IFERROR(Summary1!D14*28,Summary1!D14)</f>
        <v>69.32081380448416</v>
      </c>
      <c r="E14" s="4247">
        <f>IFERROR(Summary1!E14*265,Summary1!E14)</f>
        <v>377.37083506142096</v>
      </c>
      <c r="F14" s="628"/>
      <c r="G14" s="628"/>
      <c r="H14" s="628"/>
      <c r="I14" s="69"/>
      <c r="J14" s="69"/>
      <c r="K14" s="4291">
        <f t="shared" si="0"/>
        <v>42997.772276256583</v>
      </c>
      <c r="L14" s="19"/>
    </row>
    <row r="15" spans="2:12" ht="18" customHeight="1" x14ac:dyDescent="0.2">
      <c r="B15" s="1392" t="s">
        <v>1480</v>
      </c>
      <c r="C15" s="4247">
        <f>Summary1!C15</f>
        <v>83992.782117918439</v>
      </c>
      <c r="D15" s="4247">
        <f>IFERROR(Summary1!D15*28,Summary1!D15)</f>
        <v>525.23840091742886</v>
      </c>
      <c r="E15" s="4247">
        <f>IFERROR(Summary1!E15*265,Summary1!E15)</f>
        <v>1799.6341820080572</v>
      </c>
      <c r="F15" s="628"/>
      <c r="G15" s="628"/>
      <c r="H15" s="628"/>
      <c r="I15" s="69"/>
      <c r="J15" s="69"/>
      <c r="K15" s="4291">
        <f t="shared" si="0"/>
        <v>86317.654700843923</v>
      </c>
      <c r="L15" s="19"/>
    </row>
    <row r="16" spans="2:12" ht="18" customHeight="1" x14ac:dyDescent="0.2">
      <c r="B16" s="1392" t="s">
        <v>1481</v>
      </c>
      <c r="C16" s="4247">
        <f>Summary1!C16</f>
        <v>19090.374478065543</v>
      </c>
      <c r="D16" s="4247">
        <f>IFERROR(Summary1!D16*28,Summary1!D16)</f>
        <v>1278.1155250898764</v>
      </c>
      <c r="E16" s="4247">
        <f>IFERROR(Summary1!E16*265,Summary1!E16)</f>
        <v>173.59863547834522</v>
      </c>
      <c r="F16" s="628"/>
      <c r="G16" s="628"/>
      <c r="H16" s="628"/>
      <c r="I16" s="69"/>
      <c r="J16" s="69"/>
      <c r="K16" s="4291">
        <f t="shared" si="0"/>
        <v>20542.088638633766</v>
      </c>
      <c r="L16" s="19"/>
    </row>
    <row r="17" spans="2:12" ht="18" customHeight="1" x14ac:dyDescent="0.2">
      <c r="B17" s="1392" t="s">
        <v>1482</v>
      </c>
      <c r="C17" s="4247">
        <f>Summary1!C17</f>
        <v>838.75547302757877</v>
      </c>
      <c r="D17" s="4247">
        <f>IFERROR(Summary1!D17*28,Summary1!D17)</f>
        <v>0.92976092853871184</v>
      </c>
      <c r="E17" s="4247">
        <f>IFERROR(Summary1!E17*265,Summary1!E17)</f>
        <v>6.2330748314903035</v>
      </c>
      <c r="F17" s="628"/>
      <c r="G17" s="628"/>
      <c r="H17" s="628"/>
      <c r="I17" s="69"/>
      <c r="J17" s="69"/>
      <c r="K17" s="4291">
        <f t="shared" si="0"/>
        <v>845.91830878760777</v>
      </c>
      <c r="L17" s="19"/>
    </row>
    <row r="18" spans="2:12" ht="18" customHeight="1" x14ac:dyDescent="0.2">
      <c r="B18" s="620" t="s">
        <v>99</v>
      </c>
      <c r="C18" s="4247">
        <f>Summary1!C18</f>
        <v>7482.7256072783639</v>
      </c>
      <c r="D18" s="4247">
        <f>IFERROR(Summary1!D18*28,Summary1!D18)</f>
        <v>38417.93515319148</v>
      </c>
      <c r="E18" s="4247">
        <f>IFERROR(Summary1!E18*265,Summary1!E18)</f>
        <v>24.239196148419246</v>
      </c>
      <c r="F18" s="628"/>
      <c r="G18" s="628"/>
      <c r="H18" s="628"/>
      <c r="I18" s="69"/>
      <c r="J18" s="69"/>
      <c r="K18" s="4291">
        <f t="shared" si="0"/>
        <v>45924.899956618261</v>
      </c>
      <c r="L18" s="19"/>
    </row>
    <row r="19" spans="2:12" ht="18" customHeight="1" x14ac:dyDescent="0.2">
      <c r="B19" s="1392" t="s">
        <v>1483</v>
      </c>
      <c r="C19" s="4247">
        <f>Summary1!C19</f>
        <v>1162.3635762445851</v>
      </c>
      <c r="D19" s="4247">
        <f>IFERROR(Summary1!D19*28,Summary1!D19)</f>
        <v>32576.602300190942</v>
      </c>
      <c r="E19" s="4247">
        <f>IFERROR(Summary1!E19*265,Summary1!E19)</f>
        <v>4.1094404948165068E-2</v>
      </c>
      <c r="F19" s="628"/>
      <c r="G19" s="628"/>
      <c r="H19" s="628"/>
      <c r="I19" s="69"/>
      <c r="J19" s="69"/>
      <c r="K19" s="4291">
        <f t="shared" si="0"/>
        <v>33739.006970840477</v>
      </c>
      <c r="L19" s="19"/>
    </row>
    <row r="20" spans="2:12" ht="18" customHeight="1" x14ac:dyDescent="0.2">
      <c r="B20" s="1393" t="s">
        <v>1484</v>
      </c>
      <c r="C20" s="4247">
        <f>Summary1!C20</f>
        <v>6320.3620310337783</v>
      </c>
      <c r="D20" s="4247">
        <f>IFERROR(Summary1!D20*28,Summary1!D20)</f>
        <v>5841.3328530005365</v>
      </c>
      <c r="E20" s="4247">
        <f>IFERROR(Summary1!E20*265,Summary1!E20)</f>
        <v>24.198101743471081</v>
      </c>
      <c r="F20" s="628"/>
      <c r="G20" s="628"/>
      <c r="H20" s="628"/>
      <c r="I20" s="69"/>
      <c r="J20" s="69"/>
      <c r="K20" s="4291">
        <f t="shared" si="0"/>
        <v>12185.892985777786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23949.045712951374</v>
      </c>
      <c r="D22" s="4253">
        <f>IFERROR(Summary1!D22*28,Summary1!D22)</f>
        <v>100.07527773045391</v>
      </c>
      <c r="E22" s="4253">
        <f>IFERROR(Summary1!E22*265,Summary1!E22)</f>
        <v>2770.3087454164634</v>
      </c>
      <c r="F22" s="4253">
        <f>Summary1!F22</f>
        <v>5286.3167534213244</v>
      </c>
      <c r="G22" s="4253">
        <f>Summary1!G22</f>
        <v>399.79678192568076</v>
      </c>
      <c r="H22" s="4253" t="str">
        <f>Summary1!H22</f>
        <v>NO</v>
      </c>
      <c r="I22" s="4253">
        <f>IFERROR(Summary1!I22*23500,Summary1!I22)</f>
        <v>168.33889499727519</v>
      </c>
      <c r="J22" s="4293" t="str">
        <f>IFERROR(Summary1!J22*16100,Summary1!J22)</f>
        <v>NO</v>
      </c>
      <c r="K22" s="4290">
        <f t="shared" si="0"/>
        <v>32673.882166442574</v>
      </c>
      <c r="L22" s="19"/>
    </row>
    <row r="23" spans="2:12" ht="18" customHeight="1" x14ac:dyDescent="0.2">
      <c r="B23" s="1394" t="s">
        <v>1487</v>
      </c>
      <c r="C23" s="4247">
        <f>Summary1!C23</f>
        <v>6898.3975325174652</v>
      </c>
      <c r="D23" s="628"/>
      <c r="E23" s="628"/>
      <c r="F23" s="628"/>
      <c r="G23" s="628"/>
      <c r="H23" s="628"/>
      <c r="I23" s="69"/>
      <c r="J23" s="69"/>
      <c r="K23" s="4291">
        <f t="shared" si="0"/>
        <v>6898.3975325174652</v>
      </c>
      <c r="L23" s="19"/>
    </row>
    <row r="24" spans="2:12" ht="18" customHeight="1" x14ac:dyDescent="0.2">
      <c r="B24" s="1394" t="s">
        <v>621</v>
      </c>
      <c r="C24" s="4247">
        <f>Summary1!C24</f>
        <v>3459.3511337487348</v>
      </c>
      <c r="D24" s="4247">
        <f>IFERROR(Summary1!D24*28,Summary1!D24)</f>
        <v>16.177380799999998</v>
      </c>
      <c r="E24" s="4247">
        <f>IFERROR(Summary1!E24*265,Summary1!E24)</f>
        <v>2749.6779071443066</v>
      </c>
      <c r="F24" s="1924" t="str">
        <f>Summary1!F24</f>
        <v>NO</v>
      </c>
      <c r="G24" s="1924" t="str">
        <f>Summary1!G24</f>
        <v>NO</v>
      </c>
      <c r="H24" s="1924" t="str">
        <f>Summary1!H24</f>
        <v>NO</v>
      </c>
      <c r="I24" s="616" t="str">
        <f>IFERROR(Summary1!I24*23500,Summary1!I24)</f>
        <v>NO</v>
      </c>
      <c r="J24" s="616" t="str">
        <f>IFERROR(Summary1!J24*16100,Summary1!J24)</f>
        <v>NO</v>
      </c>
      <c r="K24" s="4291">
        <f t="shared" si="0"/>
        <v>6225.2064216930412</v>
      </c>
      <c r="L24" s="19"/>
    </row>
    <row r="25" spans="2:12" ht="18" customHeight="1" x14ac:dyDescent="0.2">
      <c r="B25" s="1394" t="s">
        <v>459</v>
      </c>
      <c r="C25" s="4247">
        <f>Summary1!C25</f>
        <v>13190.956265353812</v>
      </c>
      <c r="D25" s="4247">
        <f>IFERROR(Summary1!D25*28,Summary1!D25)</f>
        <v>83.897896930453911</v>
      </c>
      <c r="E25" s="4247">
        <f>IFERROR(Summary1!E25*265,Summary1!E25)</f>
        <v>20.630838272156495</v>
      </c>
      <c r="F25" s="1924" t="str">
        <f>Summary1!F25</f>
        <v>NO</v>
      </c>
      <c r="G25" s="4247">
        <f>Summary1!G25</f>
        <v>399.79678192568076</v>
      </c>
      <c r="H25" s="4247" t="str">
        <f>Summary1!H25</f>
        <v>NO</v>
      </c>
      <c r="I25" s="4247" t="str">
        <f>IFERROR(Summary1!I25*23500,Summary1!I25)</f>
        <v>NO</v>
      </c>
      <c r="J25" s="4247" t="str">
        <f>IFERROR(Summary1!J25*16100,Summary1!J25)</f>
        <v>NO</v>
      </c>
      <c r="K25" s="4291">
        <f t="shared" si="0"/>
        <v>13695.281782482103</v>
      </c>
      <c r="L25" s="19"/>
    </row>
    <row r="26" spans="2:12" ht="18" customHeight="1" x14ac:dyDescent="0.2">
      <c r="B26" s="1395" t="s">
        <v>1519</v>
      </c>
      <c r="C26" s="4247">
        <f>Summary1!C26</f>
        <v>236.96094149999999</v>
      </c>
      <c r="D26" s="4247" t="str">
        <f>IFERROR(Summary1!D26*28,Summary1!D26)</f>
        <v>NO</v>
      </c>
      <c r="E26" s="4247" t="str">
        <f>IFERROR(Summary1!E26*265,Summary1!E26)</f>
        <v>NO</v>
      </c>
      <c r="F26" s="628"/>
      <c r="G26" s="628"/>
      <c r="H26" s="628"/>
      <c r="I26" s="69"/>
      <c r="J26" s="69"/>
      <c r="K26" s="4291">
        <f t="shared" si="0"/>
        <v>236.96094149999999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5286.3167534213244</v>
      </c>
      <c r="G28" s="4247" t="str">
        <f>Summary1!G28</f>
        <v>NO</v>
      </c>
      <c r="H28" s="4247" t="str">
        <f>Summary1!H28</f>
        <v>NO</v>
      </c>
      <c r="I28" s="4247" t="str">
        <f>IFERROR(Summary1!I28*23500,Summary1!I28)</f>
        <v>NO</v>
      </c>
      <c r="J28" s="4247" t="str">
        <f>IFERROR(Summary1!J28*16100,Summary1!J28)</f>
        <v>NO</v>
      </c>
      <c r="K28" s="4291">
        <f t="shared" si="0"/>
        <v>5286.3167534213244</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168.33889499727519</v>
      </c>
      <c r="J29" s="4247" t="str">
        <f>IFERROR(Summary1!J29*16100,Summary1!J29)</f>
        <v>NO</v>
      </c>
      <c r="K29" s="4291">
        <f t="shared" si="0"/>
        <v>168.33889499727519</v>
      </c>
      <c r="L29" s="19"/>
    </row>
    <row r="30" spans="2:12" ht="18" customHeight="1" thickBot="1" x14ac:dyDescent="0.25">
      <c r="B30" s="1407" t="s">
        <v>1523</v>
      </c>
      <c r="C30" s="4266">
        <f>Summary1!C30</f>
        <v>163.37983983135788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163.37983983135788</v>
      </c>
      <c r="L30" s="19"/>
    </row>
    <row r="31" spans="2:12" ht="18" customHeight="1" x14ac:dyDescent="0.2">
      <c r="B31" s="772" t="s">
        <v>1491</v>
      </c>
      <c r="C31" s="4253">
        <f>Summary1!C31</f>
        <v>1830.382472917935</v>
      </c>
      <c r="D31" s="4253">
        <f>IFERROR(Summary1!D31*28,Summary1!D31)</f>
        <v>65269.91654822565</v>
      </c>
      <c r="E31" s="4253">
        <f>IFERROR(Summary1!E31*265,Summary1!E31)</f>
        <v>10452.925263800387</v>
      </c>
      <c r="F31" s="1929"/>
      <c r="G31" s="1929"/>
      <c r="H31" s="1929"/>
      <c r="I31" s="4215"/>
      <c r="J31" s="627"/>
      <c r="K31" s="4290">
        <f t="shared" si="0"/>
        <v>77553.224284943964</v>
      </c>
      <c r="L31" s="19"/>
    </row>
    <row r="32" spans="2:12" ht="18" customHeight="1" x14ac:dyDescent="0.2">
      <c r="B32" s="620" t="s">
        <v>1492</v>
      </c>
      <c r="C32" s="628"/>
      <c r="D32" s="4247">
        <f>IFERROR(Summary1!D32*28,Summary1!D32)</f>
        <v>58417.006486717306</v>
      </c>
      <c r="E32" s="628"/>
      <c r="F32" s="628"/>
      <c r="G32" s="628"/>
      <c r="H32" s="628"/>
      <c r="I32" s="69"/>
      <c r="J32" s="69"/>
      <c r="K32" s="4291">
        <f t="shared" si="0"/>
        <v>58417.006486717306</v>
      </c>
      <c r="L32" s="19"/>
    </row>
    <row r="33" spans="2:12" ht="18" customHeight="1" x14ac:dyDescent="0.2">
      <c r="B33" s="620" t="s">
        <v>1493</v>
      </c>
      <c r="C33" s="628"/>
      <c r="D33" s="4247">
        <f>IFERROR(Summary1!D33*28,Summary1!D33)</f>
        <v>6665.9419111641037</v>
      </c>
      <c r="E33" s="4247">
        <f>IFERROR(Summary1!E33*265,Summary1!E33)</f>
        <v>403.095203319728</v>
      </c>
      <c r="F33" s="628"/>
      <c r="G33" s="628"/>
      <c r="H33" s="628"/>
      <c r="I33" s="69"/>
      <c r="J33" s="69"/>
      <c r="K33" s="4291">
        <f t="shared" si="0"/>
        <v>7069.0371144838318</v>
      </c>
      <c r="L33" s="19"/>
    </row>
    <row r="34" spans="2:12" ht="18" customHeight="1" x14ac:dyDescent="0.2">
      <c r="B34" s="620" t="s">
        <v>1494</v>
      </c>
      <c r="C34" s="628"/>
      <c r="D34" s="4247">
        <f>IFERROR(Summary1!D34*28,Summary1!D34)</f>
        <v>9.2187424</v>
      </c>
      <c r="E34" s="628"/>
      <c r="F34" s="628"/>
      <c r="G34" s="628"/>
      <c r="H34" s="628"/>
      <c r="I34" s="69"/>
      <c r="J34" s="69"/>
      <c r="K34" s="4291">
        <f t="shared" si="0"/>
        <v>9.2187424</v>
      </c>
      <c r="L34" s="19"/>
    </row>
    <row r="35" spans="2:12" ht="18" customHeight="1" x14ac:dyDescent="0.2">
      <c r="B35" s="620" t="s">
        <v>1495</v>
      </c>
      <c r="C35" s="4294"/>
      <c r="D35" s="4247" t="str">
        <f>IFERROR(Summary1!D35*28,Summary1!D35)</f>
        <v>NE</v>
      </c>
      <c r="E35" s="4247">
        <f>IFERROR(Summary1!E35*265,Summary1!E35)</f>
        <v>9980.1276645520702</v>
      </c>
      <c r="F35" s="628"/>
      <c r="G35" s="628"/>
      <c r="H35" s="628"/>
      <c r="I35" s="69"/>
      <c r="J35" s="69"/>
      <c r="K35" s="4291">
        <f t="shared" si="0"/>
        <v>9980.1276645520702</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177.74940794422946</v>
      </c>
      <c r="E37" s="4247">
        <f>IFERROR(Summary1!E37*265,Summary1!E37)</f>
        <v>69.702395928588743</v>
      </c>
      <c r="F37" s="628"/>
      <c r="G37" s="628"/>
      <c r="H37" s="628"/>
      <c r="I37" s="69"/>
      <c r="J37" s="69"/>
      <c r="K37" s="4291">
        <f t="shared" si="0"/>
        <v>247.4518038728182</v>
      </c>
      <c r="L37" s="19"/>
    </row>
    <row r="38" spans="2:12" ht="18" customHeight="1" x14ac:dyDescent="0.2">
      <c r="B38" s="620" t="s">
        <v>721</v>
      </c>
      <c r="C38" s="1924">
        <f>Summary1!C38</f>
        <v>1065.5307007157301</v>
      </c>
      <c r="D38" s="4295"/>
      <c r="E38" s="4295"/>
      <c r="F38" s="628"/>
      <c r="G38" s="628"/>
      <c r="H38" s="628"/>
      <c r="I38" s="69"/>
      <c r="J38" s="69"/>
      <c r="K38" s="4291">
        <f t="shared" si="0"/>
        <v>1065.5307007157301</v>
      </c>
      <c r="L38" s="19"/>
    </row>
    <row r="39" spans="2:12" ht="18" customHeight="1" x14ac:dyDescent="0.2">
      <c r="B39" s="620" t="s">
        <v>722</v>
      </c>
      <c r="C39" s="1924">
        <f>Summary1!C39</f>
        <v>764.85177220220487</v>
      </c>
      <c r="D39" s="4295"/>
      <c r="E39" s="4295"/>
      <c r="F39" s="628"/>
      <c r="G39" s="628"/>
      <c r="H39" s="628"/>
      <c r="I39" s="69"/>
      <c r="J39" s="69"/>
      <c r="K39" s="4291">
        <f t="shared" si="0"/>
        <v>764.85177220220487</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55914.654785077233</v>
      </c>
      <c r="D42" s="1927">
        <f>IFERROR(Summary1!D42*28,Summary1!D42)</f>
        <v>20586.366953113073</v>
      </c>
      <c r="E42" s="1927">
        <f>IFERROR(Summary1!E42*265,Summary1!E42)</f>
        <v>4621.4721637792427</v>
      </c>
      <c r="F42" s="1929"/>
      <c r="G42" s="1929"/>
      <c r="H42" s="1929"/>
      <c r="I42" s="4215"/>
      <c r="J42" s="627"/>
      <c r="K42" s="4290">
        <f t="shared" si="0"/>
        <v>81122.493901969545</v>
      </c>
      <c r="L42" s="19"/>
    </row>
    <row r="43" spans="2:12" ht="18" customHeight="1" x14ac:dyDescent="0.2">
      <c r="B43" s="620" t="s">
        <v>981</v>
      </c>
      <c r="C43" s="1924">
        <f>Summary1!C43</f>
        <v>-27800.467365147808</v>
      </c>
      <c r="D43" s="1924">
        <f>IFERROR(Summary1!D43*28,Summary1!D43)</f>
        <v>8749.7076277847773</v>
      </c>
      <c r="E43" s="1924">
        <f>IFERROR(Summary1!E43*265,Summary1!E43)</f>
        <v>1469.4617718707239</v>
      </c>
      <c r="F43" s="1931"/>
      <c r="G43" s="1931"/>
      <c r="H43" s="1931"/>
      <c r="I43" s="3352"/>
      <c r="J43" s="69"/>
      <c r="K43" s="4291">
        <f t="shared" si="0"/>
        <v>-17581.297965492307</v>
      </c>
      <c r="L43" s="19"/>
    </row>
    <row r="44" spans="2:12" ht="18" customHeight="1" x14ac:dyDescent="0.2">
      <c r="B44" s="620" t="s">
        <v>984</v>
      </c>
      <c r="C44" s="1924">
        <f>Summary1!C44</f>
        <v>10292.388232477662</v>
      </c>
      <c r="D44" s="1924">
        <f>IFERROR(Summary1!D44*28,Summary1!D44)</f>
        <v>72.682444799999999</v>
      </c>
      <c r="E44" s="1924">
        <f>IFERROR(Summary1!E44*265,Summary1!E44)</f>
        <v>41.747544792825273</v>
      </c>
      <c r="F44" s="1931"/>
      <c r="G44" s="1931"/>
      <c r="H44" s="1931"/>
      <c r="I44" s="3352"/>
      <c r="J44" s="69"/>
      <c r="K44" s="4291">
        <f t="shared" si="0"/>
        <v>10406.818222070488</v>
      </c>
      <c r="L44" s="19"/>
    </row>
    <row r="45" spans="2:12" ht="18" customHeight="1" x14ac:dyDescent="0.2">
      <c r="B45" s="620" t="s">
        <v>987</v>
      </c>
      <c r="C45" s="1924">
        <f>Summary1!C45</f>
        <v>73349.847931771059</v>
      </c>
      <c r="D45" s="1924">
        <f>IFERROR(Summary1!D45*28,Summary1!D45)</f>
        <v>9303.2268526278312</v>
      </c>
      <c r="E45" s="1924">
        <f>IFERROR(Summary1!E45*265,Summary1!E45)</f>
        <v>2956.0795903921367</v>
      </c>
      <c r="F45" s="1931"/>
      <c r="G45" s="1931"/>
      <c r="H45" s="1931"/>
      <c r="I45" s="3352"/>
      <c r="J45" s="69"/>
      <c r="K45" s="4291">
        <f t="shared" si="0"/>
        <v>85609.154374791033</v>
      </c>
      <c r="L45" s="19"/>
    </row>
    <row r="46" spans="2:12" ht="18" customHeight="1" x14ac:dyDescent="0.2">
      <c r="B46" s="620" t="s">
        <v>1525</v>
      </c>
      <c r="C46" s="1924">
        <f>Summary1!C46</f>
        <v>1335.6335916735666</v>
      </c>
      <c r="D46" s="1924">
        <f>IFERROR(Summary1!D46*28,Summary1!D46)</f>
        <v>2360.5995831004648</v>
      </c>
      <c r="E46" s="1924">
        <f>IFERROR(Summary1!E46*265,Summary1!E46)</f>
        <v>95.066167228585755</v>
      </c>
      <c r="F46" s="1931"/>
      <c r="G46" s="1931"/>
      <c r="H46" s="1931"/>
      <c r="I46" s="3352"/>
      <c r="J46" s="69"/>
      <c r="K46" s="4291">
        <f t="shared" si="0"/>
        <v>3791.2993420026169</v>
      </c>
      <c r="L46" s="19"/>
    </row>
    <row r="47" spans="2:12" ht="18" customHeight="1" x14ac:dyDescent="0.2">
      <c r="B47" s="620" t="s">
        <v>1526</v>
      </c>
      <c r="C47" s="1924">
        <f>Summary1!C47</f>
        <v>5069.8052539375813</v>
      </c>
      <c r="D47" s="1924">
        <f>IFERROR(Summary1!D47*28,Summary1!D47)</f>
        <v>100.15044480000002</v>
      </c>
      <c r="E47" s="1924">
        <f>IFERROR(Summary1!E47*265,Summary1!E47)</f>
        <v>29.764667696996209</v>
      </c>
      <c r="F47" s="1931"/>
      <c r="G47" s="1931"/>
      <c r="H47" s="1931"/>
      <c r="I47" s="3352"/>
      <c r="J47" s="69"/>
      <c r="K47" s="4291">
        <f t="shared" si="0"/>
        <v>5199.720366434577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-6387.0494601329483</v>
      </c>
      <c r="D49" s="3835"/>
      <c r="E49" s="3835"/>
      <c r="F49" s="1931"/>
      <c r="G49" s="1931"/>
      <c r="H49" s="1931"/>
      <c r="I49" s="3352"/>
      <c r="J49" s="69"/>
      <c r="K49" s="4291">
        <f t="shared" si="0"/>
        <v>-6387.0494601329483</v>
      </c>
      <c r="L49" s="19"/>
    </row>
    <row r="50" spans="2:12" ht="18" customHeight="1" thickBot="1" x14ac:dyDescent="0.25">
      <c r="B50" s="1552" t="s">
        <v>1529</v>
      </c>
      <c r="C50" s="1926">
        <f>Summary1!C50</f>
        <v>54.49660049812001</v>
      </c>
      <c r="D50" s="1926" t="str">
        <f>IFERROR(Summary1!D50*28,Summary1!D50)</f>
        <v>NO</v>
      </c>
      <c r="E50" s="1926">
        <f>IFERROR(Summary1!E50*265,Summary1!E50)</f>
        <v>29.352421797974792</v>
      </c>
      <c r="F50" s="3024"/>
      <c r="G50" s="3024"/>
      <c r="H50" s="3024"/>
      <c r="I50" s="3828"/>
      <c r="J50" s="87"/>
      <c r="K50" s="4292">
        <f t="shared" si="0"/>
        <v>83.849022296094802</v>
      </c>
      <c r="L50" s="19"/>
    </row>
    <row r="51" spans="2:12" ht="18" customHeight="1" x14ac:dyDescent="0.2">
      <c r="B51" s="1550" t="s">
        <v>1500</v>
      </c>
      <c r="C51" s="1927">
        <f>Summary1!C51</f>
        <v>30.138931124908421</v>
      </c>
      <c r="D51" s="1927">
        <f>IFERROR(Summary1!D51*28,Summary1!D51)</f>
        <v>16082.676991986795</v>
      </c>
      <c r="E51" s="1927">
        <f>IFERROR(Summary1!E51*265,Summary1!E51)</f>
        <v>273.71584884813092</v>
      </c>
      <c r="F51" s="1929"/>
      <c r="G51" s="1929"/>
      <c r="H51" s="1929"/>
      <c r="I51" s="4215"/>
      <c r="J51" s="627"/>
      <c r="K51" s="4290">
        <f t="shared" si="0"/>
        <v>16386.531771959832</v>
      </c>
      <c r="L51" s="19"/>
    </row>
    <row r="52" spans="2:12" ht="18" customHeight="1" x14ac:dyDescent="0.2">
      <c r="B52" s="620" t="s">
        <v>1530</v>
      </c>
      <c r="C52" s="628"/>
      <c r="D52" s="1924">
        <f>IFERROR(Summary1!D52*28,Summary1!D52)</f>
        <v>12756.444876</v>
      </c>
      <c r="E52" s="1931"/>
      <c r="F52" s="628"/>
      <c r="G52" s="628"/>
      <c r="H52" s="628"/>
      <c r="I52" s="69"/>
      <c r="J52" s="69"/>
      <c r="K52" s="4291">
        <f t="shared" si="0"/>
        <v>12756.444876</v>
      </c>
      <c r="L52" s="19"/>
    </row>
    <row r="53" spans="2:12" ht="18" customHeight="1" x14ac:dyDescent="0.2">
      <c r="B53" s="1396" t="s">
        <v>1531</v>
      </c>
      <c r="C53" s="628"/>
      <c r="D53" s="1924">
        <f>IFERROR(Summary1!D53*28,Summary1!D53)</f>
        <v>80.287861499999977</v>
      </c>
      <c r="E53" s="1924">
        <f>IFERROR(Summary1!E53*265,Summary1!E53)</f>
        <v>97.263009360000041</v>
      </c>
      <c r="F53" s="628"/>
      <c r="G53" s="628"/>
      <c r="H53" s="628"/>
      <c r="I53" s="69"/>
      <c r="J53" s="69"/>
      <c r="K53" s="4291">
        <f t="shared" si="0"/>
        <v>177.55087086000003</v>
      </c>
      <c r="L53" s="19"/>
    </row>
    <row r="54" spans="2:12" ht="18" customHeight="1" x14ac:dyDescent="0.2">
      <c r="B54" s="1397" t="s">
        <v>1532</v>
      </c>
      <c r="C54" s="1924">
        <f>Summary1!C54</f>
        <v>30.138931124908421</v>
      </c>
      <c r="D54" s="1924" t="str">
        <f>IFERROR(Summary1!D54*28,Summary1!D54)</f>
        <v>NO,NE</v>
      </c>
      <c r="E54" s="1924" t="str">
        <f>IFERROR(Summary1!E54*265,Summary1!E54)</f>
        <v>NO,NE</v>
      </c>
      <c r="F54" s="628"/>
      <c r="G54" s="628"/>
      <c r="H54" s="628"/>
      <c r="I54" s="69"/>
      <c r="J54" s="69"/>
      <c r="K54" s="4291">
        <f t="shared" si="0"/>
        <v>30.138931124908421</v>
      </c>
      <c r="L54" s="19"/>
    </row>
    <row r="55" spans="2:12" ht="18" customHeight="1" x14ac:dyDescent="0.2">
      <c r="B55" s="620" t="s">
        <v>1533</v>
      </c>
      <c r="C55" s="628"/>
      <c r="D55" s="1924">
        <f>IFERROR(Summary1!D55*28,Summary1!D55)</f>
        <v>3245.944254486797</v>
      </c>
      <c r="E55" s="1924">
        <f>IFERROR(Summary1!E55*265,Summary1!E55)</f>
        <v>176.45283948813085</v>
      </c>
      <c r="F55" s="628"/>
      <c r="G55" s="628"/>
      <c r="H55" s="628"/>
      <c r="I55" s="69"/>
      <c r="J55" s="69"/>
      <c r="K55" s="4291">
        <f t="shared" si="0"/>
        <v>3422.3970939749279</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12209.314722839999</v>
      </c>
      <c r="D60" s="4219">
        <f>IFERROR(Summary1!D61*28,Summary1!D61)</f>
        <v>8.2916996821647047</v>
      </c>
      <c r="E60" s="4219">
        <f>IFERROR(Summary1!E61*265,Summary1!E61)</f>
        <v>33.788968915018579</v>
      </c>
      <c r="F60" s="1931"/>
      <c r="G60" s="1931"/>
      <c r="H60" s="1932"/>
      <c r="I60" s="630"/>
      <c r="J60" s="630"/>
      <c r="K60" s="4220">
        <f t="shared" ref="K60:K66" si="2">IF(SUM(C60:J60)=0,"NO",SUM(C60:J60))</f>
        <v>12251.395391437181</v>
      </c>
    </row>
    <row r="61" spans="2:12" ht="18" customHeight="1" x14ac:dyDescent="0.2">
      <c r="B61" s="1386" t="s">
        <v>111</v>
      </c>
      <c r="C61" s="4219">
        <f>Summary1!C62</f>
        <v>9271.6158911999992</v>
      </c>
      <c r="D61" s="4219">
        <f>IFERROR(Summary1!D62*28,Summary1!D62)</f>
        <v>0.4378910117647058</v>
      </c>
      <c r="E61" s="4219">
        <f>IFERROR(Summary1!E62*265,Summary1!E62)</f>
        <v>12.551629143018575</v>
      </c>
      <c r="F61" s="628"/>
      <c r="G61" s="628"/>
      <c r="H61" s="628"/>
      <c r="I61" s="631"/>
      <c r="J61" s="631"/>
      <c r="K61" s="4234">
        <f t="shared" si="2"/>
        <v>9284.6054113547834</v>
      </c>
    </row>
    <row r="62" spans="2:12" ht="18" customHeight="1" x14ac:dyDescent="0.2">
      <c r="B62" s="1387" t="s">
        <v>1503</v>
      </c>
      <c r="C62" s="4219">
        <f>Summary1!C63</f>
        <v>2937.6988316399998</v>
      </c>
      <c r="D62" s="4219">
        <f>IFERROR(Summary1!D63*28,Summary1!D63)</f>
        <v>7.8538086703999994</v>
      </c>
      <c r="E62" s="4219">
        <f>IFERROR(Summary1!E63*265,Summary1!E63)</f>
        <v>21.237339771999999</v>
      </c>
      <c r="F62" s="628"/>
      <c r="G62" s="628"/>
      <c r="H62" s="628"/>
      <c r="I62" s="632"/>
      <c r="J62" s="632"/>
      <c r="K62" s="4220">
        <f t="shared" si="2"/>
        <v>2966.7899800823998</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19671.577561818198</v>
      </c>
      <c r="D64" s="1931"/>
      <c r="E64" s="1931"/>
      <c r="F64" s="1931"/>
      <c r="G64" s="1931"/>
      <c r="H64" s="1931"/>
      <c r="I64" s="3352"/>
      <c r="J64" s="3352"/>
      <c r="K64" s="3821">
        <f t="shared" si="2"/>
        <v>19671.577561818198</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-269080.37844852312</v>
      </c>
      <c r="D66" s="4301"/>
      <c r="E66" s="4301"/>
      <c r="F66" s="4301"/>
      <c r="G66" s="4301"/>
      <c r="H66" s="4301"/>
      <c r="I66" s="3824"/>
      <c r="J66" s="3824"/>
      <c r="K66" s="4302">
        <f t="shared" si="2"/>
        <v>-269080.37844852312</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549128.82231989678</v>
      </c>
      <c r="N71" s="1126"/>
    </row>
    <row r="72" spans="2:14" s="634" customFormat="1" ht="18" customHeight="1" x14ac:dyDescent="0.25">
      <c r="B72" s="637"/>
      <c r="C72" s="638"/>
      <c r="D72" s="638"/>
      <c r="E72" s="638"/>
      <c r="F72" s="638"/>
      <c r="G72" s="638"/>
      <c r="H72" s="638"/>
      <c r="I72" s="638"/>
      <c r="J72" s="2553" t="s">
        <v>2122</v>
      </c>
      <c r="K72" s="3821">
        <f>K10</f>
        <v>630251.31622186629</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808675.23808045196</v>
      </c>
      <c r="D10" s="3076" t="s">
        <v>1814</v>
      </c>
      <c r="E10" s="628"/>
      <c r="F10" s="628"/>
      <c r="G10" s="628"/>
      <c r="H10" s="1913">
        <f>IF(SUM(H11:H15)=0,"NO",SUM(H11:H15))</f>
        <v>42551.080627390678</v>
      </c>
      <c r="I10" s="1913">
        <f t="shared" ref="I10:K10" si="0">IF(SUM(I11:I16)=0,"NO",SUM(I11:I16))</f>
        <v>2.4757433501601485</v>
      </c>
      <c r="J10" s="1847">
        <f t="shared" si="0"/>
        <v>1.4240408870242298</v>
      </c>
      <c r="K10" s="3065" t="str">
        <f t="shared" si="0"/>
        <v>NO</v>
      </c>
    </row>
    <row r="11" spans="2:11" ht="18" customHeight="1" x14ac:dyDescent="0.2">
      <c r="B11" s="282" t="s">
        <v>132</v>
      </c>
      <c r="C11" s="1913">
        <f>IF(SUM(C18,C25,C32,C39,C46,C53,C62,C69,C76,C83,C90,C97,C114,C104:C107)=0,"NO",SUM(C18,C25,C32,C39,C46,C53,C62,C69,C76,C83,C90,C97,C114,C104:C107))</f>
        <v>200741.88536956103</v>
      </c>
      <c r="D11" s="3077" t="s">
        <v>1814</v>
      </c>
      <c r="E11" s="1913">
        <f>IFERROR(H11*1000/$C11,"NA")</f>
        <v>69.109349626311229</v>
      </c>
      <c r="F11" s="1913">
        <f t="shared" ref="F11:G16" si="1">IFERROR(I11*1000000/$C11,"NA")</f>
        <v>4.1534339815865389</v>
      </c>
      <c r="G11" s="1913">
        <f t="shared" si="1"/>
        <v>1.9441200861288825</v>
      </c>
      <c r="H11" s="1913">
        <f>IF(SUM(H18,H25,H32,H39,H46,H53,H62,H69,H76,H83,H90,H97,H114,H104:H107)=0,"NO",SUM(H18,H25,H32,H39,H46,H53,H62,H69,H76,H83,H90,H97,H114,H104:H107))</f>
        <v>13873.141140649885</v>
      </c>
      <c r="I11" s="1913">
        <f>IF(SUM(I18,I25,I32,I39,I46,I53,I62,I69,I76,I83,I90,I97,I114,I104:I107)=0,"NO",SUM(I18,I25,I32,I39,I46,I53,I62,I69,I76,I83,I90,I97,I114,I104:I107))</f>
        <v>0.83376816822168454</v>
      </c>
      <c r="J11" s="1913">
        <f>IF(SUM(J18,J25,J32,J39,J46,J53,J62,J69,J76,J83,J90,J97,J114,J104:J107)=0,"NO",SUM(J18,J25,J32,J39,J46,J53,J62,J69,J76,J83,J90,J97,J114,J104:J107))</f>
        <v>0.39026633147434525</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136785.64567118121</v>
      </c>
      <c r="D12" s="3077" t="s">
        <v>1814</v>
      </c>
      <c r="E12" s="1913">
        <f t="shared" ref="E12:E16" si="2">IFERROR(H12*1000/$C12,"NA")</f>
        <v>80.975538641710031</v>
      </c>
      <c r="F12" s="1913">
        <f t="shared" si="1"/>
        <v>0.95047331220579612</v>
      </c>
      <c r="G12" s="1913">
        <f t="shared" si="1"/>
        <v>0.70219961747666848</v>
      </c>
      <c r="H12" s="1913">
        <f>IF(SUM(H19,H26,H33,H40,H47,H54,H63,H70,H77,H84,H91,H98,H115)=0,"NO",SUM(H19,H26,H33,H40,H47,H54,H63,H70,H77,H84,H91,H98,H115))</f>
        <v>11076.29133667799</v>
      </c>
      <c r="I12" s="1913">
        <f>IF(SUM(I19,I26,I33,I40,I47,I54,I63,I70,I77,I84,I91,I98,I115)=0,"NO",SUM(I19,I26,I33,I40,I47,I54,I63,I70,I77,I84,I91,I98,I115))</f>
        <v>0.13001110570329602</v>
      </c>
      <c r="J12" s="1913">
        <f>IF(SUM(J19,J26,J33,J40,J47,J54,J63,J70,J77,J84,J91,J98,J115)=0,"NO",SUM(J19,J26,J33,J40,J47,J54,J63,J70,J77,J84,J91,J98,J115))</f>
        <v>9.6050828066602548E-2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341839.31858158065</v>
      </c>
      <c r="D13" s="3077" t="s">
        <v>1814</v>
      </c>
      <c r="E13" s="1913">
        <f t="shared" si="2"/>
        <v>51.490999406091227</v>
      </c>
      <c r="F13" s="1913">
        <f t="shared" si="1"/>
        <v>0.96363061380796555</v>
      </c>
      <c r="G13" s="1913">
        <f t="shared" si="1"/>
        <v>0.54231609685329452</v>
      </c>
      <c r="H13" s="1913">
        <f t="shared" ref="H13:K14" si="3">IF(SUM(H20,H27,H34,H41,H48,H55,H64,H71,H78,H85,H92,H99,H116,H109)=0,"NO",SUM(H20,H27,H34,H41,H48,H55,H64,H71,H78,H85,H92,H99,H116,H109))</f>
        <v>17601.6481500628</v>
      </c>
      <c r="I13" s="1913">
        <f t="shared" si="3"/>
        <v>0.32940683238846524</v>
      </c>
      <c r="J13" s="1913">
        <f t="shared" si="3"/>
        <v>0.18538496500415272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129308.38845812902</v>
      </c>
      <c r="D16" s="3092" t="s">
        <v>1814</v>
      </c>
      <c r="E16" s="1913">
        <f t="shared" si="2"/>
        <v>94.634107082071608</v>
      </c>
      <c r="F16" s="1913">
        <f t="shared" si="1"/>
        <v>9.1452477132187209</v>
      </c>
      <c r="G16" s="1913">
        <f t="shared" si="1"/>
        <v>5.818174454495983</v>
      </c>
      <c r="H16" s="1913">
        <f>IF(SUM(H23,H30,H37,H44,H51,H58,H67,H74,H81,H88,H95,H102,H119,H111)=0,"NO",SUM(H23,H30,H37,H44,H51,H58,H67,H74,H81,H88,H95,H102,H119,H111))</f>
        <v>12236.983879956695</v>
      </c>
      <c r="I16" s="1913">
        <f>IF(SUM(I23,I30,I37,I44,I51,I58,I67,I74,I81,I88,I95,I102,I119,I111)=0,"NO",SUM(I23,I30,I37,I44,I51,I58,I67,I74,I81,I88,I95,I102,I119,I111))</f>
        <v>1.1825572438467025</v>
      </c>
      <c r="J16" s="1913">
        <f>IF(SUM(J23,J30,J37,J44,J51,J58,J67,J74,J81,J88,J95,J102,J119,J111)=0,"NO",SUM(J23,J30,J37,J44,J51,J58,J67,J74,J81,J88,J95,J102,J119,J111))</f>
        <v>0.75233876247912945</v>
      </c>
      <c r="K16" s="3065" t="str">
        <f>IF(SUM(K23,K30,K37,K44,K51,K58,K67,K74,K81,K88,K95,K102,K119,K111)=0,"NO",SUM(K23,K30,K37,K44,K51,K58,K67,K74,K81,K88,K95,K102,K119,K111))</f>
        <v>NO</v>
      </c>
    </row>
    <row r="17" spans="2:11" ht="18" customHeight="1" x14ac:dyDescent="0.2">
      <c r="B17" s="1241" t="s">
        <v>151</v>
      </c>
      <c r="C17" s="1913">
        <f>IF(SUM(C18:C23)=0,"NO",SUM(C18:C23))</f>
        <v>57097.573318363655</v>
      </c>
      <c r="D17" s="3076" t="s">
        <v>1814</v>
      </c>
      <c r="E17" s="628"/>
      <c r="F17" s="628"/>
      <c r="G17" s="628"/>
      <c r="H17" s="1913">
        <f>IF(SUM(H18:H22)=0,"NO",SUM(H18:H22))</f>
        <v>2807.3573915385505</v>
      </c>
      <c r="I17" s="1913">
        <f t="shared" ref="I17:K17" si="4">IF(SUM(I18:I23)=0,"NO",SUM(I18:I23))</f>
        <v>6.000877525865058E-2</v>
      </c>
      <c r="J17" s="1913">
        <f t="shared" si="4"/>
        <v>3.4311295606320298E-2</v>
      </c>
      <c r="K17" s="3065" t="str">
        <f t="shared" si="4"/>
        <v>NO</v>
      </c>
    </row>
    <row r="18" spans="2:11" ht="18" customHeight="1" x14ac:dyDescent="0.2">
      <c r="B18" s="282" t="s">
        <v>132</v>
      </c>
      <c r="C18" s="691">
        <v>1904.0513064317058</v>
      </c>
      <c r="D18" s="3077" t="s">
        <v>1814</v>
      </c>
      <c r="E18" s="1913">
        <f>IFERROR(H18*1000/$C18,"NA")</f>
        <v>71.252106562666199</v>
      </c>
      <c r="F18" s="1913">
        <f t="shared" ref="F18:G23" si="5">IFERROR(I18*1000000/$C18,"NA")</f>
        <v>3.8259967054270332</v>
      </c>
      <c r="G18" s="1913">
        <f t="shared" si="5"/>
        <v>1.2012102834546048</v>
      </c>
      <c r="H18" s="691">
        <v>135.66766658665568</v>
      </c>
      <c r="I18" s="691">
        <v>7.2848940253717447E-3</v>
      </c>
      <c r="J18" s="691">
        <v>2.28716600951094E-3</v>
      </c>
      <c r="K18" s="3093" t="s">
        <v>2146</v>
      </c>
    </row>
    <row r="19" spans="2:11" ht="18" customHeight="1" x14ac:dyDescent="0.2">
      <c r="B19" s="282" t="s">
        <v>133</v>
      </c>
      <c r="C19" s="691">
        <v>28895.364216624348</v>
      </c>
      <c r="D19" s="3077" t="s">
        <v>1814</v>
      </c>
      <c r="E19" s="1913">
        <f t="shared" ref="E19:E23" si="6">IFERROR(H19*1000/$C19,"NA")</f>
        <v>45.669989622321523</v>
      </c>
      <c r="F19" s="1913">
        <f t="shared" si="5"/>
        <v>0.95582174161279898</v>
      </c>
      <c r="G19" s="1913">
        <f t="shared" si="5"/>
        <v>0.60115888718920996</v>
      </c>
      <c r="H19" s="691">
        <v>1319.6509839064347</v>
      </c>
      <c r="I19" s="691">
        <v>2.7618817350070036E-2</v>
      </c>
      <c r="J19" s="691">
        <v>1.7370704997392811E-2</v>
      </c>
      <c r="K19" s="3093" t="s">
        <v>2146</v>
      </c>
    </row>
    <row r="20" spans="2:11" ht="18" customHeight="1" x14ac:dyDescent="0.2">
      <c r="B20" s="282" t="s">
        <v>134</v>
      </c>
      <c r="C20" s="691">
        <v>26298.157795307601</v>
      </c>
      <c r="D20" s="3077" t="s">
        <v>1814</v>
      </c>
      <c r="E20" s="1913">
        <f t="shared" si="6"/>
        <v>51.411918339265014</v>
      </c>
      <c r="F20" s="1913">
        <f t="shared" si="5"/>
        <v>0.95463203463203472</v>
      </c>
      <c r="G20" s="1913">
        <f t="shared" si="5"/>
        <v>0.55720346320346326</v>
      </c>
      <c r="H20" s="691">
        <v>1352.03874104546</v>
      </c>
      <c r="I20" s="691">
        <v>2.5105063883208802E-2</v>
      </c>
      <c r="J20" s="691">
        <v>1.4653424599416548E-2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233425.12795327135</v>
      </c>
      <c r="D24" s="3077" t="s">
        <v>1814</v>
      </c>
      <c r="E24" s="628"/>
      <c r="F24" s="628"/>
      <c r="G24" s="628"/>
      <c r="H24" s="1913">
        <f>IF(SUM(H25:H29)=0,"NO",SUM(H25:H29))</f>
        <v>14748.36289759256</v>
      </c>
      <c r="I24" s="1913">
        <f t="shared" ref="I24:K24" si="7">IF(SUM(I25:I30)=0,"NO",SUM(I25:I30))</f>
        <v>0.28971419340271426</v>
      </c>
      <c r="J24" s="1913">
        <f t="shared" si="7"/>
        <v>0.17618143099026082</v>
      </c>
      <c r="K24" s="3065" t="str">
        <f t="shared" si="7"/>
        <v>NO</v>
      </c>
    </row>
    <row r="25" spans="2:11" ht="18" customHeight="1" x14ac:dyDescent="0.2">
      <c r="B25" s="282" t="s">
        <v>132</v>
      </c>
      <c r="C25" s="691">
        <v>41072.66756054938</v>
      </c>
      <c r="D25" s="3077" t="s">
        <v>1814</v>
      </c>
      <c r="E25" s="1913">
        <f>IFERROR(H25*1000/$C25,"NA")</f>
        <v>72.701906980391385</v>
      </c>
      <c r="F25" s="1913">
        <f t="shared" ref="F25:G30" si="8">IFERROR(I25*1000000/$C25,"NA")</f>
        <v>2.0957938517442676</v>
      </c>
      <c r="G25" s="1913">
        <f t="shared" si="8"/>
        <v>1.1440708493999581</v>
      </c>
      <c r="H25" s="691">
        <v>2986.0612564235994</v>
      </c>
      <c r="I25" s="691">
        <v>8.6079844148135617E-2</v>
      </c>
      <c r="J25" s="691">
        <v>4.6990041663119833E-2</v>
      </c>
      <c r="K25" s="3093" t="s">
        <v>2146</v>
      </c>
    </row>
    <row r="26" spans="2:11" ht="18" customHeight="1" x14ac:dyDescent="0.2">
      <c r="B26" s="282" t="s">
        <v>133</v>
      </c>
      <c r="C26" s="691">
        <v>50347.060976959699</v>
      </c>
      <c r="D26" s="3077" t="s">
        <v>1814</v>
      </c>
      <c r="E26" s="1913">
        <f t="shared" ref="E26:E30" si="9">IFERROR(H26*1000/$C26,"NA")</f>
        <v>91.071807411079817</v>
      </c>
      <c r="F26" s="1913">
        <f t="shared" si="8"/>
        <v>0.95238095238095222</v>
      </c>
      <c r="G26" s="1913">
        <f t="shared" si="8"/>
        <v>0.706095238095238</v>
      </c>
      <c r="H26" s="691">
        <v>4585.1978410075662</v>
      </c>
      <c r="I26" s="691">
        <v>4.7949581882818754E-2</v>
      </c>
      <c r="J26" s="691">
        <v>3.5549820007921826E-2</v>
      </c>
      <c r="K26" s="3093" t="s">
        <v>2146</v>
      </c>
    </row>
    <row r="27" spans="2:11" ht="18" customHeight="1" x14ac:dyDescent="0.2">
      <c r="B27" s="282" t="s">
        <v>134</v>
      </c>
      <c r="C27" s="691">
        <v>139600.00000000003</v>
      </c>
      <c r="D27" s="3077" t="s">
        <v>1814</v>
      </c>
      <c r="E27" s="1913">
        <f t="shared" si="9"/>
        <v>51.411918339264993</v>
      </c>
      <c r="F27" s="1913">
        <f t="shared" si="8"/>
        <v>0.95727272727272716</v>
      </c>
      <c r="G27" s="1913">
        <f t="shared" si="8"/>
        <v>0.57027272727272738</v>
      </c>
      <c r="H27" s="691">
        <v>7177.1038001613942</v>
      </c>
      <c r="I27" s="691">
        <v>0.13363527272727274</v>
      </c>
      <c r="J27" s="691">
        <v>7.9610072727272746E-2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2405.3994157622396</v>
      </c>
      <c r="D30" s="3077" t="s">
        <v>1814</v>
      </c>
      <c r="E30" s="1913">
        <f t="shared" si="9"/>
        <v>94.000000000000014</v>
      </c>
      <c r="F30" s="1913">
        <f t="shared" si="8"/>
        <v>9.1666666666666696</v>
      </c>
      <c r="G30" s="1913">
        <f t="shared" si="8"/>
        <v>5.8333333333333357</v>
      </c>
      <c r="H30" s="691">
        <v>226.10754508165058</v>
      </c>
      <c r="I30" s="691">
        <v>2.2049494644487203E-2</v>
      </c>
      <c r="J30" s="691">
        <v>1.4031496591946403E-2</v>
      </c>
      <c r="K30" s="3093" t="s">
        <v>2146</v>
      </c>
    </row>
    <row r="31" spans="2:11" ht="18" customHeight="1" x14ac:dyDescent="0.2">
      <c r="B31" s="1241" t="s">
        <v>153</v>
      </c>
      <c r="C31" s="1913">
        <f>IF(SUM(C32:C37)=0,"NO",SUM(C32:C37))</f>
        <v>112893.01715645003</v>
      </c>
      <c r="D31" s="3077" t="s">
        <v>1814</v>
      </c>
      <c r="E31" s="628"/>
      <c r="F31" s="628"/>
      <c r="G31" s="628"/>
      <c r="H31" s="1913">
        <f>IF(SUM(H32:H36)=0,"NO",SUM(H32:H36))</f>
        <v>6921.2674715801768</v>
      </c>
      <c r="I31" s="1913">
        <f t="shared" ref="I31:K31" si="10">IF(SUM(I32:I37)=0,"NO",SUM(I32:I37))</f>
        <v>0.22733741049741968</v>
      </c>
      <c r="J31" s="1913">
        <f t="shared" si="10"/>
        <v>7.526388955630732E-2</v>
      </c>
      <c r="K31" s="3065" t="str">
        <f t="shared" si="10"/>
        <v>NO</v>
      </c>
    </row>
    <row r="32" spans="2:11" ht="18" customHeight="1" x14ac:dyDescent="0.2">
      <c r="B32" s="282" t="s">
        <v>132</v>
      </c>
      <c r="C32" s="691">
        <v>64250.412605186058</v>
      </c>
      <c r="D32" s="3077" t="s">
        <v>1814</v>
      </c>
      <c r="E32" s="1913">
        <f>IFERROR(H32*1000/$C32,"NA")</f>
        <v>66.877024489810879</v>
      </c>
      <c r="F32" s="1913">
        <f t="shared" ref="F32:G37" si="11">IFERROR(I32*1000000/$C32,"NA")</f>
        <v>2.7836872101367578</v>
      </c>
      <c r="G32" s="1913">
        <f t="shared" si="11"/>
        <v>0.76113710040555727</v>
      </c>
      <c r="H32" s="691">
        <v>4296.8764172774818</v>
      </c>
      <c r="I32" s="691">
        <v>0.17885305181506597</v>
      </c>
      <c r="J32" s="691">
        <v>4.8903372750171981E-2</v>
      </c>
      <c r="K32" s="3093" t="s">
        <v>2146</v>
      </c>
    </row>
    <row r="33" spans="2:11" ht="18" customHeight="1" x14ac:dyDescent="0.2">
      <c r="B33" s="282" t="s">
        <v>133</v>
      </c>
      <c r="C33" s="691">
        <v>2965.7420528203961</v>
      </c>
      <c r="D33" s="3077" t="s">
        <v>1814</v>
      </c>
      <c r="E33" s="1913">
        <f t="shared" ref="E33:E37" si="12">IFERROR(H33*1000/$C33,"NA")</f>
        <v>91.028989913482434</v>
      </c>
      <c r="F33" s="1913">
        <f t="shared" si="11"/>
        <v>0.95238095238095233</v>
      </c>
      <c r="G33" s="1913">
        <f t="shared" si="11"/>
        <v>0.66666666666666663</v>
      </c>
      <c r="H33" s="691">
        <v>269.96850341217856</v>
      </c>
      <c r="I33" s="691">
        <v>2.8245162407813293E-3</v>
      </c>
      <c r="J33" s="691">
        <v>1.9771613685469307E-3</v>
      </c>
      <c r="K33" s="3093" t="s">
        <v>2146</v>
      </c>
    </row>
    <row r="34" spans="2:11" ht="18" customHeight="1" x14ac:dyDescent="0.2">
      <c r="B34" s="282" t="s">
        <v>134</v>
      </c>
      <c r="C34" s="691">
        <v>45269.455178380791</v>
      </c>
      <c r="D34" s="3077" t="s">
        <v>1814</v>
      </c>
      <c r="E34" s="1913">
        <f t="shared" si="12"/>
        <v>52.009076354312121</v>
      </c>
      <c r="F34" s="1913">
        <f t="shared" si="11"/>
        <v>0.95400264776162713</v>
      </c>
      <c r="G34" s="1913">
        <f t="shared" si="11"/>
        <v>0.50937643492151852</v>
      </c>
      <c r="H34" s="691">
        <v>2354.422550890517</v>
      </c>
      <c r="I34" s="691">
        <v>4.3187180102901575E-2</v>
      </c>
      <c r="J34" s="691">
        <v>2.3059193689603082E-2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407.40732006278904</v>
      </c>
      <c r="D37" s="3077" t="s">
        <v>1814</v>
      </c>
      <c r="E37" s="1913">
        <f t="shared" si="12"/>
        <v>80.873088094794724</v>
      </c>
      <c r="F37" s="1913">
        <f t="shared" si="11"/>
        <v>6.0692634052076455</v>
      </c>
      <c r="G37" s="1913">
        <f t="shared" si="11"/>
        <v>3.2502158964184527</v>
      </c>
      <c r="H37" s="691">
        <v>32.948288085902171</v>
      </c>
      <c r="I37" s="691">
        <v>2.4726623386708041E-3</v>
      </c>
      <c r="J37" s="691">
        <v>1.3241617479853173E-3</v>
      </c>
      <c r="K37" s="3093" t="s">
        <v>2146</v>
      </c>
    </row>
    <row r="38" spans="2:11" ht="18" customHeight="1" x14ac:dyDescent="0.2">
      <c r="B38" s="1241" t="s">
        <v>154</v>
      </c>
      <c r="C38" s="1913">
        <f>IF(SUM(C39:C44)=0,"NO",SUM(C39:C44))</f>
        <v>54491.996140124873</v>
      </c>
      <c r="D38" s="3077" t="s">
        <v>1814</v>
      </c>
      <c r="E38" s="628"/>
      <c r="F38" s="628"/>
      <c r="G38" s="628"/>
      <c r="H38" s="1913">
        <f>IF(SUM(H39:H43)=0,"NO",SUM(H39:H43))</f>
        <v>1652.9023527910676</v>
      </c>
      <c r="I38" s="1913">
        <f t="shared" ref="I38:K38" si="13">IF(SUM(I39:I44)=0,"NO",SUM(I39:I44))</f>
        <v>0.26927016709405988</v>
      </c>
      <c r="J38" s="1913">
        <f t="shared" si="13"/>
        <v>0.17821606747229091</v>
      </c>
      <c r="K38" s="3065" t="str">
        <f t="shared" si="13"/>
        <v>NO</v>
      </c>
    </row>
    <row r="39" spans="2:11" ht="18" customHeight="1" x14ac:dyDescent="0.2">
      <c r="B39" s="282" t="s">
        <v>132</v>
      </c>
      <c r="C39" s="691">
        <v>554.36618719867442</v>
      </c>
      <c r="D39" s="3077" t="s">
        <v>1814</v>
      </c>
      <c r="E39" s="1913">
        <f>IFERROR(H39*1000/$C39,"NA")</f>
        <v>68.514147720154455</v>
      </c>
      <c r="F39" s="1913">
        <f t="shared" ref="F39:G44" si="14">IFERROR(I39*1000000/$C39,"NA")</f>
        <v>0.54514572255937987</v>
      </c>
      <c r="G39" s="1913">
        <f t="shared" si="14"/>
        <v>0.7733752806455183</v>
      </c>
      <c r="H39" s="691">
        <v>37.98192684078878</v>
      </c>
      <c r="I39" s="691">
        <v>3.0221035568290985E-4</v>
      </c>
      <c r="J39" s="691">
        <v>4.2873310560516073E-4</v>
      </c>
      <c r="K39" s="3093" t="s">
        <v>2146</v>
      </c>
    </row>
    <row r="40" spans="2:11" ht="18" customHeight="1" x14ac:dyDescent="0.2">
      <c r="B40" s="282" t="s">
        <v>133</v>
      </c>
      <c r="C40" s="691">
        <v>5419.1999999999989</v>
      </c>
      <c r="D40" s="3077" t="s">
        <v>1814</v>
      </c>
      <c r="E40" s="1913">
        <f t="shared" ref="E40:E44" si="15">IFERROR(H40*1000/$C40,"NA")</f>
        <v>90.000000000000014</v>
      </c>
      <c r="F40" s="1913">
        <f t="shared" si="14"/>
        <v>0.95238095238095233</v>
      </c>
      <c r="G40" s="1913">
        <f t="shared" si="14"/>
        <v>0.66666666666666663</v>
      </c>
      <c r="H40" s="691">
        <v>487.72799999999995</v>
      </c>
      <c r="I40" s="691">
        <v>5.1611428571428563E-3</v>
      </c>
      <c r="J40" s="691">
        <v>3.6127999999999993E-3</v>
      </c>
      <c r="K40" s="3093" t="s">
        <v>2146</v>
      </c>
    </row>
    <row r="41" spans="2:11" ht="18" customHeight="1" x14ac:dyDescent="0.2">
      <c r="B41" s="282" t="s">
        <v>134</v>
      </c>
      <c r="C41" s="691">
        <v>21924.729952926198</v>
      </c>
      <c r="D41" s="3077" t="s">
        <v>1814</v>
      </c>
      <c r="E41" s="1913">
        <f t="shared" si="15"/>
        <v>51.411918339265</v>
      </c>
      <c r="F41" s="1913">
        <f t="shared" si="14"/>
        <v>0.91363636363636369</v>
      </c>
      <c r="G41" s="1913">
        <f t="shared" si="14"/>
        <v>0.86863636363636354</v>
      </c>
      <c r="H41" s="691">
        <v>1127.1924259502789</v>
      </c>
      <c r="I41" s="691">
        <v>2.0031230547900757E-2</v>
      </c>
      <c r="J41" s="691">
        <v>1.9044617700019074E-2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26593.699999999997</v>
      </c>
      <c r="D44" s="3076" t="s">
        <v>1814</v>
      </c>
      <c r="E44" s="1913">
        <f t="shared" si="15"/>
        <v>94</v>
      </c>
      <c r="F44" s="1913">
        <f t="shared" si="14"/>
        <v>9.1666666666666679</v>
      </c>
      <c r="G44" s="1913">
        <f t="shared" si="14"/>
        <v>5.8333333333333348</v>
      </c>
      <c r="H44" s="691">
        <v>2499.8077999999996</v>
      </c>
      <c r="I44" s="691">
        <v>0.24377558333333335</v>
      </c>
      <c r="J44" s="691">
        <v>0.15512991666666667</v>
      </c>
      <c r="K44" s="3093" t="s">
        <v>2146</v>
      </c>
    </row>
    <row r="45" spans="2:11" ht="18" customHeight="1" x14ac:dyDescent="0.2">
      <c r="B45" s="1241" t="s">
        <v>155</v>
      </c>
      <c r="C45" s="1913">
        <f>IF(SUM(C46:C51)=0,"NO",SUM(C46:C51))</f>
        <v>146310.1920003292</v>
      </c>
      <c r="D45" s="3076" t="s">
        <v>1814</v>
      </c>
      <c r="E45" s="628"/>
      <c r="F45" s="628"/>
      <c r="G45" s="628"/>
      <c r="H45" s="1913">
        <f>IF(SUM(H46:H50)=0,"NO",SUM(H46:H50))</f>
        <v>3061.8624232477641</v>
      </c>
      <c r="I45" s="1913">
        <f t="shared" ref="I45:K45" si="16">IF(SUM(I46:I51)=0,"NO",SUM(I46:I51))</f>
        <v>0.95978298129178019</v>
      </c>
      <c r="J45" s="1913">
        <f t="shared" si="16"/>
        <v>0.61828107795509379</v>
      </c>
      <c r="K45" s="3065" t="str">
        <f t="shared" si="16"/>
        <v>NO</v>
      </c>
    </row>
    <row r="46" spans="2:11" ht="18" customHeight="1" x14ac:dyDescent="0.2">
      <c r="B46" s="282" t="s">
        <v>132</v>
      </c>
      <c r="C46" s="691">
        <v>3146.5033754566643</v>
      </c>
      <c r="D46" s="3076" t="s">
        <v>1814</v>
      </c>
      <c r="E46" s="1913">
        <f>IFERROR(H46*1000/$C46,"NA")</f>
        <v>68.058114459247022</v>
      </c>
      <c r="F46" s="1913">
        <f t="shared" ref="F46:G51" si="17">IFERROR(I46*1000000/$C46,"NA")</f>
        <v>4.5243899793912945</v>
      </c>
      <c r="G46" s="1913">
        <f t="shared" si="17"/>
        <v>2.2427254173193352</v>
      </c>
      <c r="H46" s="691">
        <v>214.14508687323678</v>
      </c>
      <c r="I46" s="691">
        <v>1.4236008342037016E-2</v>
      </c>
      <c r="J46" s="691">
        <v>7.0567430958177434E-3</v>
      </c>
      <c r="K46" s="3093" t="s">
        <v>2146</v>
      </c>
    </row>
    <row r="47" spans="2:11" ht="18" customHeight="1" x14ac:dyDescent="0.2">
      <c r="B47" s="282" t="s">
        <v>133</v>
      </c>
      <c r="C47" s="691">
        <v>14409.893063123591</v>
      </c>
      <c r="D47" s="3076" t="s">
        <v>1814</v>
      </c>
      <c r="E47" s="1913">
        <f t="shared" ref="E47:E51" si="18">IFERROR(H47*1000/$C47,"NA")</f>
        <v>90.875316081690968</v>
      </c>
      <c r="F47" s="1913">
        <f t="shared" si="17"/>
        <v>0.95238095238095233</v>
      </c>
      <c r="G47" s="1913">
        <f t="shared" si="17"/>
        <v>0.67523809523809519</v>
      </c>
      <c r="H47" s="691">
        <v>1309.5035868147222</v>
      </c>
      <c r="I47" s="691">
        <v>1.3723707679165323E-2</v>
      </c>
      <c r="J47" s="691">
        <v>9.7301087445282146E-3</v>
      </c>
      <c r="K47" s="3093" t="s">
        <v>2146</v>
      </c>
    </row>
    <row r="48" spans="2:11" ht="18" customHeight="1" x14ac:dyDescent="0.2">
      <c r="B48" s="282" t="s">
        <v>134</v>
      </c>
      <c r="C48" s="691">
        <v>29919.399999999998</v>
      </c>
      <c r="D48" s="3076" t="s">
        <v>1814</v>
      </c>
      <c r="E48" s="1913">
        <f t="shared" si="18"/>
        <v>51.411918339265007</v>
      </c>
      <c r="F48" s="1913">
        <f t="shared" si="17"/>
        <v>0.91409090909090929</v>
      </c>
      <c r="G48" s="1913">
        <f t="shared" si="17"/>
        <v>0.86459090909090908</v>
      </c>
      <c r="H48" s="691">
        <v>1538.2137495598054</v>
      </c>
      <c r="I48" s="691">
        <v>2.7349051545454549E-2</v>
      </c>
      <c r="J48" s="691">
        <v>2.5868041245454543E-2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98834.395561748956</v>
      </c>
      <c r="D51" s="3076" t="s">
        <v>1814</v>
      </c>
      <c r="E51" s="1913">
        <f t="shared" si="18"/>
        <v>94.883734497450291</v>
      </c>
      <c r="F51" s="1913">
        <f t="shared" si="17"/>
        <v>9.1514113946296476</v>
      </c>
      <c r="G51" s="1913">
        <f t="shared" si="17"/>
        <v>5.8241483807088006</v>
      </c>
      <c r="H51" s="691">
        <v>9377.7765476969671</v>
      </c>
      <c r="I51" s="691">
        <v>0.90447421372512327</v>
      </c>
      <c r="J51" s="691">
        <v>0.57562618486929329</v>
      </c>
      <c r="K51" s="3093" t="s">
        <v>2146</v>
      </c>
    </row>
    <row r="52" spans="2:11" ht="18" customHeight="1" x14ac:dyDescent="0.2">
      <c r="B52" s="1241" t="s">
        <v>156</v>
      </c>
      <c r="C52" s="3094">
        <f>IF(SUM(C53:C58)=0,"NO",SUM(C53:C58))</f>
        <v>106114.33731239258</v>
      </c>
      <c r="D52" s="3076" t="s">
        <v>1814</v>
      </c>
      <c r="E52" s="628"/>
      <c r="F52" s="628"/>
      <c r="G52" s="628"/>
      <c r="H52" s="1913">
        <f>IF(SUM(H53:H57)=0,"NO",SUM(H53:H57))</f>
        <v>6826.217647013882</v>
      </c>
      <c r="I52" s="1913">
        <f t="shared" ref="I52:K52" si="19">IF(SUM(I53:I58)=0,"NO",SUM(I53:I58))</f>
        <v>0.32184368665832519</v>
      </c>
      <c r="J52" s="1913">
        <f t="shared" si="19"/>
        <v>5.7995224416482201E-2</v>
      </c>
      <c r="K52" s="3065" t="str">
        <f t="shared" si="19"/>
        <v>NO</v>
      </c>
    </row>
    <row r="53" spans="2:11" ht="18" customHeight="1" x14ac:dyDescent="0.2">
      <c r="B53" s="282" t="s">
        <v>132</v>
      </c>
      <c r="C53" s="2147">
        <v>12122.667875261932</v>
      </c>
      <c r="D53" s="3076" t="s">
        <v>1814</v>
      </c>
      <c r="E53" s="1913">
        <f>IFERROR(H53*1000/$C53,"NA")</f>
        <v>65.856109049231762</v>
      </c>
      <c r="F53" s="1913">
        <f t="shared" ref="F53:G58" si="20">IFERROR(I53*1000000/$C53,"NA")</f>
        <v>18.243815009873749</v>
      </c>
      <c r="G53" s="1913">
        <f t="shared" si="20"/>
        <v>1.5064794473457335</v>
      </c>
      <c r="H53" s="691">
        <v>798.35173756086851</v>
      </c>
      <c r="I53" s="691">
        <v>0.22116371014241792</v>
      </c>
      <c r="J53" s="691">
        <v>1.8262550001080471E-2</v>
      </c>
      <c r="K53" s="3093" t="s">
        <v>2146</v>
      </c>
    </row>
    <row r="54" spans="2:11" ht="18" customHeight="1" x14ac:dyDescent="0.2">
      <c r="B54" s="282" t="s">
        <v>133</v>
      </c>
      <c r="C54" s="691">
        <v>33149.086986592578</v>
      </c>
      <c r="D54" s="3076" t="s">
        <v>1814</v>
      </c>
      <c r="E54" s="1913">
        <f t="shared" ref="E54:E58" si="21">IFERROR(H54*1000/$C54,"NA")</f>
        <v>89.13408509458381</v>
      </c>
      <c r="F54" s="1913">
        <f t="shared" si="20"/>
        <v>0.9415100450989613</v>
      </c>
      <c r="G54" s="1913">
        <f t="shared" si="20"/>
        <v>0.80610821420707723</v>
      </c>
      <c r="H54" s="691">
        <v>2954.713540270704</v>
      </c>
      <c r="I54" s="691">
        <v>3.1210198383736169E-2</v>
      </c>
      <c r="J54" s="691">
        <v>2.6721751313357207E-2</v>
      </c>
      <c r="K54" s="3093" t="s">
        <v>2146</v>
      </c>
    </row>
    <row r="55" spans="2:11" ht="18" customHeight="1" x14ac:dyDescent="0.2">
      <c r="B55" s="282" t="s">
        <v>134</v>
      </c>
      <c r="C55" s="691">
        <v>59775.096289983034</v>
      </c>
      <c r="D55" s="3076" t="s">
        <v>1814</v>
      </c>
      <c r="E55" s="1913">
        <f t="shared" si="21"/>
        <v>51.411918339264993</v>
      </c>
      <c r="F55" s="1913">
        <f t="shared" si="20"/>
        <v>0.9984841854129306</v>
      </c>
      <c r="G55" s="1913">
        <f t="shared" si="20"/>
        <v>0.11349074982491705</v>
      </c>
      <c r="H55" s="691">
        <v>3073.1523691823095</v>
      </c>
      <c r="I55" s="691">
        <v>5.9684488327083202E-2</v>
      </c>
      <c r="J55" s="691">
        <v>6.7839204988067925E-3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1067.48616055504</v>
      </c>
      <c r="D58" s="3076" t="s">
        <v>1814</v>
      </c>
      <c r="E58" s="3095">
        <f t="shared" si="21"/>
        <v>93.999999999999972</v>
      </c>
      <c r="F58" s="3095">
        <f t="shared" si="20"/>
        <v>9.1666666666666679</v>
      </c>
      <c r="G58" s="3095">
        <f t="shared" si="20"/>
        <v>5.833333333333333</v>
      </c>
      <c r="H58" s="2190">
        <v>100.34369909217374</v>
      </c>
      <c r="I58" s="691">
        <v>9.7852898050878687E-3</v>
      </c>
      <c r="J58" s="691">
        <v>6.2270026032377329E-3</v>
      </c>
      <c r="K58" s="3093" t="s">
        <v>2146</v>
      </c>
    </row>
    <row r="59" spans="2:11" ht="18" customHeight="1" x14ac:dyDescent="0.2">
      <c r="B59" s="1241" t="s">
        <v>157</v>
      </c>
      <c r="C59" s="3094">
        <f>IF(SUM(C61,C68,C75,C82,C89,C96,C103,C112)=0,"NO",SUM(C61,C68,C75,C82,C89,C96,C103,C112))</f>
        <v>98342.994199520195</v>
      </c>
      <c r="D59" s="3076" t="s">
        <v>1814</v>
      </c>
      <c r="E59" s="1914"/>
      <c r="F59" s="1914"/>
      <c r="G59" s="1914"/>
      <c r="H59" s="1913">
        <f>IF(SUM(H61,H68,H75,H82,H89,H96,H103,H112)=0,"NO",SUM(H61,H68,H75,H82,H89,H96,H103,H112))</f>
        <v>6533.1104436266751</v>
      </c>
      <c r="I59" s="1913">
        <f>IF(SUM(I61,I68,I75,I82,I89,I96,I103,I112)=0,"NO",SUM(I61,I68,I75,I82,I89,I96,I103,I112))</f>
        <v>0.34778613595719848</v>
      </c>
      <c r="J59" s="1913">
        <f>IF(SUM(J61,J68,J75,J82,J89,J96,J103,J112)=0,"NO",SUM(J61,J68,J75,J82,J89,J96,J103,J112))</f>
        <v>0.28379190102747454</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6397.8546356464458</v>
      </c>
      <c r="D61" s="3076" t="s">
        <v>1814</v>
      </c>
      <c r="E61" s="628"/>
      <c r="F61" s="628"/>
      <c r="G61" s="628"/>
      <c r="H61" s="1913">
        <f>IF(SUM(H62:H66)=0,"NO",SUM(H62:H66))</f>
        <v>351.85883509438804</v>
      </c>
      <c r="I61" s="1913">
        <f t="shared" ref="I61:K61" si="22">IF(SUM(I62:I67)=0,"NO",SUM(I62:I67))</f>
        <v>4.0291249316497441E-2</v>
      </c>
      <c r="J61" s="1913">
        <f t="shared" si="22"/>
        <v>8.59403168694561E-3</v>
      </c>
      <c r="K61" s="3065" t="str">
        <f t="shared" si="22"/>
        <v>NO</v>
      </c>
    </row>
    <row r="62" spans="2:11" ht="18" customHeight="1" x14ac:dyDescent="0.2">
      <c r="B62" s="158" t="s">
        <v>132</v>
      </c>
      <c r="C62" s="691">
        <v>1597.854635646446</v>
      </c>
      <c r="D62" s="3076" t="s">
        <v>1814</v>
      </c>
      <c r="E62" s="1913">
        <f>IFERROR(H62*1000/$C62,"NA")</f>
        <v>65.764197018712565</v>
      </c>
      <c r="F62" s="1913">
        <f t="shared" ref="F62:G67" si="23">IFERROR(I62*1000000/$C62,"NA")</f>
        <v>22.422095550639849</v>
      </c>
      <c r="G62" s="1913">
        <f t="shared" si="23"/>
        <v>2.93620682525198</v>
      </c>
      <c r="H62" s="691">
        <v>105.08162706591605</v>
      </c>
      <c r="I62" s="691">
        <v>3.5827249316497438E-2</v>
      </c>
      <c r="J62" s="691">
        <v>4.6916316869456106E-3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4800</v>
      </c>
      <c r="D64" s="3076" t="s">
        <v>1814</v>
      </c>
      <c r="E64" s="1913">
        <f t="shared" si="24"/>
        <v>51.411918339265</v>
      </c>
      <c r="F64" s="1913">
        <f t="shared" si="23"/>
        <v>0.93</v>
      </c>
      <c r="G64" s="1913">
        <f t="shared" si="23"/>
        <v>0.81300000000000006</v>
      </c>
      <c r="H64" s="691">
        <v>246.77720802847199</v>
      </c>
      <c r="I64" s="691">
        <v>4.4640000000000001E-3</v>
      </c>
      <c r="J64" s="691">
        <v>3.9024000000000003E-3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54597.785234305346</v>
      </c>
      <c r="D75" s="3077" t="s">
        <v>1814</v>
      </c>
      <c r="E75" s="628"/>
      <c r="F75" s="628"/>
      <c r="G75" s="628"/>
      <c r="H75" s="1913">
        <f>IF(SUM(H76:H80)=0,"NO",SUM(H76:H80))</f>
        <v>3763.0460638496124</v>
      </c>
      <c r="I75" s="1913">
        <f t="shared" ref="I75:K75" si="28">IF(SUM(I76:I81)=0,"NO",SUM(I76:I81))</f>
        <v>0.1839491234205505</v>
      </c>
      <c r="J75" s="1913">
        <f t="shared" si="28"/>
        <v>0.18015551270979854</v>
      </c>
      <c r="K75" s="3065" t="str">
        <f t="shared" si="28"/>
        <v>NO</v>
      </c>
    </row>
    <row r="76" spans="2:11" ht="18" customHeight="1" x14ac:dyDescent="0.2">
      <c r="B76" s="158" t="s">
        <v>132</v>
      </c>
      <c r="C76" s="691">
        <v>51597.407494261752</v>
      </c>
      <c r="D76" s="3077" t="s">
        <v>1814</v>
      </c>
      <c r="E76" s="1913">
        <f>IFERROR(H76*1000/$C76,"NA")</f>
        <v>69.671587413517699</v>
      </c>
      <c r="F76" s="1913">
        <f t="shared" ref="F76:G81" si="29">IFERROR(I76*1000000/$C76,"NA")</f>
        <v>3.454985136179225</v>
      </c>
      <c r="G76" s="1913">
        <f t="shared" si="29"/>
        <v>3.4406951963896568</v>
      </c>
      <c r="H76" s="691">
        <v>3594.8732865473512</v>
      </c>
      <c r="I76" s="691">
        <v>0.17826827595805692</v>
      </c>
      <c r="J76" s="691">
        <v>0.17753095211166608</v>
      </c>
      <c r="K76" s="3093" t="s">
        <v>2146</v>
      </c>
    </row>
    <row r="77" spans="2:11" ht="18" customHeight="1" x14ac:dyDescent="0.2">
      <c r="B77" s="158" t="s">
        <v>133</v>
      </c>
      <c r="C77" s="691">
        <v>240.70837506062355</v>
      </c>
      <c r="D77" s="3077" t="s">
        <v>1814</v>
      </c>
      <c r="E77" s="1913">
        <f t="shared" ref="E77:E81" si="30">IFERROR(H77*1000/$C77,"NA")</f>
        <v>109.23126899827783</v>
      </c>
      <c r="F77" s="1913">
        <f t="shared" si="29"/>
        <v>0.95238095238095255</v>
      </c>
      <c r="G77" s="1913">
        <f t="shared" si="29"/>
        <v>0.75923809523809527</v>
      </c>
      <c r="H77" s="691">
        <v>26.292881266385322</v>
      </c>
      <c r="I77" s="691">
        <v>2.2924607148630817E-4</v>
      </c>
      <c r="J77" s="691">
        <v>1.8275496818888486E-4</v>
      </c>
      <c r="K77" s="3093" t="s">
        <v>2146</v>
      </c>
    </row>
    <row r="78" spans="2:11" ht="18" customHeight="1" x14ac:dyDescent="0.2">
      <c r="B78" s="158" t="s">
        <v>134</v>
      </c>
      <c r="C78" s="691">
        <v>2759.6693649829713</v>
      </c>
      <c r="D78" s="3077" t="s">
        <v>1814</v>
      </c>
      <c r="E78" s="1913">
        <f t="shared" si="30"/>
        <v>51.411918339264993</v>
      </c>
      <c r="F78" s="1913">
        <f t="shared" si="29"/>
        <v>1.9754545454545458</v>
      </c>
      <c r="G78" s="1913">
        <f t="shared" si="29"/>
        <v>0.88481818181818173</v>
      </c>
      <c r="H78" s="691">
        <v>141.87989603587582</v>
      </c>
      <c r="I78" s="691">
        <v>5.4516013910072703E-3</v>
      </c>
      <c r="J78" s="691">
        <v>2.4418056299435687E-3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26050.34342092487</v>
      </c>
      <c r="D89" s="3077" t="s">
        <v>1814</v>
      </c>
      <c r="E89" s="628"/>
      <c r="F89" s="628"/>
      <c r="G89" s="628"/>
      <c r="H89" s="1913">
        <f>IF(SUM(H90:H94)=0,"NO",SUM(H90:H94))</f>
        <v>1762.2571251022553</v>
      </c>
      <c r="I89" s="1913">
        <f t="shared" ref="I89:K89" si="36">IF(SUM(I90:I95)=0,"NO",SUM(I90:I95))</f>
        <v>8.7383409654431032E-2</v>
      </c>
      <c r="J89" s="1913">
        <f t="shared" si="36"/>
        <v>8.4829721840722669E-2</v>
      </c>
      <c r="K89" s="3065" t="str">
        <f t="shared" si="36"/>
        <v>NO</v>
      </c>
    </row>
    <row r="90" spans="2:11" ht="18" customHeight="1" x14ac:dyDescent="0.2">
      <c r="B90" s="158" t="s">
        <v>132</v>
      </c>
      <c r="C90" s="691">
        <v>22928.303420924869</v>
      </c>
      <c r="D90" s="3077" t="s">
        <v>1814</v>
      </c>
      <c r="E90" s="1913">
        <f>IFERROR(H90*1000/$C90,"NA")</f>
        <v>69.858943776387193</v>
      </c>
      <c r="F90" s="1913">
        <f t="shared" ref="F90:G95" si="37">IFERROR(I90*1000000/$C90,"NA")</f>
        <v>3.6873723240880998</v>
      </c>
      <c r="G90" s="1913">
        <f t="shared" si="37"/>
        <v>3.5759952297245534</v>
      </c>
      <c r="H90" s="691">
        <v>1601.7470595703364</v>
      </c>
      <c r="I90" s="691">
        <v>8.4545191472612857E-2</v>
      </c>
      <c r="J90" s="691">
        <v>8.1991503658904494E-2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3122.0399999999995</v>
      </c>
      <c r="D92" s="3077" t="s">
        <v>1814</v>
      </c>
      <c r="E92" s="1913">
        <f t="shared" si="38"/>
        <v>51.411918339265007</v>
      </c>
      <c r="F92" s="1913">
        <f t="shared" si="37"/>
        <v>0.90909090909090906</v>
      </c>
      <c r="G92" s="1913">
        <f t="shared" si="37"/>
        <v>0.90909090909090917</v>
      </c>
      <c r="H92" s="691">
        <v>160.51006553191888</v>
      </c>
      <c r="I92" s="691">
        <v>2.8382181818181812E-3</v>
      </c>
      <c r="J92" s="691">
        <v>2.8382181818181816E-3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7721.38</v>
      </c>
      <c r="D96" s="3076" t="s">
        <v>1814</v>
      </c>
      <c r="E96" s="628"/>
      <c r="F96" s="628"/>
      <c r="G96" s="628"/>
      <c r="H96" s="1913">
        <f>IF(SUM(H97:H101)=0,"NO",SUM(H97:H101))</f>
        <v>440.90222407435635</v>
      </c>
      <c r="I96" s="1913">
        <f t="shared" ref="I96:K96" si="42">IF(SUM(I97:I102)=0,"NO",SUM(I97:I102))</f>
        <v>6.98242774025974E-3</v>
      </c>
      <c r="J96" s="1913">
        <f t="shared" si="42"/>
        <v>6.6125593544588751E-3</v>
      </c>
      <c r="K96" s="3065" t="str">
        <f t="shared" si="42"/>
        <v>NO</v>
      </c>
    </row>
    <row r="97" spans="2:11" ht="18" customHeight="1" x14ac:dyDescent="0.2">
      <c r="B97" s="158" t="s">
        <v>132</v>
      </c>
      <c r="C97" s="691">
        <v>935.09</v>
      </c>
      <c r="D97" s="3076" t="s">
        <v>1814</v>
      </c>
      <c r="E97" s="1913">
        <f>IFERROR(H97*1000/$C97,"NA")</f>
        <v>67.927840100952835</v>
      </c>
      <c r="F97" s="1913">
        <f t="shared" ref="F97:G102" si="43">IFERROR(I97*1000000/$C97,"NA")</f>
        <v>0.78925832497360382</v>
      </c>
      <c r="G97" s="1913">
        <f t="shared" si="43"/>
        <v>1.0792675829661789</v>
      </c>
      <c r="H97" s="691">
        <v>63.518643999999995</v>
      </c>
      <c r="I97" s="691">
        <v>7.3802756709956722E-4</v>
      </c>
      <c r="J97" s="691">
        <v>1.0092123241558443E-3</v>
      </c>
      <c r="K97" s="3093" t="s">
        <v>2146</v>
      </c>
    </row>
    <row r="98" spans="2:11" ht="18" customHeight="1" x14ac:dyDescent="0.2">
      <c r="B98" s="158" t="s">
        <v>133</v>
      </c>
      <c r="C98" s="691">
        <v>713.29</v>
      </c>
      <c r="D98" s="3076" t="s">
        <v>1814</v>
      </c>
      <c r="E98" s="1913">
        <f t="shared" ref="E98:E102" si="44">IFERROR(H98*1000/$C98,"NA")</f>
        <v>91.349941818895559</v>
      </c>
      <c r="F98" s="1913">
        <f t="shared" si="43"/>
        <v>0.95238095238095233</v>
      </c>
      <c r="G98" s="1913">
        <f t="shared" si="43"/>
        <v>0.66666666666666674</v>
      </c>
      <c r="H98" s="691">
        <v>65.159000000000006</v>
      </c>
      <c r="I98" s="691">
        <v>6.7932380952380944E-4</v>
      </c>
      <c r="J98" s="691">
        <v>4.7552666666666668E-4</v>
      </c>
      <c r="K98" s="3093" t="s">
        <v>2146</v>
      </c>
    </row>
    <row r="99" spans="2:11" ht="18" customHeight="1" x14ac:dyDescent="0.2">
      <c r="B99" s="158" t="s">
        <v>134</v>
      </c>
      <c r="C99" s="691">
        <v>6073</v>
      </c>
      <c r="D99" s="3076" t="s">
        <v>1814</v>
      </c>
      <c r="E99" s="1913">
        <f t="shared" si="44"/>
        <v>51.411918339265</v>
      </c>
      <c r="F99" s="1913">
        <f t="shared" si="43"/>
        <v>0.91636363636363638</v>
      </c>
      <c r="G99" s="1913">
        <f t="shared" si="43"/>
        <v>0.84436363636363643</v>
      </c>
      <c r="H99" s="691">
        <v>312.22458007435637</v>
      </c>
      <c r="I99" s="691">
        <v>5.5650763636363636E-3</v>
      </c>
      <c r="J99" s="691">
        <v>5.127820363636364E-3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3575.6309086435413</v>
      </c>
      <c r="D112" s="3076" t="s">
        <v>1814</v>
      </c>
      <c r="E112" s="628"/>
      <c r="F112" s="628"/>
      <c r="G112" s="628"/>
      <c r="H112" s="1913">
        <f>H113</f>
        <v>215.04619550606242</v>
      </c>
      <c r="I112" s="1913">
        <f>I113</f>
        <v>2.9179925825459745E-2</v>
      </c>
      <c r="J112" s="1913">
        <f>J113</f>
        <v>3.6000754355488829E-3</v>
      </c>
      <c r="K112" s="3065" t="str">
        <f>K113</f>
        <v>NO</v>
      </c>
    </row>
    <row r="113" spans="2:11" ht="18" customHeight="1" x14ac:dyDescent="0.2">
      <c r="B113" s="3090" t="s">
        <v>2259</v>
      </c>
      <c r="C113" s="3099">
        <f>IF(SUM(C114:C119)=0,"NO",SUM(C114:C119))</f>
        <v>3575.6309086435413</v>
      </c>
      <c r="D113" s="3099" t="s">
        <v>1814</v>
      </c>
      <c r="E113" s="628"/>
      <c r="F113" s="628"/>
      <c r="G113" s="628"/>
      <c r="H113" s="3099">
        <f>IF(SUM(H114:H118)=0,"NO",SUM(H114:H118))</f>
        <v>215.04619550606242</v>
      </c>
      <c r="I113" s="3099">
        <f t="shared" ref="I113" si="51">IF(SUM(I114:I119)=0,"NO",SUM(I114:I119))</f>
        <v>2.9179925825459745E-2</v>
      </c>
      <c r="J113" s="3099">
        <f t="shared" ref="J113" si="52">IF(SUM(J114:J119)=0,"NO",SUM(J114:J119))</f>
        <v>3.6000754355488829E-3</v>
      </c>
      <c r="K113" s="3100" t="str">
        <f t="shared" ref="K113" si="53">IF(SUM(K114:K119)=0,"NO",SUM(K114:K119))</f>
        <v>NO</v>
      </c>
    </row>
    <row r="114" spans="2:11" ht="18" customHeight="1" x14ac:dyDescent="0.2">
      <c r="B114" s="158" t="s">
        <v>132</v>
      </c>
      <c r="C114" s="691">
        <v>632.5609086435411</v>
      </c>
      <c r="D114" s="3076" t="s">
        <v>1814</v>
      </c>
      <c r="E114" s="1913">
        <f>IFERROR(H114*1000/$C114,"NA")</f>
        <v>61.395561080323553</v>
      </c>
      <c r="F114" s="1913">
        <f t="shared" ref="F114:G119" si="54">IFERROR(I114*1000000/$C114,"NA")</f>
        <v>41.845306463005961</v>
      </c>
      <c r="G114" s="1913">
        <f t="shared" si="54"/>
        <v>1.7617672103020554</v>
      </c>
      <c r="H114" s="691">
        <v>38.83643190364949</v>
      </c>
      <c r="I114" s="691">
        <v>2.6469705078706496E-2</v>
      </c>
      <c r="J114" s="691">
        <v>1.1144250673670647E-3</v>
      </c>
      <c r="K114" s="3093" t="s">
        <v>2146</v>
      </c>
    </row>
    <row r="115" spans="2:11" ht="18" customHeight="1" x14ac:dyDescent="0.2">
      <c r="B115" s="158" t="s">
        <v>133</v>
      </c>
      <c r="C115" s="691">
        <v>645.29999999999995</v>
      </c>
      <c r="D115" s="3076" t="s">
        <v>1814</v>
      </c>
      <c r="E115" s="1913">
        <f t="shared" ref="E115:E119" si="55">IFERROR(H115*1000/$C115,"NA")</f>
        <v>90</v>
      </c>
      <c r="F115" s="1913">
        <f t="shared" si="54"/>
        <v>0.95238095238095244</v>
      </c>
      <c r="G115" s="1913">
        <f t="shared" si="54"/>
        <v>0.66666666666666674</v>
      </c>
      <c r="H115" s="691">
        <v>58.076999999999998</v>
      </c>
      <c r="I115" s="691">
        <v>6.1457142857142852E-4</v>
      </c>
      <c r="J115" s="691">
        <v>4.3019999999999999E-4</v>
      </c>
      <c r="K115" s="3093" t="s">
        <v>2146</v>
      </c>
    </row>
    <row r="116" spans="2:11" ht="18" customHeight="1" x14ac:dyDescent="0.2">
      <c r="B116" s="158" t="s">
        <v>134</v>
      </c>
      <c r="C116" s="691">
        <v>2297.77</v>
      </c>
      <c r="D116" s="3076" t="s">
        <v>1814</v>
      </c>
      <c r="E116" s="1913">
        <f t="shared" si="55"/>
        <v>51.411918339265</v>
      </c>
      <c r="F116" s="1913">
        <f t="shared" si="54"/>
        <v>0.91203615600422072</v>
      </c>
      <c r="G116" s="1913">
        <f t="shared" si="54"/>
        <v>0.89454138933914984</v>
      </c>
      <c r="H116" s="691">
        <v>118.13276360241294</v>
      </c>
      <c r="I116" s="691">
        <v>2.0956493181818183E-3</v>
      </c>
      <c r="J116" s="691">
        <v>2.0554503681818183E-3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5097.6797740839784</v>
      </c>
      <c r="D10" s="4413">
        <f t="shared" ref="D10:F10" si="0">SUM(D11:D16)</f>
        <v>28415.126721934434</v>
      </c>
      <c r="E10" s="4413">
        <f t="shared" si="0"/>
        <v>1943.7556444826018</v>
      </c>
      <c r="F10" s="4413">
        <f t="shared" si="0"/>
        <v>3217.5654662965462</v>
      </c>
      <c r="G10" s="4414" t="s">
        <v>2146</v>
      </c>
      <c r="H10" s="4415" t="s">
        <v>2312</v>
      </c>
      <c r="I10" s="4416" t="s">
        <v>2313</v>
      </c>
    </row>
    <row r="11" spans="2:9" ht="18" customHeight="1" x14ac:dyDescent="0.2">
      <c r="B11" s="1558" t="s">
        <v>1476</v>
      </c>
      <c r="C11" s="4417">
        <f>Table1!D10</f>
        <v>1453.428496546265</v>
      </c>
      <c r="D11" s="4418">
        <f>Table1!G10</f>
        <v>2965.1292309627352</v>
      </c>
      <c r="E11" s="4418">
        <f>Table1!H10</f>
        <v>690.36807438821825</v>
      </c>
      <c r="F11" s="4418">
        <f>Table1!F10</f>
        <v>2211.3919000356718</v>
      </c>
      <c r="G11" s="4419" t="s">
        <v>2146</v>
      </c>
      <c r="H11" s="4420" t="s">
        <v>2154</v>
      </c>
      <c r="I11" s="4421" t="s">
        <v>2154</v>
      </c>
    </row>
    <row r="12" spans="2:9" ht="18" customHeight="1" x14ac:dyDescent="0.2">
      <c r="B12" s="2393" t="s">
        <v>1551</v>
      </c>
      <c r="C12" s="4422">
        <f>'Table2(I)'!D10</f>
        <v>3.5741170618019251</v>
      </c>
      <c r="D12" s="4388">
        <f>'Table2(I)'!L10</f>
        <v>10.647801175431537</v>
      </c>
      <c r="E12" s="4388">
        <f>'Table2(I)'!M10</f>
        <v>232.9185796325973</v>
      </c>
      <c r="F12" s="4388">
        <f>'Table2(I)'!K10</f>
        <v>39.597710333653303</v>
      </c>
      <c r="G12" s="4423" t="s">
        <v>2146</v>
      </c>
      <c r="H12" s="4424" t="s">
        <v>2146</v>
      </c>
      <c r="I12" s="4425" t="s">
        <v>2146</v>
      </c>
    </row>
    <row r="13" spans="2:9" ht="18" customHeight="1" x14ac:dyDescent="0.2">
      <c r="B13" s="2393" t="s">
        <v>1552</v>
      </c>
      <c r="C13" s="4422">
        <f>Table3!D10</f>
        <v>2331.0684481509161</v>
      </c>
      <c r="D13" s="4388">
        <f>Table3!G10</f>
        <v>247.57953249374822</v>
      </c>
      <c r="E13" s="4388">
        <f>Table3!H10</f>
        <v>14.442139395468645</v>
      </c>
      <c r="F13" s="4388">
        <f>Table3!F10</f>
        <v>15.196468914646726</v>
      </c>
      <c r="G13" s="4426"/>
      <c r="H13" s="4424" t="s">
        <v>2154</v>
      </c>
      <c r="I13" s="4425" t="s">
        <v>2153</v>
      </c>
    </row>
    <row r="14" spans="2:9" ht="18" customHeight="1" x14ac:dyDescent="0.2">
      <c r="B14" s="2393" t="s">
        <v>1553</v>
      </c>
      <c r="C14" s="4422">
        <f>Table4!D10</f>
        <v>735.22739118260972</v>
      </c>
      <c r="D14" s="4388">
        <f>Table4!G10</f>
        <v>25191.770157302519</v>
      </c>
      <c r="E14" s="4423">
        <f>Table4!H10</f>
        <v>746.31014175080907</v>
      </c>
      <c r="F14" s="4423">
        <f>Table4!F10</f>
        <v>951.37938701257485</v>
      </c>
      <c r="G14" s="4426"/>
      <c r="H14" s="4427" t="s">
        <v>2154</v>
      </c>
      <c r="I14" s="4425" t="s">
        <v>2154</v>
      </c>
    </row>
    <row r="15" spans="2:9" ht="18" customHeight="1" x14ac:dyDescent="0.2">
      <c r="B15" s="2393" t="s">
        <v>1554</v>
      </c>
      <c r="C15" s="4422">
        <f>Table5!D10</f>
        <v>574.38132114238556</v>
      </c>
      <c r="D15" s="4388" t="str">
        <f>Table5!G10</f>
        <v>NO</v>
      </c>
      <c r="E15" s="4423">
        <f>Table5!H10</f>
        <v>259.71670931550852</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2008</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462929.05110306951</v>
      </c>
      <c r="D10" s="4193">
        <f>SUM(D11,D22,D30,D41,D50,D56)</f>
        <v>460170.3545597645</v>
      </c>
      <c r="E10" s="3840">
        <f>IF(D10="NO",IF(C10="NO","NA",-C10),IF(C10="NO",D10,D10-C10))</f>
        <v>-2758.6965433050063</v>
      </c>
      <c r="F10" s="3838">
        <f>IF(E10="NA","NA",E10/C10*100)</f>
        <v>-0.59592210442001248</v>
      </c>
      <c r="G10" s="3841">
        <f>IF(E10="NA","NA",E10/Table8s2!$G$35*100)</f>
        <v>-0.50237693436858399</v>
      </c>
      <c r="H10" s="3842">
        <f>IF(E10="NA","NA",E10/Table8s2!$G$34*100)</f>
        <v>-0.43771372979312706</v>
      </c>
      <c r="I10" s="4194">
        <f>SUM(I11,I22,I30,I41,I50,I56)</f>
        <v>144440.49165014303</v>
      </c>
      <c r="J10" s="4193">
        <f>SUM(J11,J22,J30,J41,J50,J56)</f>
        <v>142735.03367435141</v>
      </c>
      <c r="K10" s="3840">
        <f t="shared" ref="K10:K12" si="0">IF(J10="NO",IF(I10="NO","NA",-I10),IF(I10="NO",J10,J10-I10))</f>
        <v>-1705.4579757916217</v>
      </c>
      <c r="L10" s="3838">
        <f t="shared" ref="L10:L12" si="1">IF(K10="NA","NA",K10/I10*100)</f>
        <v>-1.180733986922796</v>
      </c>
      <c r="M10" s="3841">
        <f>IF(K10="NA","NA",K10/Table8s2!$G$35*100)</f>
        <v>-0.31057520684975115</v>
      </c>
      <c r="N10" s="3842">
        <f>IF(K10="NA","NA",K10/Table8s2!$G$34*100)</f>
        <v>-0.27059966903603455</v>
      </c>
      <c r="O10" s="4194">
        <f>SUM(O11,O22,O30,O41,O50,O56)</f>
        <v>21637.851418703351</v>
      </c>
      <c r="P10" s="4193">
        <f>SUM(P11,P22,P30,P41,P50,P56)</f>
        <v>21491.475557406091</v>
      </c>
      <c r="Q10" s="3840">
        <f t="shared" ref="Q10:Q12" si="2">IF(P10="NO",IF(O10="NO","NA",-O10),IF(O10="NO",P10,P10-O10))</f>
        <v>-146.37586129725969</v>
      </c>
      <c r="R10" s="3838">
        <f t="shared" ref="R10:R12" si="3">IF(Q10="NA","NA",Q10/O10*100)</f>
        <v>-0.67648057316233878</v>
      </c>
      <c r="S10" s="3841">
        <f>IF(Q10="NA","NA",Q10/Table8s2!$G$35*100)</f>
        <v>-2.6656015009168095E-2</v>
      </c>
      <c r="T10" s="3842">
        <f>IF(Q10="NA","NA",Q10/Table8s2!$G$34*100)</f>
        <v>-2.322499890594933E-2</v>
      </c>
    </row>
    <row r="11" spans="2:20" ht="18" customHeight="1" x14ac:dyDescent="0.2">
      <c r="B11" s="1405" t="s">
        <v>1476</v>
      </c>
      <c r="C11" s="3839">
        <f>SUM(C12,C18,C21)</f>
        <v>378473.93345891091</v>
      </c>
      <c r="D11" s="3839">
        <f>Summary2!C11</f>
        <v>378446.132657693</v>
      </c>
      <c r="E11" s="3843">
        <f t="shared" ref="E11:E38" si="4">IF(D11="NO",IF(C11="NO","NA",-C11),IF(C11="NO",D11,D11-C11))</f>
        <v>-27.800801217905246</v>
      </c>
      <c r="F11" s="3839">
        <f t="shared" ref="F11:F38" si="5">IF(E11="NA","NA",E11/C11*100)</f>
        <v>-7.3454995866772017E-3</v>
      </c>
      <c r="G11" s="3844">
        <f>IF(E11="NA","NA",E11/Table8s2!$G$35*100)</f>
        <v>-5.0627102581240584E-3</v>
      </c>
      <c r="H11" s="3845">
        <f>IF(E11="NA","NA",E11/Table8s2!$G$34*100)</f>
        <v>-4.4110659513670221E-3</v>
      </c>
      <c r="I11" s="3846">
        <f>SUM(I12,I18,I21)</f>
        <v>40696.935074490386</v>
      </c>
      <c r="J11" s="3839">
        <f>Summary2!D11</f>
        <v>40695.997903295422</v>
      </c>
      <c r="K11" s="3843">
        <f t="shared" si="0"/>
        <v>-0.93717119496432133</v>
      </c>
      <c r="L11" s="3839">
        <f t="shared" si="1"/>
        <v>-2.3028053420950565E-3</v>
      </c>
      <c r="M11" s="3844">
        <f>IF(K11="NA","NA",K11/Table8s2!$G$35*100)</f>
        <v>-1.7066508929636354E-4</v>
      </c>
      <c r="N11" s="3845">
        <f>IF(K11="NA","NA",K11/Table8s2!$G$34*100)</f>
        <v>-1.4869801471932358E-4</v>
      </c>
      <c r="O11" s="3846">
        <f>SUM(O12,O18,O21)</f>
        <v>3372.0759700731478</v>
      </c>
      <c r="P11" s="3839">
        <f>Summary2!E11</f>
        <v>3373.0535355618676</v>
      </c>
      <c r="Q11" s="3843">
        <f t="shared" si="2"/>
        <v>0.97756548871984705</v>
      </c>
      <c r="R11" s="3839">
        <f t="shared" si="3"/>
        <v>2.8990019720660135E-2</v>
      </c>
      <c r="S11" s="3844">
        <f>IF(Q11="NA","NA",Q11/Table8s2!$G$35*100)</f>
        <v>1.780211580572187E-4</v>
      </c>
      <c r="T11" s="3845">
        <f>IF(Q11="NA","NA",Q11/Table8s2!$G$34*100)</f>
        <v>1.5510725064090409E-4</v>
      </c>
    </row>
    <row r="12" spans="2:20" ht="18" customHeight="1" x14ac:dyDescent="0.2">
      <c r="B12" s="620" t="s">
        <v>131</v>
      </c>
      <c r="C12" s="3839">
        <f>SUM(C13:C17)</f>
        <v>370991.20785163256</v>
      </c>
      <c r="D12" s="3839">
        <f>Summary2!C12</f>
        <v>370963.40705041465</v>
      </c>
      <c r="E12" s="3839">
        <f t="shared" si="4"/>
        <v>-27.800801217905246</v>
      </c>
      <c r="F12" s="3847">
        <f t="shared" si="5"/>
        <v>-7.493655005706602E-3</v>
      </c>
      <c r="G12" s="3844">
        <f>IF(E12="NA","NA",E12/Table8s2!$G$35*100)</f>
        <v>-5.0627102581240584E-3</v>
      </c>
      <c r="H12" s="3845">
        <f>IF(E12="NA","NA",E12/Table8s2!$G$34*100)</f>
        <v>-4.4110659513670221E-3</v>
      </c>
      <c r="I12" s="3846">
        <f>SUM(I13:I17)</f>
        <v>2279.2130588627115</v>
      </c>
      <c r="J12" s="3839">
        <f>Summary2!D12</f>
        <v>2278.062750103943</v>
      </c>
      <c r="K12" s="3839">
        <f t="shared" si="0"/>
        <v>-1.1503087587684604</v>
      </c>
      <c r="L12" s="3847">
        <f t="shared" si="1"/>
        <v>-5.0469558091354783E-2</v>
      </c>
      <c r="M12" s="3844">
        <f>IF(K12="NA","NA",K12/Table8s2!$G$35*100)</f>
        <v>-2.0947885305105043E-4</v>
      </c>
      <c r="N12" s="3845">
        <f>IF(K12="NA","NA",K12/Table8s2!$G$34*100)</f>
        <v>-1.8251588361039127E-4</v>
      </c>
      <c r="O12" s="3848">
        <f>SUM(O13:O17)</f>
        <v>3347.8367739247287</v>
      </c>
      <c r="P12" s="3847">
        <f>Summary2!E12</f>
        <v>3348.8143394134486</v>
      </c>
      <c r="Q12" s="3839">
        <f t="shared" si="2"/>
        <v>0.97756548871984705</v>
      </c>
      <c r="R12" s="3847">
        <f t="shared" si="3"/>
        <v>2.9199914892321037E-2</v>
      </c>
      <c r="S12" s="3844">
        <f>IF(Q12="NA","NA",Q12/Table8s2!$G$35*100)</f>
        <v>1.780211580572187E-4</v>
      </c>
      <c r="T12" s="3845">
        <f>IF(Q12="NA","NA",Q12/Table8s2!$G$34*100)</f>
        <v>1.5510725064090409E-4</v>
      </c>
    </row>
    <row r="13" spans="2:20" ht="18" customHeight="1" x14ac:dyDescent="0.2">
      <c r="B13" s="1392" t="s">
        <v>1478</v>
      </c>
      <c r="C13" s="3847">
        <v>224490.41435401241</v>
      </c>
      <c r="D13" s="3839">
        <f>Summary2!C13</f>
        <v>224490.41435401241</v>
      </c>
      <c r="E13" s="3839">
        <f t="shared" si="4"/>
        <v>0</v>
      </c>
      <c r="F13" s="3847">
        <f t="shared" si="5"/>
        <v>0</v>
      </c>
      <c r="G13" s="3844">
        <f>IF(E13="NA","NA",E13/Table8s2!$G$35*100)</f>
        <v>0</v>
      </c>
      <c r="H13" s="3845">
        <f>IF(E13="NA","NA",E13/Table8s2!$G$34*100)</f>
        <v>0</v>
      </c>
      <c r="I13" s="3846">
        <v>404.45824936361464</v>
      </c>
      <c r="J13" s="3839">
        <f>Summary2!D13</f>
        <v>404.45824936361458</v>
      </c>
      <c r="K13" s="3839">
        <f t="shared" ref="K13" si="6">IF(J13="NO",IF(I13="NO","NA",-I13),IF(I13="NO",J13,J13-I13))</f>
        <v>-5.6843418860808015E-14</v>
      </c>
      <c r="L13" s="3847">
        <f t="shared" ref="L13" si="7">IF(K13="NA","NA",K13/I13*100)</f>
        <v>-1.4054211763574351E-14</v>
      </c>
      <c r="M13" s="3844">
        <f>IF(K13="NA","NA",K13/Table8s2!$G$35*100)</f>
        <v>-1.0351563522137196E-17</v>
      </c>
      <c r="N13" s="3845">
        <f>IF(K13="NA","NA",K13/Table8s2!$G$34*100)</f>
        <v>-9.0191670207948492E-18</v>
      </c>
      <c r="O13" s="3848">
        <v>991.97761203413506</v>
      </c>
      <c r="P13" s="3847">
        <f>Summary2!E13</f>
        <v>991.97761203413506</v>
      </c>
      <c r="Q13" s="3839">
        <f t="shared" ref="Q13" si="8">IF(P13="NO",IF(O13="NO","NA",-O13),IF(O13="NO",P13,P13-O13))</f>
        <v>0</v>
      </c>
      <c r="R13" s="3847">
        <f t="shared" ref="R13" si="9">IF(Q13="NA","NA",Q13/O13*100)</f>
        <v>0</v>
      </c>
      <c r="S13" s="3844">
        <f>IF(Q13="NA","NA",Q13/Table8s2!$G$35*100)</f>
        <v>0</v>
      </c>
      <c r="T13" s="3845">
        <f>IF(Q13="NA","NA",Q13/Table8s2!$G$34*100)</f>
        <v>0</v>
      </c>
    </row>
    <row r="14" spans="2:20" ht="18" customHeight="1" x14ac:dyDescent="0.2">
      <c r="B14" s="1392" t="s">
        <v>1517</v>
      </c>
      <c r="C14" s="3847">
        <v>42551.080627390707</v>
      </c>
      <c r="D14" s="3839">
        <f>Summary2!C14</f>
        <v>42551.080627390678</v>
      </c>
      <c r="E14" s="3839">
        <f t="shared" si="4"/>
        <v>-2.9103830456733704E-11</v>
      </c>
      <c r="F14" s="3847">
        <f t="shared" si="5"/>
        <v>-6.8397394443607088E-14</v>
      </c>
      <c r="G14" s="3844">
        <f>IF(E14="NA","NA",E14/Table8s2!$G$35*100)</f>
        <v>-5.3000005233342445E-15</v>
      </c>
      <c r="H14" s="3845">
        <f>IF(E14="NA","NA",E14/Table8s2!$G$34*100)</f>
        <v>-4.6178135146469628E-15</v>
      </c>
      <c r="I14" s="3846">
        <v>69.32081380448416</v>
      </c>
      <c r="J14" s="3839">
        <f>Summary2!D14</f>
        <v>69.32081380448416</v>
      </c>
      <c r="K14" s="3839">
        <f t="shared" ref="K14:K20" si="10">IF(J14="NO",IF(I14="NO","NA",-I14),IF(I14="NO",J14,J14-I14))</f>
        <v>0</v>
      </c>
      <c r="L14" s="3847">
        <f t="shared" ref="L14:L20" si="11">IF(K14="NA","NA",K14/I14*100)</f>
        <v>0</v>
      </c>
      <c r="M14" s="3844">
        <f>IF(K14="NA","NA",K14/Table8s2!$G$35*100)</f>
        <v>0</v>
      </c>
      <c r="N14" s="3845">
        <f>IF(K14="NA","NA",K14/Table8s2!$G$34*100)</f>
        <v>0</v>
      </c>
      <c r="O14" s="3848">
        <v>377.37083506142085</v>
      </c>
      <c r="P14" s="3847">
        <f>Summary2!E14</f>
        <v>377.37083506142096</v>
      </c>
      <c r="Q14" s="3839">
        <f t="shared" ref="Q14:Q20" si="12">IF(P14="NO",IF(O14="NO","NA",-O14),IF(O14="NO",P14,P14-O14))</f>
        <v>1.1368683772161603E-13</v>
      </c>
      <c r="R14" s="3847">
        <f t="shared" ref="R14:R20" si="13">IF(Q14="NA","NA",Q14/O14*100)</f>
        <v>3.0126026486151843E-14</v>
      </c>
      <c r="S14" s="3844">
        <f>IF(Q14="NA","NA",Q14/Table8s2!$G$35*100)</f>
        <v>2.0703127044274393E-17</v>
      </c>
      <c r="T14" s="3845">
        <f>IF(Q14="NA","NA",Q14/Table8s2!$G$34*100)</f>
        <v>1.8038334041589698E-17</v>
      </c>
    </row>
    <row r="15" spans="2:20" ht="18" customHeight="1" x14ac:dyDescent="0.2">
      <c r="B15" s="1392" t="s">
        <v>1480</v>
      </c>
      <c r="C15" s="3847">
        <v>84024.702921257543</v>
      </c>
      <c r="D15" s="3839">
        <f>Summary2!C15</f>
        <v>83992.782117918439</v>
      </c>
      <c r="E15" s="3839">
        <f t="shared" si="4"/>
        <v>-31.920803339104168</v>
      </c>
      <c r="F15" s="3847">
        <f t="shared" si="5"/>
        <v>-3.7989784229309632E-2</v>
      </c>
      <c r="G15" s="3844">
        <f>IF(E15="NA","NA",E15/Table8s2!$G$35*100)</f>
        <v>-5.8129899654964026E-3</v>
      </c>
      <c r="H15" s="3845">
        <f>IF(E15="NA","NA",E15/Table8s2!$G$34*100)</f>
        <v>-5.0647737684163981E-3</v>
      </c>
      <c r="I15" s="3846">
        <v>526.38854088740163</v>
      </c>
      <c r="J15" s="3839">
        <f>Summary2!D15</f>
        <v>525.23840091742886</v>
      </c>
      <c r="K15" s="3839">
        <f t="shared" si="10"/>
        <v>-1.1501399699727699</v>
      </c>
      <c r="L15" s="3847">
        <f t="shared" si="11"/>
        <v>-0.21849639204414087</v>
      </c>
      <c r="M15" s="3844">
        <f>IF(K15="NA","NA",K15/Table8s2!$G$35*100)</f>
        <v>-2.0944811549206062E-4</v>
      </c>
      <c r="N15" s="3845">
        <f>IF(K15="NA","NA",K15/Table8s2!$G$34*100)</f>
        <v>-1.8248910242146772E-4</v>
      </c>
      <c r="O15" s="3848">
        <v>1798.6502266577681</v>
      </c>
      <c r="P15" s="3847">
        <f>Summary2!E15</f>
        <v>1799.6341820080572</v>
      </c>
      <c r="Q15" s="3839">
        <f t="shared" si="12"/>
        <v>0.98395535028907943</v>
      </c>
      <c r="R15" s="3847">
        <f t="shared" si="13"/>
        <v>5.4705208144746088E-2</v>
      </c>
      <c r="S15" s="3844">
        <f>IF(Q15="NA","NA",Q15/Table8s2!$G$35*100)</f>
        <v>1.7918479422226959E-4</v>
      </c>
      <c r="T15" s="3845">
        <f>IF(Q15="NA","NA",Q15/Table8s2!$G$34*100)</f>
        <v>1.561211099387374E-4</v>
      </c>
    </row>
    <row r="16" spans="2:20" ht="18" customHeight="1" x14ac:dyDescent="0.2">
      <c r="B16" s="1392" t="s">
        <v>1481</v>
      </c>
      <c r="C16" s="3847">
        <v>19085.446700991255</v>
      </c>
      <c r="D16" s="3839">
        <f>Summary2!C16</f>
        <v>19090.374478065543</v>
      </c>
      <c r="E16" s="3839">
        <f t="shared" si="4"/>
        <v>4.9277770742883149</v>
      </c>
      <c r="F16" s="3847">
        <f t="shared" si="5"/>
        <v>2.5819553251705537E-2</v>
      </c>
      <c r="G16" s="3844">
        <f>IF(E16="NA","NA",E16/Table8s2!$G$35*100)</f>
        <v>8.9738088295384039E-4</v>
      </c>
      <c r="H16" s="3845">
        <f>IF(E16="NA","NA",E16/Table8s2!$G$34*100)</f>
        <v>7.8187493583172429E-4</v>
      </c>
      <c r="I16" s="3846">
        <v>1278.1155250898762</v>
      </c>
      <c r="J16" s="3839">
        <f>Summary2!D16</f>
        <v>1278.1155250898764</v>
      </c>
      <c r="K16" s="3839">
        <f t="shared" si="10"/>
        <v>2.2737367544323206E-13</v>
      </c>
      <c r="L16" s="3847">
        <f t="shared" si="11"/>
        <v>1.7789759296386239E-14</v>
      </c>
      <c r="M16" s="3844">
        <f>IF(K16="NA","NA",K16/Table8s2!$G$35*100)</f>
        <v>4.1406254088548785E-17</v>
      </c>
      <c r="N16" s="3845">
        <f>IF(K16="NA","NA",K16/Table8s2!$G$34*100)</f>
        <v>3.6076668083179397E-17</v>
      </c>
      <c r="O16" s="3848">
        <v>173.59863547834522</v>
      </c>
      <c r="P16" s="3847">
        <f>Summary2!E16</f>
        <v>173.59863547834522</v>
      </c>
      <c r="Q16" s="3839">
        <f t="shared" si="12"/>
        <v>0</v>
      </c>
      <c r="R16" s="3847">
        <f t="shared" si="13"/>
        <v>0</v>
      </c>
      <c r="S16" s="3844">
        <f>IF(Q16="NA","NA",Q16/Table8s2!$G$35*100)</f>
        <v>0</v>
      </c>
      <c r="T16" s="3845">
        <f>IF(Q16="NA","NA",Q16/Table8s2!$G$34*100)</f>
        <v>0</v>
      </c>
    </row>
    <row r="17" spans="2:20" ht="18" customHeight="1" x14ac:dyDescent="0.2">
      <c r="B17" s="1392" t="s">
        <v>1482</v>
      </c>
      <c r="C17" s="3847">
        <v>839.56324798065964</v>
      </c>
      <c r="D17" s="3839">
        <f>Summary2!C17</f>
        <v>838.75547302757877</v>
      </c>
      <c r="E17" s="3839">
        <f t="shared" si="4"/>
        <v>-0.807774953080866</v>
      </c>
      <c r="F17" s="3847">
        <f t="shared" si="5"/>
        <v>-9.6213710524340884E-2</v>
      </c>
      <c r="G17" s="3844">
        <f>IF(E17="NA","NA",E17/Table8s2!$G$35*100)</f>
        <v>-1.4710117557994326E-4</v>
      </c>
      <c r="H17" s="3845">
        <f>IF(E17="NA","NA",E17/Table8s2!$G$34*100)</f>
        <v>-1.2816711878099537E-4</v>
      </c>
      <c r="I17" s="3846">
        <v>0.92992971733487806</v>
      </c>
      <c r="J17" s="3839">
        <f>Summary2!D17</f>
        <v>0.92976092853871184</v>
      </c>
      <c r="K17" s="3839">
        <f t="shared" si="10"/>
        <v>-1.6878879616621933E-4</v>
      </c>
      <c r="L17" s="3847">
        <f t="shared" si="11"/>
        <v>-1.8150704619910175E-2</v>
      </c>
      <c r="M17" s="3844">
        <f>IF(K17="NA","NA",K17/Table8s2!$G$35*100)</f>
        <v>-3.0737559076418481E-8</v>
      </c>
      <c r="N17" s="3845">
        <f>IF(K17="NA","NA",K17/Table8s2!$G$34*100)</f>
        <v>-2.6781188999024781E-8</v>
      </c>
      <c r="O17" s="3848">
        <v>6.2394646930594506</v>
      </c>
      <c r="P17" s="3847">
        <f>Summary2!E17</f>
        <v>6.2330748314903035</v>
      </c>
      <c r="Q17" s="3839">
        <f t="shared" si="12"/>
        <v>-6.389861569147115E-3</v>
      </c>
      <c r="R17" s="3847">
        <f t="shared" si="13"/>
        <v>-0.10241041312814801</v>
      </c>
      <c r="S17" s="3844">
        <f>IF(Q17="NA","NA",Q17/Table8s2!$G$35*100)</f>
        <v>-1.1636361650353659E-6</v>
      </c>
      <c r="T17" s="3845">
        <f>IF(Q17="NA","NA",Q17/Table8s2!$G$34*100)</f>
        <v>-1.0138592978198087E-6</v>
      </c>
    </row>
    <row r="18" spans="2:20" ht="18" customHeight="1" x14ac:dyDescent="0.2">
      <c r="B18" s="620" t="s">
        <v>99</v>
      </c>
      <c r="C18" s="3847">
        <f>SUM(C19:C20)</f>
        <v>7482.7256072783639</v>
      </c>
      <c r="D18" s="3839">
        <f>Summary2!C18</f>
        <v>7482.7256072783639</v>
      </c>
      <c r="E18" s="3839">
        <f t="shared" si="4"/>
        <v>0</v>
      </c>
      <c r="F18" s="3847">
        <f t="shared" si="5"/>
        <v>0</v>
      </c>
      <c r="G18" s="3844">
        <f>IF(E18="NA","NA",E18/Table8s2!$G$35*100)</f>
        <v>0</v>
      </c>
      <c r="H18" s="3845">
        <f>IF(E18="NA","NA",E18/Table8s2!$G$34*100)</f>
        <v>0</v>
      </c>
      <c r="I18" s="3846">
        <f>SUM(I19:I20)</f>
        <v>38417.722015627674</v>
      </c>
      <c r="J18" s="3839">
        <f>Summary2!D18</f>
        <v>38417.93515319148</v>
      </c>
      <c r="K18" s="3839">
        <f t="shared" si="10"/>
        <v>0.21313756380550331</v>
      </c>
      <c r="L18" s="3847">
        <f t="shared" si="11"/>
        <v>5.5478969762653443E-4</v>
      </c>
      <c r="M18" s="3844">
        <f>IF(K18="NA","NA",K18/Table8s2!$G$35*100)</f>
        <v>3.8813763754935329E-5</v>
      </c>
      <c r="N18" s="3845">
        <f>IF(K18="NA","NA",K18/Table8s2!$G$34*100)</f>
        <v>3.381786889128413E-5</v>
      </c>
      <c r="O18" s="3848">
        <f>SUM(O19:O20)</f>
        <v>24.239196148419243</v>
      </c>
      <c r="P18" s="3847">
        <f>Summary2!E18</f>
        <v>24.239196148419246</v>
      </c>
      <c r="Q18" s="3839">
        <f t="shared" si="12"/>
        <v>3.5527136788005009E-15</v>
      </c>
      <c r="R18" s="3847">
        <f t="shared" si="13"/>
        <v>1.4656895620823594E-14</v>
      </c>
      <c r="S18" s="3844">
        <f>IF(Q18="NA","NA",Q18/Table8s2!$G$35*100)</f>
        <v>6.4697272013357477E-19</v>
      </c>
      <c r="T18" s="3845">
        <f>IF(Q18="NA","NA",Q18/Table8s2!$G$34*100)</f>
        <v>5.6369793879967808E-19</v>
      </c>
    </row>
    <row r="19" spans="2:20" ht="18" customHeight="1" x14ac:dyDescent="0.2">
      <c r="B19" s="1392" t="s">
        <v>1483</v>
      </c>
      <c r="C19" s="3847">
        <v>1162.3635762445851</v>
      </c>
      <c r="D19" s="3839">
        <f>Summary2!C19</f>
        <v>1162.3635762445851</v>
      </c>
      <c r="E19" s="3839">
        <f t="shared" si="4"/>
        <v>0</v>
      </c>
      <c r="F19" s="3847">
        <f t="shared" si="5"/>
        <v>0</v>
      </c>
      <c r="G19" s="3844">
        <f>IF(E19="NA","NA",E19/Table8s2!$G$35*100)</f>
        <v>0</v>
      </c>
      <c r="H19" s="3845">
        <f>IF(E19="NA","NA",E19/Table8s2!$G$34*100)</f>
        <v>0</v>
      </c>
      <c r="I19" s="3846">
        <v>32576.602300190942</v>
      </c>
      <c r="J19" s="3839">
        <f>Summary2!D19</f>
        <v>32576.602300190942</v>
      </c>
      <c r="K19" s="3839">
        <f t="shared" si="10"/>
        <v>0</v>
      </c>
      <c r="L19" s="3847">
        <f t="shared" si="11"/>
        <v>0</v>
      </c>
      <c r="M19" s="3844">
        <f>IF(K19="NA","NA",K19/Table8s2!$G$35*100)</f>
        <v>0</v>
      </c>
      <c r="N19" s="3845">
        <f>IF(K19="NA","NA",K19/Table8s2!$G$34*100)</f>
        <v>0</v>
      </c>
      <c r="O19" s="3848">
        <v>4.1094404948165068E-2</v>
      </c>
      <c r="P19" s="3847">
        <f>Summary2!E19</f>
        <v>4.1094404948165068E-2</v>
      </c>
      <c r="Q19" s="3839">
        <f t="shared" si="12"/>
        <v>0</v>
      </c>
      <c r="R19" s="3847">
        <f t="shared" si="13"/>
        <v>0</v>
      </c>
      <c r="S19" s="3844">
        <f>IF(Q19="NA","NA",Q19/Table8s2!$G$35*100)</f>
        <v>0</v>
      </c>
      <c r="T19" s="3845">
        <f>IF(Q19="NA","NA",Q19/Table8s2!$G$34*100)</f>
        <v>0</v>
      </c>
    </row>
    <row r="20" spans="2:20" ht="18" customHeight="1" x14ac:dyDescent="0.2">
      <c r="B20" s="1393" t="s">
        <v>1484</v>
      </c>
      <c r="C20" s="3849">
        <v>6320.3620310337783</v>
      </c>
      <c r="D20" s="3850">
        <f>Summary2!C20</f>
        <v>6320.3620310337783</v>
      </c>
      <c r="E20" s="3850">
        <f t="shared" si="4"/>
        <v>0</v>
      </c>
      <c r="F20" s="3849">
        <f t="shared" si="5"/>
        <v>0</v>
      </c>
      <c r="G20" s="3851">
        <f>IF(E20="NA","NA",E20/Table8s2!$G$35*100)</f>
        <v>0</v>
      </c>
      <c r="H20" s="3852">
        <f>IF(E20="NA","NA",E20/Table8s2!$G$34*100)</f>
        <v>0</v>
      </c>
      <c r="I20" s="3853">
        <v>5841.1197154367355</v>
      </c>
      <c r="J20" s="3850">
        <f>Summary2!D20</f>
        <v>5841.3328530005365</v>
      </c>
      <c r="K20" s="3839">
        <f t="shared" si="10"/>
        <v>0.21313756380095583</v>
      </c>
      <c r="L20" s="3847">
        <f t="shared" si="11"/>
        <v>3.6489162041600052E-3</v>
      </c>
      <c r="M20" s="3844">
        <f>IF(K20="NA","NA",K20/Table8s2!$G$35*100)</f>
        <v>3.8813763754107202E-5</v>
      </c>
      <c r="N20" s="3845">
        <f>IF(K20="NA","NA",K20/Table8s2!$G$34*100)</f>
        <v>3.38178688905626E-5</v>
      </c>
      <c r="O20" s="3854">
        <v>24.198101743471078</v>
      </c>
      <c r="P20" s="3849">
        <f>Summary2!E20</f>
        <v>24.198101743471081</v>
      </c>
      <c r="Q20" s="3839">
        <f t="shared" si="12"/>
        <v>3.5527136788005009E-15</v>
      </c>
      <c r="R20" s="3847">
        <f t="shared" si="13"/>
        <v>1.4681786680887327E-14</v>
      </c>
      <c r="S20" s="3844">
        <f>IF(Q20="NA","NA",Q20/Table8s2!$G$35*100)</f>
        <v>6.4697272013357477E-19</v>
      </c>
      <c r="T20" s="3845">
        <f>IF(Q20="NA","NA",Q20/Table8s2!$G$34*100)</f>
        <v>5.6369793879967808E-19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23898.611719751374</v>
      </c>
      <c r="D22" s="3839">
        <f>Summary2!C22</f>
        <v>23949.045712951374</v>
      </c>
      <c r="E22" s="3861">
        <f t="shared" si="4"/>
        <v>50.433993200000259</v>
      </c>
      <c r="F22" s="3861">
        <f t="shared" si="5"/>
        <v>0.21103315034119038</v>
      </c>
      <c r="G22" s="3862">
        <f>IF(E22="NA","NA",E22/Table8s2!$G$35*100)</f>
        <v>9.1843646062744408E-3</v>
      </c>
      <c r="H22" s="3863">
        <f>IF(E22="NA","NA",E22/Table8s2!$G$34*100)</f>
        <v>8.0022035499004128E-3</v>
      </c>
      <c r="I22" s="3839">
        <f>SUM(I23:I29)</f>
        <v>100.07527773045389</v>
      </c>
      <c r="J22" s="3839">
        <f>Summary2!D22</f>
        <v>100.07527773045391</v>
      </c>
      <c r="K22" s="3861">
        <f t="shared" ref="K22" si="14">IF(J22="NO",IF(I22="NO","NA",-I22),IF(I22="NO",J22,J22-I22))</f>
        <v>1.4210854715202004E-14</v>
      </c>
      <c r="L22" s="3861">
        <f t="shared" ref="L22" si="15">IF(K22="NA","NA",K22/I22*100)</f>
        <v>1.4200165153154005E-14</v>
      </c>
      <c r="M22" s="3862">
        <f>IF(K22="NA","NA",K22/Table8s2!$G$35*100)</f>
        <v>2.5878908805342991E-18</v>
      </c>
      <c r="N22" s="3863">
        <f>IF(K22="NA","NA",K22/Table8s2!$G$34*100)</f>
        <v>2.2547917551987123E-18</v>
      </c>
      <c r="O22" s="3839">
        <f>SUM(O23:O29)</f>
        <v>2770.3087454164629</v>
      </c>
      <c r="P22" s="3839">
        <f>Summary2!E22</f>
        <v>2770.3087454164634</v>
      </c>
      <c r="Q22" s="3861">
        <f t="shared" ref="Q22" si="16">IF(P22="NO",IF(O22="NO","NA",-O22),IF(O22="NO",P22,P22-O22))</f>
        <v>4.5474735088646412E-13</v>
      </c>
      <c r="R22" s="3864">
        <f t="shared" ref="R22" si="17">IF(Q22="NA","NA",Q22/O22*100)</f>
        <v>1.6415042245340116E-14</v>
      </c>
      <c r="S22" s="3865">
        <f>IF(Q22="NA","NA",Q22/Table8s2!$G$35*100)</f>
        <v>8.281250817709757E-17</v>
      </c>
      <c r="T22" s="3866">
        <f>IF(Q22="NA","NA",Q22/Table8s2!$G$34*100)</f>
        <v>7.2153336166358794E-17</v>
      </c>
    </row>
    <row r="23" spans="2:20" ht="18" customHeight="1" x14ac:dyDescent="0.2">
      <c r="B23" s="1394" t="s">
        <v>1487</v>
      </c>
      <c r="C23" s="3839">
        <v>6898.3975325174652</v>
      </c>
      <c r="D23" s="3839">
        <f>Summary2!C23</f>
        <v>6898.3975325174652</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3411.0563277487354</v>
      </c>
      <c r="D24" s="3839">
        <f>Summary2!C24</f>
        <v>3459.3511337487348</v>
      </c>
      <c r="E24" s="3839">
        <f t="shared" si="4"/>
        <v>48.294805999999426</v>
      </c>
      <c r="F24" s="3847">
        <f t="shared" si="5"/>
        <v>1.4158313835841443</v>
      </c>
      <c r="G24" s="3844">
        <f>IF(E24="NA","NA",E24/Table8s2!$G$35*100)</f>
        <v>8.7948044314936965E-3</v>
      </c>
      <c r="H24" s="3845">
        <f>IF(E24="NA","NA",E24/Table8s2!$G$34*100)</f>
        <v>7.6627854249491627E-3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2749.6779071443066</v>
      </c>
      <c r="P24" s="3847">
        <f>Summary2!E24</f>
        <v>2749.6779071443066</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13190.956265353814</v>
      </c>
      <c r="D25" s="3839">
        <f>Summary2!C25</f>
        <v>13190.956265353812</v>
      </c>
      <c r="E25" s="3839">
        <f t="shared" si="4"/>
        <v>-1.8189894035458565E-12</v>
      </c>
      <c r="F25" s="3847">
        <f t="shared" si="5"/>
        <v>-1.3789670490557619E-14</v>
      </c>
      <c r="G25" s="3844">
        <f>IF(E25="NA","NA",E25/Table8s2!$G$35*100)</f>
        <v>-3.3125003270839028E-16</v>
      </c>
      <c r="H25" s="3845">
        <f>IF(E25="NA","NA",E25/Table8s2!$G$34*100)</f>
        <v>-2.8861334466543518E-16</v>
      </c>
      <c r="I25" s="3846">
        <v>83.897896930453896</v>
      </c>
      <c r="J25" s="3839">
        <f>Summary2!D25</f>
        <v>83.897896930453911</v>
      </c>
      <c r="K25" s="3839">
        <f t="shared" ref="K25:K26" si="22">IF(J25="NO",IF(I25="NO","NA",-I25),IF(I25="NO",J25,J25-I25))</f>
        <v>1.4210854715202004E-14</v>
      </c>
      <c r="L25" s="3847">
        <f t="shared" ref="L25:L26" si="23">IF(K25="NA","NA",K25/I25*100)</f>
        <v>1.6938272871108929E-14</v>
      </c>
      <c r="M25" s="3844">
        <f>IF(K25="NA","NA",K25/Table8s2!$G$35*100)</f>
        <v>2.5878908805342991E-18</v>
      </c>
      <c r="N25" s="3845">
        <f>IF(K25="NA","NA",K25/Table8s2!$G$34*100)</f>
        <v>2.2547917551987123E-18</v>
      </c>
      <c r="O25" s="3848">
        <v>20.630838272156499</v>
      </c>
      <c r="P25" s="3847">
        <f>Summary2!E25</f>
        <v>20.630838272156495</v>
      </c>
      <c r="Q25" s="3839">
        <f t="shared" ref="Q25:Q29" si="24">IF(P25="NO",IF(O25="NO","NA",-O25),IF(O25="NO",P25,P25-O25))</f>
        <v>-3.5527136788005009E-15</v>
      </c>
      <c r="R25" s="3847">
        <f t="shared" ref="R25:R29" si="25">IF(Q25="NA","NA",Q25/O25*100)</f>
        <v>-1.7220403901838852E-14</v>
      </c>
      <c r="S25" s="3844">
        <f>IF(Q25="NA","NA",Q25/Table8s2!$G$35*100)</f>
        <v>-6.4697272013357477E-19</v>
      </c>
      <c r="T25" s="3845">
        <f>IF(Q25="NA","NA",Q25/Table8s2!$G$34*100)</f>
        <v>-5.6369793879967808E-19</v>
      </c>
    </row>
    <row r="26" spans="2:20" ht="18" customHeight="1" x14ac:dyDescent="0.2">
      <c r="B26" s="1395" t="s">
        <v>1519</v>
      </c>
      <c r="C26" s="3839">
        <v>234.82175430000001</v>
      </c>
      <c r="D26" s="3839">
        <f>Summary2!C26</f>
        <v>236.96094149999999</v>
      </c>
      <c r="E26" s="3839">
        <f t="shared" si="4"/>
        <v>2.1391871999999807</v>
      </c>
      <c r="F26" s="3847">
        <f t="shared" si="5"/>
        <v>0.91098339946265383</v>
      </c>
      <c r="G26" s="3844">
        <f>IF(E26="NA","NA",E26/Table8s2!$G$35*100)</f>
        <v>3.895601747805892E-4</v>
      </c>
      <c r="H26" s="3845">
        <f>IF(E26="NA","NA",E26/Table8s2!$G$34*100)</f>
        <v>3.3941812495111496E-4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163.37983983135788</v>
      </c>
      <c r="D29" s="3855">
        <f>Summary2!C30</f>
        <v>163.37983983135788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1830.382472917935</v>
      </c>
      <c r="D30" s="3875">
        <f>Summary2!C31</f>
        <v>1830.382472917935</v>
      </c>
      <c r="E30" s="3861">
        <f t="shared" si="4"/>
        <v>0</v>
      </c>
      <c r="F30" s="3876">
        <f t="shared" si="5"/>
        <v>0</v>
      </c>
      <c r="G30" s="3877">
        <f>IF(E30="NA","NA",E30/Table8s2!$G$35*100)</f>
        <v>0</v>
      </c>
      <c r="H30" s="3878">
        <f>IF(E30="NA","NA",E30/Table8s2!$G$34*100)</f>
        <v>0</v>
      </c>
      <c r="I30" s="3874">
        <f>SUM(I31:I40)</f>
        <v>65269.916548225636</v>
      </c>
      <c r="J30" s="3875">
        <f>Summary2!D31</f>
        <v>65269.91654822565</v>
      </c>
      <c r="K30" s="3861">
        <f t="shared" ref="K30" si="28">IF(J30="NO",IF(I30="NO","NA",-I30),IF(I30="NO",J30,J30-I30))</f>
        <v>1.4551915228366852E-11</v>
      </c>
      <c r="L30" s="3876">
        <f t="shared" ref="L30" si="29">IF(K30="NA","NA",K30/I30*100)</f>
        <v>2.2294980594336987E-14</v>
      </c>
      <c r="M30" s="3877">
        <f>IF(K30="NA","NA",K30/Table8s2!$G$35*100)</f>
        <v>2.6500002616671223E-15</v>
      </c>
      <c r="N30" s="3878">
        <f>IF(K30="NA","NA",K30/Table8s2!$G$34*100)</f>
        <v>2.3089067573234814E-15</v>
      </c>
      <c r="O30" s="3874">
        <f>SUM(O31:O40)</f>
        <v>10453.05317014204</v>
      </c>
      <c r="P30" s="3875">
        <f>Summary2!E31</f>
        <v>10452.925263800387</v>
      </c>
      <c r="Q30" s="3861">
        <f t="shared" ref="Q30" si="30">IF(P30="NO",IF(O30="NO","NA",-O30),IF(O30="NO",P30,P30-O30))</f>
        <v>-0.12790634165321535</v>
      </c>
      <c r="R30" s="3880">
        <f t="shared" ref="R30" si="31">IF(Q30="NA","NA",Q30/O30*100)</f>
        <v>-1.2236266244064012E-3</v>
      </c>
      <c r="S30" s="3881">
        <f>IF(Q30="NA","NA",Q30/Table8s2!$G$35*100)</f>
        <v>-2.3292593004470469E-5</v>
      </c>
      <c r="T30" s="3882">
        <f>IF(Q30="NA","NA",Q30/Table8s2!$G$34*100)</f>
        <v>-2.0294498140831918E-5</v>
      </c>
    </row>
    <row r="31" spans="2:20" ht="18" customHeight="1" x14ac:dyDescent="0.2">
      <c r="B31" s="620" t="s">
        <v>1492</v>
      </c>
      <c r="C31" s="3867"/>
      <c r="D31" s="3867"/>
      <c r="E31" s="3868"/>
      <c r="F31" s="3868"/>
      <c r="G31" s="3869"/>
      <c r="H31" s="3870"/>
      <c r="I31" s="3846">
        <v>58417.006486717306</v>
      </c>
      <c r="J31" s="3839">
        <f>Summary2!D32</f>
        <v>58417.006486717306</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6665.9419111641037</v>
      </c>
      <c r="J32" s="3847">
        <f>Summary2!D33</f>
        <v>6665.9419111641037</v>
      </c>
      <c r="K32" s="3893">
        <f t="shared" si="32"/>
        <v>0</v>
      </c>
      <c r="L32" s="3893">
        <f t="shared" si="33"/>
        <v>0</v>
      </c>
      <c r="M32" s="3884">
        <f>IF(K32="NA","NA",K32/Table8s2!$G$35*100)</f>
        <v>0</v>
      </c>
      <c r="N32" s="3885">
        <f>IF(K32="NA","NA",K32/Table8s2!$G$34*100)</f>
        <v>0</v>
      </c>
      <c r="O32" s="3848">
        <v>403.09520331972794</v>
      </c>
      <c r="P32" s="3847">
        <f>Summary2!E33</f>
        <v>403.095203319728</v>
      </c>
      <c r="Q32" s="3893">
        <f t="shared" ref="Q32" si="34">IF(P32="NO",IF(O32="NO","NA",-O32),IF(O32="NO",P32,P32-O32))</f>
        <v>5.6843418860808015E-14</v>
      </c>
      <c r="R32" s="3894">
        <f t="shared" ref="R32" si="35">IF(Q32="NA","NA",Q32/O32*100)</f>
        <v>1.4101735369875096E-14</v>
      </c>
      <c r="S32" s="3895">
        <f>IF(Q32="NA","NA",Q32/Table8s2!$G$35*100)</f>
        <v>1.0351563522137196E-17</v>
      </c>
      <c r="T32" s="3896">
        <f>IF(Q32="NA","NA",Q32/Table8s2!$G$34*100)</f>
        <v>9.0191670207948492E-18</v>
      </c>
    </row>
    <row r="33" spans="2:21" ht="18" customHeight="1" x14ac:dyDescent="0.2">
      <c r="B33" s="620" t="s">
        <v>1494</v>
      </c>
      <c r="C33" s="3891"/>
      <c r="D33" s="3891"/>
      <c r="E33" s="3892"/>
      <c r="F33" s="3892"/>
      <c r="G33" s="3897"/>
      <c r="H33" s="3898"/>
      <c r="I33" s="3848">
        <v>9.2187424</v>
      </c>
      <c r="J33" s="3847">
        <f>Summary2!D34</f>
        <v>9.2187424</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9980.2555708937234</v>
      </c>
      <c r="P34" s="3847">
        <f>Summary2!E35</f>
        <v>9980.1276645520702</v>
      </c>
      <c r="Q34" s="3893">
        <f t="shared" ref="Q34" si="36">IF(P34="NO",IF(O34="NO","NA",-O34),IF(O34="NO",P34,P34-O34))</f>
        <v>-0.12790634165321535</v>
      </c>
      <c r="R34" s="3894">
        <f t="shared" ref="R34" si="37">IF(Q34="NA","NA",Q34/O34*100)</f>
        <v>-1.2815938504244279E-3</v>
      </c>
      <c r="S34" s="3895">
        <f>IF(Q34="NA","NA",Q34/Table8s2!$G$35*100)</f>
        <v>-2.3292593004470469E-5</v>
      </c>
      <c r="T34" s="3896">
        <f>IF(Q34="NA","NA",Q34/Table8s2!$G$34*100)</f>
        <v>-2.0294498140831918E-5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177.74940794422946</v>
      </c>
      <c r="J36" s="3847">
        <f>Summary2!D37</f>
        <v>177.74940794422946</v>
      </c>
      <c r="K36" s="3893">
        <f t="shared" ref="K36" si="38">IF(J36="NO",IF(I36="NO","NA",-I36),IF(I36="NO",J36,J36-I36))</f>
        <v>0</v>
      </c>
      <c r="L36" s="3893">
        <f t="shared" ref="L36" si="39">IF(K36="NA","NA",K36/I36*100)</f>
        <v>0</v>
      </c>
      <c r="M36" s="3884">
        <f>IF(K36="NA","NA",K36/Table8s2!$G$35*100)</f>
        <v>0</v>
      </c>
      <c r="N36" s="3885">
        <f>IF(K36="NA","NA",K36/Table8s2!$G$34*100)</f>
        <v>0</v>
      </c>
      <c r="O36" s="3848">
        <v>69.702395928588729</v>
      </c>
      <c r="P36" s="3847">
        <f>Summary2!E37</f>
        <v>69.702395928588743</v>
      </c>
      <c r="Q36" s="3893">
        <f t="shared" ref="Q36" si="40">IF(P36="NO",IF(O36="NO","NA",-O36),IF(O36="NO",P36,P36-O36))</f>
        <v>1.4210854715202004E-14</v>
      </c>
      <c r="R36" s="3894">
        <f t="shared" ref="R36" si="41">IF(Q36="NA","NA",Q36/O36*100)</f>
        <v>2.038789990771804E-14</v>
      </c>
      <c r="S36" s="3895">
        <f>IF(Q36="NA","NA",Q36/Table8s2!$G$35*100)</f>
        <v>2.5878908805342991E-18</v>
      </c>
      <c r="T36" s="3896">
        <f>IF(Q36="NA","NA",Q36/Table8s2!$G$34*100)</f>
        <v>2.2547917551987123E-18</v>
      </c>
    </row>
    <row r="37" spans="2:21" ht="18" customHeight="1" x14ac:dyDescent="0.2">
      <c r="B37" s="620" t="s">
        <v>721</v>
      </c>
      <c r="C37" s="3847">
        <v>1065.5307007157301</v>
      </c>
      <c r="D37" s="3847">
        <f>Summary2!C38</f>
        <v>1065.5307007157301</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764.85177220220487</v>
      </c>
      <c r="D38" s="3847">
        <f>Summary2!C39</f>
        <v>764.85177220220487</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58695.984520364327</v>
      </c>
      <c r="D41" s="3839">
        <f>Summary2!C42</f>
        <v>55914.654785077233</v>
      </c>
      <c r="E41" s="3929">
        <f t="shared" ref="E41" si="42">IF(D41="NO",IF(C41="NO","NA",-C41),IF(C41="NO",D41,D41-C41))</f>
        <v>-2781.3297352870941</v>
      </c>
      <c r="F41" s="3929">
        <f t="shared" ref="F41" si="43">IF(E41="NA","NA",E41/C41*100)</f>
        <v>-4.7385349407030102</v>
      </c>
      <c r="G41" s="3869"/>
      <c r="H41" s="3929">
        <f>IF(E41="NA","NA",E41/Table8s2!$G$34*100)</f>
        <v>-0.44130486739165931</v>
      </c>
      <c r="I41" s="3846">
        <f>SUM(I42:I49)</f>
        <v>22323.296431384635</v>
      </c>
      <c r="J41" s="3839">
        <f>Summary2!D42</f>
        <v>20586.366953113073</v>
      </c>
      <c r="K41" s="3929">
        <f t="shared" ref="K41:K46" si="44">IF(J41="NO",IF(I41="NO","NA",-I41),IF(I41="NO",J41,J41-I41))</f>
        <v>-1736.9294782715624</v>
      </c>
      <c r="L41" s="3929">
        <f t="shared" ref="L41:L46" si="45">IF(K41="NA","NA",K41/I41*100)</f>
        <v>-7.7807929649206686</v>
      </c>
      <c r="M41" s="3889"/>
      <c r="N41" s="3930">
        <f>IF(K41="NA","NA",K41/Table8s2!$G$34*100)</f>
        <v>-0.27559315364604714</v>
      </c>
      <c r="O41" s="3846">
        <f>SUM(O42:O49)</f>
        <v>4610.5050168558319</v>
      </c>
      <c r="P41" s="3839">
        <f>Summary2!E42</f>
        <v>4621.4721637792427</v>
      </c>
      <c r="Q41" s="3929">
        <f t="shared" ref="Q41" si="46">IF(P41="NO",IF(O41="NO","NA",-O41),IF(O41="NO",P41,P41-O41))</f>
        <v>10.967146923410837</v>
      </c>
      <c r="R41" s="3929">
        <f t="shared" ref="R41" si="47">IF(Q41="NA","NA",Q41/O41*100)</f>
        <v>0.23787300704186123</v>
      </c>
      <c r="S41" s="3889"/>
      <c r="T41" s="3930">
        <f>IF(Q41="NA","NA",Q41/Table8s2!$G$34*100)</f>
        <v>1.7401228115087493E-3</v>
      </c>
      <c r="U41" s="713"/>
    </row>
    <row r="42" spans="2:21" ht="18" customHeight="1" x14ac:dyDescent="0.2">
      <c r="B42" s="620" t="s">
        <v>981</v>
      </c>
      <c r="C42" s="3847">
        <v>-24753.656330308484</v>
      </c>
      <c r="D42" s="3847">
        <f>Summary2!C43</f>
        <v>-27800.467365147808</v>
      </c>
      <c r="E42" s="3931">
        <f t="shared" ref="E42:E50" si="48">IF(D42="NO",IF(C42="NO","NA",-C42),IF(C42="NO",D42,D42-C42))</f>
        <v>-3046.8110348393238</v>
      </c>
      <c r="F42" s="3931">
        <f t="shared" ref="F42:F50" si="49">IF(E42="NA","NA",E42/C42*100)</f>
        <v>12.308529270113503</v>
      </c>
      <c r="G42" s="3889"/>
      <c r="H42" s="3931">
        <f>IF(E42="NA","NA",E42/Table8s2!$G$34*100)</f>
        <v>-0.48342795269415351</v>
      </c>
      <c r="I42" s="3848">
        <v>9168.443399976095</v>
      </c>
      <c r="J42" s="3847">
        <f>Summary2!D43</f>
        <v>8749.7076277847773</v>
      </c>
      <c r="K42" s="3931">
        <f t="shared" si="44"/>
        <v>-418.73577219131766</v>
      </c>
      <c r="L42" s="3931">
        <f t="shared" si="45"/>
        <v>-4.5671413774819118</v>
      </c>
      <c r="M42" s="3889"/>
      <c r="N42" s="3932">
        <f>IF(K42="NA","NA",K42/Table8s2!$G$34*100)</f>
        <v>-6.6439491900070993E-2</v>
      </c>
      <c r="O42" s="3848">
        <v>1505.6249168677368</v>
      </c>
      <c r="P42" s="3847">
        <f>Summary2!E43</f>
        <v>1469.4617718707239</v>
      </c>
      <c r="Q42" s="3931">
        <f t="shared" ref="Q42:Q46" si="50">IF(P42="NO",IF(O42="NO","NA",-O42),IF(O42="NO",P42,P42-O42))</f>
        <v>-36.163144997012978</v>
      </c>
      <c r="R42" s="3931">
        <f t="shared" ref="R42:R46" si="51">IF(Q42="NA","NA",Q42/O42*100)</f>
        <v>-2.4018694557902145</v>
      </c>
      <c r="S42" s="3889"/>
      <c r="T42" s="3932">
        <f>IF(Q42="NA","NA",Q42/Table8s2!$G$34*100)</f>
        <v>-5.7378928161226604E-3</v>
      </c>
      <c r="U42" s="713"/>
    </row>
    <row r="43" spans="2:21" ht="18" customHeight="1" x14ac:dyDescent="0.2">
      <c r="B43" s="620" t="s">
        <v>984</v>
      </c>
      <c r="C43" s="3847">
        <v>10308.35301826752</v>
      </c>
      <c r="D43" s="3847">
        <f>Summary2!C44</f>
        <v>10292.388232477662</v>
      </c>
      <c r="E43" s="3931">
        <f t="shared" si="48"/>
        <v>-15.96478578985807</v>
      </c>
      <c r="F43" s="3931">
        <f t="shared" si="49"/>
        <v>-0.15487232307204396</v>
      </c>
      <c r="G43" s="3889"/>
      <c r="H43" s="3931">
        <f>IF(E43="NA","NA",E43/Table8s2!$G$34*100)</f>
        <v>-2.5330824988294056E-3</v>
      </c>
      <c r="I43" s="3848">
        <v>72.260909880018787</v>
      </c>
      <c r="J43" s="3847">
        <f>Summary2!D44</f>
        <v>72.682444799999999</v>
      </c>
      <c r="K43" s="3931">
        <f t="shared" si="44"/>
        <v>0.4215349199812124</v>
      </c>
      <c r="L43" s="3931">
        <f t="shared" si="45"/>
        <v>0.5833512485258272</v>
      </c>
      <c r="M43" s="3889"/>
      <c r="N43" s="3932">
        <f>IF(K43="NA","NA",K43/Table8s2!$G$34*100)</f>
        <v>6.6883623902313306E-5</v>
      </c>
      <c r="O43" s="3848">
        <v>41.915958325394037</v>
      </c>
      <c r="P43" s="3847">
        <f>Summary2!E44</f>
        <v>41.747544792825273</v>
      </c>
      <c r="Q43" s="3931">
        <f t="shared" si="50"/>
        <v>-0.16841353256876346</v>
      </c>
      <c r="R43" s="3931">
        <f t="shared" si="51"/>
        <v>-0.40178857718429667</v>
      </c>
      <c r="S43" s="3889"/>
      <c r="T43" s="3932">
        <f>IF(Q43="NA","NA",Q43/Table8s2!$G$34*100)</f>
        <v>-2.6721647100769741E-5</v>
      </c>
      <c r="U43" s="713"/>
    </row>
    <row r="44" spans="2:21" ht="18" customHeight="1" x14ac:dyDescent="0.2">
      <c r="B44" s="620" t="s">
        <v>987</v>
      </c>
      <c r="C44" s="3847">
        <v>73144.712425552236</v>
      </c>
      <c r="D44" s="3847">
        <f>Summary2!C45</f>
        <v>73349.847931771059</v>
      </c>
      <c r="E44" s="3931">
        <f t="shared" si="48"/>
        <v>205.13550621882314</v>
      </c>
      <c r="F44" s="3931">
        <f t="shared" si="49"/>
        <v>0.28045158619990895</v>
      </c>
      <c r="G44" s="3889"/>
      <c r="H44" s="3931">
        <f>IF(E44="NA","NA",E44/Table8s2!$G$34*100)</f>
        <v>3.2548207506893904E-2</v>
      </c>
      <c r="I44" s="3848">
        <v>9192.400311518435</v>
      </c>
      <c r="J44" s="3847">
        <f>Summary2!D45</f>
        <v>9303.2268526278312</v>
      </c>
      <c r="K44" s="3931">
        <f t="shared" si="44"/>
        <v>110.8265411093962</v>
      </c>
      <c r="L44" s="3931">
        <f t="shared" si="45"/>
        <v>1.2056322326446798</v>
      </c>
      <c r="M44" s="3889"/>
      <c r="N44" s="3932">
        <f>IF(K44="NA","NA",K44/Table8s2!$G$34*100)</f>
        <v>1.7584499747459809E-2</v>
      </c>
      <c r="O44" s="3848">
        <v>2909.752187189873</v>
      </c>
      <c r="P44" s="3847">
        <f>Summary2!E45</f>
        <v>2956.0795903921367</v>
      </c>
      <c r="Q44" s="3931">
        <f t="shared" si="50"/>
        <v>46.327403202263667</v>
      </c>
      <c r="R44" s="3931">
        <f t="shared" si="51"/>
        <v>1.5921425682303516</v>
      </c>
      <c r="S44" s="3889"/>
      <c r="T44" s="3932">
        <f>IF(Q44="NA","NA",Q44/Table8s2!$G$34*100)</f>
        <v>7.3506237924230063E-3</v>
      </c>
      <c r="U44" s="713"/>
    </row>
    <row r="45" spans="2:21" ht="18" customHeight="1" x14ac:dyDescent="0.2">
      <c r="B45" s="620" t="s">
        <v>1525</v>
      </c>
      <c r="C45" s="3847">
        <v>1339.8034295304285</v>
      </c>
      <c r="D45" s="3847">
        <f>Summary2!C46</f>
        <v>1335.6335916735666</v>
      </c>
      <c r="E45" s="3931">
        <f t="shared" si="48"/>
        <v>-4.1698378568619319</v>
      </c>
      <c r="F45" s="3931">
        <f t="shared" si="49"/>
        <v>-0.31122758495426217</v>
      </c>
      <c r="G45" s="3889"/>
      <c r="H45" s="3931">
        <f>IF(E45="NA","NA",E45/Table8s2!$G$34*100)</f>
        <v>-6.6161509695190077E-4</v>
      </c>
      <c r="I45" s="3848">
        <v>3792.447702184093</v>
      </c>
      <c r="J45" s="3847">
        <f>Summary2!D46</f>
        <v>2360.5995831004648</v>
      </c>
      <c r="K45" s="3931">
        <f t="shared" si="44"/>
        <v>-1431.8481190836283</v>
      </c>
      <c r="L45" s="3931">
        <f t="shared" si="45"/>
        <v>-37.755250211071292</v>
      </c>
      <c r="M45" s="3889"/>
      <c r="N45" s="3932">
        <f>IF(K45="NA","NA",K45/Table8s2!$G$34*100)</f>
        <v>-0.22718685105920147</v>
      </c>
      <c r="O45" s="3848">
        <v>94.575854993233548</v>
      </c>
      <c r="P45" s="3847">
        <f>Summary2!E46</f>
        <v>95.066167228585755</v>
      </c>
      <c r="Q45" s="3931">
        <f t="shared" si="50"/>
        <v>0.49031223535220647</v>
      </c>
      <c r="R45" s="3931">
        <f t="shared" si="51"/>
        <v>0.51843278116522018</v>
      </c>
      <c r="S45" s="3889"/>
      <c r="T45" s="3932">
        <f>IF(Q45="NA","NA",Q45/Table8s2!$G$34*100)</f>
        <v>7.7796304860012816E-5</v>
      </c>
      <c r="U45" s="713"/>
    </row>
    <row r="46" spans="2:21" ht="18" customHeight="1" x14ac:dyDescent="0.2">
      <c r="B46" s="620" t="s">
        <v>1526</v>
      </c>
      <c r="C46" s="3847">
        <v>5056.7883883253671</v>
      </c>
      <c r="D46" s="3847">
        <f>Summary2!C47</f>
        <v>5069.8052539375813</v>
      </c>
      <c r="E46" s="3931">
        <f t="shared" si="48"/>
        <v>13.016865612214133</v>
      </c>
      <c r="F46" s="3931">
        <f t="shared" si="49"/>
        <v>0.25741369052077079</v>
      </c>
      <c r="G46" s="3889"/>
      <c r="H46" s="3931">
        <f>IF(E46="NA","NA",E46/Table8s2!$G$34*100)</f>
        <v>2.0653452483440477E-3</v>
      </c>
      <c r="I46" s="3848">
        <v>97.74410782599179</v>
      </c>
      <c r="J46" s="3847">
        <f>Summary2!D47</f>
        <v>100.15044480000002</v>
      </c>
      <c r="K46" s="3931">
        <f t="shared" si="44"/>
        <v>2.4063369740082265</v>
      </c>
      <c r="L46" s="3931">
        <f t="shared" si="45"/>
        <v>2.4618742014527255</v>
      </c>
      <c r="M46" s="3889"/>
      <c r="N46" s="3932">
        <f>IF(K46="NA","NA",K46/Table8s2!$G$34*100)</f>
        <v>3.818059418635356E-4</v>
      </c>
      <c r="O46" s="3848">
        <v>29.283677681620091</v>
      </c>
      <c r="P46" s="3847">
        <f>Summary2!E47</f>
        <v>29.764667696996209</v>
      </c>
      <c r="Q46" s="3931">
        <f t="shared" si="50"/>
        <v>0.48099001537611841</v>
      </c>
      <c r="R46" s="3931">
        <f t="shared" si="51"/>
        <v>1.6425191555704493</v>
      </c>
      <c r="S46" s="3889"/>
      <c r="T46" s="3932">
        <f>IF(Q46="NA","NA",Q46/Table8s2!$G$34*100)</f>
        <v>7.6317177449066408E-5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-6454.5130115008596</v>
      </c>
      <c r="D48" s="3847">
        <f>Summary2!C49</f>
        <v>-6387.0494601329483</v>
      </c>
      <c r="E48" s="3931">
        <f t="shared" si="48"/>
        <v>67.46355136791135</v>
      </c>
      <c r="F48" s="3931">
        <f t="shared" si="49"/>
        <v>-1.0452152044267726</v>
      </c>
      <c r="G48" s="3889"/>
      <c r="H48" s="3931">
        <f>IF(E48="NA","NA",E48/Table8s2!$G$34*100)</f>
        <v>1.0704230143037459E-2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v>54.49660049812001</v>
      </c>
      <c r="D49" s="3855">
        <f>Summary2!C50</f>
        <v>54.49660049812001</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29.352421797974792</v>
      </c>
      <c r="P49" s="3855">
        <f>Summary2!E50</f>
        <v>29.352421797974792</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30.138931124908421</v>
      </c>
      <c r="D50" s="3839">
        <f>Summary2!C51</f>
        <v>30.138931124908421</v>
      </c>
      <c r="E50" s="3839">
        <f t="shared" si="48"/>
        <v>0</v>
      </c>
      <c r="F50" s="3839">
        <f t="shared" si="49"/>
        <v>0</v>
      </c>
      <c r="G50" s="3844">
        <f>IF(E50="NA","NA",E50/Table8s2!$G$35*100)</f>
        <v>0</v>
      </c>
      <c r="H50" s="3845">
        <f>IF(E50="NA","NA",E50/Table8s2!$G$34*100)</f>
        <v>0</v>
      </c>
      <c r="I50" s="3839">
        <f>SUM(I51:I55)</f>
        <v>16050.26831831193</v>
      </c>
      <c r="J50" s="3839">
        <f>Summary2!D51</f>
        <v>16082.676991986795</v>
      </c>
      <c r="K50" s="3839">
        <f t="shared" ref="K50" si="54">IF(J50="NO",IF(I50="NO","NA",-I50),IF(I50="NO",J50,J50-I50))</f>
        <v>32.408673674864986</v>
      </c>
      <c r="L50" s="3839">
        <f t="shared" ref="L50" si="55">IF(K50="NA","NA",K50/I50*100)</f>
        <v>0.20191982484111851</v>
      </c>
      <c r="M50" s="3844">
        <f>IF(K50="NA","NA",K50/Table8s2!$G$35*100)</f>
        <v>5.9018343888686299E-3</v>
      </c>
      <c r="N50" s="3845">
        <f>IF(K50="NA","NA",K50/Table8s2!$G$34*100)</f>
        <v>5.142182624725565E-3</v>
      </c>
      <c r="O50" s="3839">
        <f>SUM(O51:O55)</f>
        <v>431.90851621586557</v>
      </c>
      <c r="P50" s="3839">
        <f>Summary2!E51</f>
        <v>273.71584884813092</v>
      </c>
      <c r="Q50" s="3839">
        <f t="shared" si="52"/>
        <v>-158.19266736773466</v>
      </c>
      <c r="R50" s="3839">
        <f t="shared" si="53"/>
        <v>-36.626429308161825</v>
      </c>
      <c r="S50" s="3844">
        <f>IF(Q50="NA","NA",Q50/Table8s2!$G$35*100)</f>
        <v>-2.8807933755766145E-2</v>
      </c>
      <c r="T50" s="3845">
        <f>IF(Q50="NA","NA",Q50/Table8s2!$G$34*100)</f>
        <v>-2.5099934469957754E-2</v>
      </c>
    </row>
    <row r="51" spans="2:21" ht="18" customHeight="1" x14ac:dyDescent="0.2">
      <c r="B51" s="620" t="s">
        <v>1530</v>
      </c>
      <c r="C51" s="3918"/>
      <c r="D51" s="3918"/>
      <c r="E51" s="3888"/>
      <c r="F51" s="3903"/>
      <c r="G51" s="3904"/>
      <c r="H51" s="3905"/>
      <c r="I51" s="3839">
        <v>12724.036202325133</v>
      </c>
      <c r="J51" s="3839">
        <f>Summary2!D52</f>
        <v>12756.444876</v>
      </c>
      <c r="K51" s="3839">
        <f t="shared" ref="K51:K52" si="56">IF(J51="NO",IF(I51="NO","NA",-I51),IF(I51="NO",J51,J51-I51))</f>
        <v>32.408673674866805</v>
      </c>
      <c r="L51" s="3839">
        <f t="shared" ref="L51:L52" si="57">IF(K51="NA","NA",K51/I51*100)</f>
        <v>0.25470434977970741</v>
      </c>
      <c r="M51" s="3844">
        <f>IF(K51="NA","NA",K51/Table8s2!$G$35*100)</f>
        <v>5.9018343888689612E-3</v>
      </c>
      <c r="N51" s="3845">
        <f>IF(K51="NA","NA",K51/Table8s2!$G$34*100)</f>
        <v>5.1421826247258539E-3</v>
      </c>
      <c r="O51" s="3886"/>
      <c r="P51" s="3887"/>
      <c r="Q51" s="3940"/>
      <c r="R51" s="3941"/>
      <c r="S51" s="3942"/>
      <c r="T51" s="3943"/>
    </row>
    <row r="52" spans="2:21" ht="18" customHeight="1" x14ac:dyDescent="0.2">
      <c r="B52" s="1396" t="s">
        <v>1531</v>
      </c>
      <c r="C52" s="3918"/>
      <c r="D52" s="3918"/>
      <c r="E52" s="3888"/>
      <c r="F52" s="3903"/>
      <c r="G52" s="3904"/>
      <c r="H52" s="3905"/>
      <c r="I52" s="3849">
        <v>80.287861499999977</v>
      </c>
      <c r="J52" s="3847">
        <f>Summary2!D53</f>
        <v>80.287861499999977</v>
      </c>
      <c r="K52" s="3839">
        <f t="shared" si="56"/>
        <v>0</v>
      </c>
      <c r="L52" s="3839">
        <f t="shared" si="57"/>
        <v>0</v>
      </c>
      <c r="M52" s="3844">
        <f>IF(K52="NA","NA",K52/Table8s2!$G$35*100)</f>
        <v>0</v>
      </c>
      <c r="N52" s="3845">
        <f>IF(K52="NA","NA",K52/Table8s2!$G$34*100)</f>
        <v>0</v>
      </c>
      <c r="O52" s="3839">
        <v>97.263009360000041</v>
      </c>
      <c r="P52" s="3839">
        <f>Summary2!E53</f>
        <v>97.263009360000041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30.138931124908421</v>
      </c>
      <c r="D53" s="3839">
        <f>Summary2!C54</f>
        <v>30.138931124908421</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3245.944254486797</v>
      </c>
      <c r="J54" s="3847">
        <f>Summary2!D55</f>
        <v>3245.944254486797</v>
      </c>
      <c r="K54" s="3839">
        <f t="shared" ref="K54" si="62">IF(J54="NO",IF(I54="NO","NA",-I54),IF(I54="NO",J54,J54-I54))</f>
        <v>0</v>
      </c>
      <c r="L54" s="3839">
        <f t="shared" ref="L54" si="63">IF(K54="NA","NA",K54/I54*100)</f>
        <v>0</v>
      </c>
      <c r="M54" s="3844">
        <f>IF(K54="NA","NA",K54/Table8s2!$G$35*100)</f>
        <v>0</v>
      </c>
      <c r="N54" s="3845">
        <f>IF(K54="NA","NA",K54/Table8s2!$G$34*100)</f>
        <v>0</v>
      </c>
      <c r="O54" s="3839">
        <v>334.64550685586551</v>
      </c>
      <c r="P54" s="3839">
        <f>Summary2!E55</f>
        <v>176.45283948813085</v>
      </c>
      <c r="Q54" s="3839">
        <f t="shared" ref="Q54" si="64">IF(P54="NO",IF(O54="NO","NA",-O54),IF(O54="NO",P54,P54-O54))</f>
        <v>-158.19266736773466</v>
      </c>
      <c r="R54" s="3839">
        <f t="shared" ref="R54" si="65">IF(Q54="NA","NA",Q54/O54*100)</f>
        <v>-47.271714135361002</v>
      </c>
      <c r="S54" s="3844">
        <f>IF(Q54="NA","NA",Q54/Table8s2!$G$35*100)</f>
        <v>-2.8807933755766145E-2</v>
      </c>
      <c r="T54" s="3845">
        <f>IF(Q54="NA","NA",Q54/Table8s2!$G$34*100)</f>
        <v>-2.5099934469957754E-2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12209.314722839999</v>
      </c>
      <c r="D59" s="3847">
        <f>Summary2!C60</f>
        <v>12209.314722839999</v>
      </c>
      <c r="E59" s="3861">
        <f t="shared" ref="E59" si="66">IF(D59="NO",IF(C59="NO","NA",-C59),IF(C59="NO",D59,D59-C59))</f>
        <v>0</v>
      </c>
      <c r="F59" s="3861">
        <f t="shared" ref="F59" si="67">IF(E59="NA","NA",E59/C59*100)</f>
        <v>0</v>
      </c>
      <c r="G59" s="3862">
        <f>IF(E59="NA","NA",E59/Table8s2!$G$35*100)</f>
        <v>0</v>
      </c>
      <c r="H59" s="3863">
        <f>IF(E59="NA","NA",E59/Table8s2!$G$34*100)</f>
        <v>0</v>
      </c>
      <c r="I59" s="3847">
        <v>8.2916996821646407</v>
      </c>
      <c r="J59" s="3847">
        <f>Summary2!D60</f>
        <v>8.2916996821647047</v>
      </c>
      <c r="K59" s="3861">
        <f t="shared" ref="K59:K61" si="68">IF(J59="NO",IF(I59="NO","NA",-I59),IF(I59="NO",J59,J59-I59))</f>
        <v>6.3948846218409017E-14</v>
      </c>
      <c r="L59" s="3861">
        <f t="shared" ref="L59:L61" si="69">IF(K59="NA","NA",K59/I59*100)</f>
        <v>7.7123929555676405E-13</v>
      </c>
      <c r="M59" s="3862">
        <f>IF(K59="NA","NA",K59/Table8s2!$G$35*100)</f>
        <v>1.1645508962404346E-17</v>
      </c>
      <c r="N59" s="3863">
        <f>IF(K59="NA","NA",K59/Table8s2!$G$34*100)</f>
        <v>1.0146562898394205E-17</v>
      </c>
      <c r="O59" s="3848">
        <v>33.788968915018096</v>
      </c>
      <c r="P59" s="3847">
        <f>Summary2!E60</f>
        <v>33.788968915018579</v>
      </c>
      <c r="Q59" s="3861">
        <f t="shared" ref="Q59" si="70">IF(P59="NO",IF(O59="NO","NA",-O59),IF(O59="NO",P59,P59-O59))</f>
        <v>4.8316906031686813E-13</v>
      </c>
      <c r="R59" s="3966">
        <f t="shared" ref="R59" si="71">IF(Q59="NA","NA",Q59/O59*100)</f>
        <v>1.4299609482966948E-12</v>
      </c>
      <c r="S59" s="3967">
        <f>IF(Q59="NA","NA",Q59/Table8s2!$G$35*100)</f>
        <v>8.7988289938166174E-17</v>
      </c>
      <c r="T59" s="3968">
        <f>IF(Q59="NA","NA",Q59/Table8s2!$G$34*100)</f>
        <v>7.6662919676756209E-17</v>
      </c>
    </row>
    <row r="60" spans="2:21" ht="18" customHeight="1" x14ac:dyDescent="0.2">
      <c r="B60" s="1410" t="s">
        <v>111</v>
      </c>
      <c r="C60" s="3847">
        <v>9271.6158911999992</v>
      </c>
      <c r="D60" s="3847">
        <f>Summary2!C61</f>
        <v>9271.6158911999992</v>
      </c>
      <c r="E60" s="3861">
        <f t="shared" ref="E60:E61" si="72">IF(D60="NO",IF(C60="NO","NA",-C60),IF(C60="NO",D60,D60-C60))</f>
        <v>0</v>
      </c>
      <c r="F60" s="3861">
        <f t="shared" ref="F60:F61" si="73">IF(E60="NA","NA",E60/C60*100)</f>
        <v>0</v>
      </c>
      <c r="G60" s="3862">
        <f>IF(E60="NA","NA",E60/Table8s2!$G$35*100)</f>
        <v>0</v>
      </c>
      <c r="H60" s="3863">
        <f>IF(E60="NA","NA",E60/Table8s2!$G$34*100)</f>
        <v>0</v>
      </c>
      <c r="I60" s="3847">
        <v>0.43789101176463996</v>
      </c>
      <c r="J60" s="3847">
        <f>Summary2!D61</f>
        <v>0.4378910117647058</v>
      </c>
      <c r="K60" s="3861">
        <f t="shared" si="68"/>
        <v>6.5836225360271783E-14</v>
      </c>
      <c r="L60" s="3861">
        <f t="shared" si="69"/>
        <v>1.5034842824236317E-11</v>
      </c>
      <c r="M60" s="3862">
        <f>IF(K60="NA","NA",K60/Table8s2!$G$35*100)</f>
        <v>1.1989213219975308E-17</v>
      </c>
      <c r="N60" s="3863">
        <f>IF(K60="NA","NA",K60/Table8s2!$G$34*100)</f>
        <v>1.0446027428381532E-17</v>
      </c>
      <c r="O60" s="3848">
        <v>12.551629143018101</v>
      </c>
      <c r="P60" s="3847">
        <f>Summary2!E61</f>
        <v>12.551629143018575</v>
      </c>
      <c r="Q60" s="3861">
        <f t="shared" ref="Q60:Q61" si="74">IF(P60="NO",IF(O60="NO","NA",-O60),IF(O60="NO",P60,P60-O60))</f>
        <v>4.7428727611986687E-13</v>
      </c>
      <c r="R60" s="3966">
        <f t="shared" ref="R60:R61" si="75">IF(Q60="NA","NA",Q60/O60*100)</f>
        <v>3.7786909628674876E-12</v>
      </c>
      <c r="S60" s="3967">
        <f>IF(Q60="NA","NA",Q60/Table8s2!$G$35*100)</f>
        <v>8.6370858137832232E-17</v>
      </c>
      <c r="T60" s="3968">
        <f>IF(Q60="NA","NA",Q60/Table8s2!$G$34*100)</f>
        <v>7.5253674829757007E-17</v>
      </c>
    </row>
    <row r="61" spans="2:21" ht="18" customHeight="1" x14ac:dyDescent="0.2">
      <c r="B61" s="1411" t="s">
        <v>1503</v>
      </c>
      <c r="C61" s="3847">
        <v>2937.6988316400002</v>
      </c>
      <c r="D61" s="3847">
        <f>Summary2!C62</f>
        <v>2937.6988316399998</v>
      </c>
      <c r="E61" s="3861">
        <f t="shared" si="72"/>
        <v>-4.5474735088646412E-13</v>
      </c>
      <c r="F61" s="3861">
        <f t="shared" si="73"/>
        <v>-1.5479713100222625E-14</v>
      </c>
      <c r="G61" s="3862">
        <f>IF(E61="NA","NA",E61/Table8s2!$G$35*100)</f>
        <v>-8.281250817709757E-17</v>
      </c>
      <c r="H61" s="3863">
        <f>IF(E61="NA","NA",E61/Table8s2!$G$34*100)</f>
        <v>-7.2153336166358794E-17</v>
      </c>
      <c r="I61" s="3847">
        <v>7.8538086704000012</v>
      </c>
      <c r="J61" s="3847">
        <f>Summary2!D62</f>
        <v>7.8538086703999994</v>
      </c>
      <c r="K61" s="3861">
        <f t="shared" si="68"/>
        <v>-1.7763568394002505E-15</v>
      </c>
      <c r="L61" s="3861">
        <f t="shared" si="69"/>
        <v>-2.2617775832700278E-14</v>
      </c>
      <c r="M61" s="3862">
        <f>IF(K61="NA","NA",K61/Table8s2!$G$35*100)</f>
        <v>-3.2348636006678738E-19</v>
      </c>
      <c r="N61" s="3863">
        <f>IF(K61="NA","NA",K61/Table8s2!$G$34*100)</f>
        <v>-2.8184896939983904E-19</v>
      </c>
      <c r="O61" s="3848">
        <v>21.237339771999999</v>
      </c>
      <c r="P61" s="3847">
        <f>Summary2!E62</f>
        <v>21.237339771999999</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19671.577561818194</v>
      </c>
      <c r="D63" s="3847">
        <f>Summary2!C64</f>
        <v>19671.577561818198</v>
      </c>
      <c r="E63" s="3861">
        <f t="shared" ref="E63:E65" si="76">IF(D63="NO",IF(C63="NO","NA",-C63),IF(C63="NO",D63,D63-C63))</f>
        <v>3.637978807091713E-12</v>
      </c>
      <c r="F63" s="3861">
        <f t="shared" ref="F63:F65" si="77">IF(E63="NA","NA",E63/C63*100)</f>
        <v>1.8493579356608874E-14</v>
      </c>
      <c r="G63" s="3862">
        <f>IF(E63="NA","NA",E63/Table8s2!$G$35*100)</f>
        <v>6.6250006541678056E-16</v>
      </c>
      <c r="H63" s="3863">
        <f>IF(E63="NA","NA",E63/Table8s2!$G$34*100)</f>
        <v>5.7722668933087035E-16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-268732.55694618338</v>
      </c>
      <c r="D65" s="3849">
        <f>Summary2!C66</f>
        <v>-269080.37844852312</v>
      </c>
      <c r="E65" s="3977">
        <f t="shared" si="76"/>
        <v>-347.82150233973516</v>
      </c>
      <c r="F65" s="3984">
        <f t="shared" si="77"/>
        <v>0.12943035495672756</v>
      </c>
      <c r="G65" s="3985">
        <f>IF(E65="NA","NA",E65/Table8s2!$G$35*100)</f>
        <v>-6.3340602095934173E-2</v>
      </c>
      <c r="H65" s="3986">
        <f>IF(E65="NA","NA",E65/Table8s2!$G$34*100)</f>
        <v>-5.5187747076008029E-2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5286.3167534213244</v>
      </c>
      <c r="D10" s="4019">
        <f>IF(SUM(D11:D30)=0,"NO",SUM(D11:D30))</f>
        <v>5286.3167534213244</v>
      </c>
      <c r="E10" s="4019">
        <f>IF(D10="NO",IF(C10="NO","NA",-C10),IF(C10="NO",D10,D10-C10))</f>
        <v>0</v>
      </c>
      <c r="F10" s="4019">
        <f>IF(E10="NA","NA",E10/C10*100)</f>
        <v>0</v>
      </c>
      <c r="G10" s="4020">
        <f>IF(E10="NA","NA",E10/$G$35*100)</f>
        <v>0</v>
      </c>
      <c r="H10" s="4021">
        <f>IF(E10="NA","NA",E10/$G$34*100)</f>
        <v>0</v>
      </c>
      <c r="I10" s="4022">
        <f>IF(SUM(I11:I30)=0,"NO",SUM(I11:I30))</f>
        <v>399.79678192568076</v>
      </c>
      <c r="J10" s="4022">
        <f>IF(SUM(J11:J30)=0,"NO",SUM(J11:J30))</f>
        <v>399.79678192568076</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168.33889499727522</v>
      </c>
      <c r="V10" s="4019">
        <f>IF(SUM(V11:V30)=0,"NO",SUM(V11:V30))</f>
        <v>168.33889499727519</v>
      </c>
      <c r="W10" s="4019">
        <f>IF(V10="NO",IF(U10="NO","NA",-U10),IF(U10="NO",V10,V10-U10))</f>
        <v>-2.8421709430404007E-14</v>
      </c>
      <c r="X10" s="4023">
        <f>IF(W10="NA","NA",W10/U10*100)</f>
        <v>-1.6883625991999086E-14</v>
      </c>
      <c r="Y10" s="4024">
        <f>IF(W10="NA","NA",W10/$G$35*100)</f>
        <v>-5.1757817610685982E-18</v>
      </c>
      <c r="Z10" s="4021">
        <f>IF(W10="NA","NA",W10/$G$34*100)</f>
        <v>-4.5095835103974246E-18</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399.79678192568076</v>
      </c>
      <c r="J13" s="3839">
        <f>'Table2(II)'!AH41</f>
        <v>399.79678192568076</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4946.0889128867184</v>
      </c>
      <c r="D21" s="3847">
        <f>'Table2(I)'!F46</f>
        <v>4946.0889128867184</v>
      </c>
      <c r="E21" s="3847">
        <f>IF(D21="NO",IF(C21="NO","NA",-C21),IF(C21="NO",D21,D21-C21))</f>
        <v>0</v>
      </c>
      <c r="F21" s="4016">
        <f>IF(E21="NA","NA",E21/C21*100)</f>
        <v>0</v>
      </c>
      <c r="G21" s="3871">
        <f>IF(E21="NA","NA",E21/$G$35*100)</f>
        <v>0</v>
      </c>
      <c r="H21" s="3872">
        <f>IF(E21="NA","NA",E21/$G$34*100)</f>
        <v>0</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59.496854259891478</v>
      </c>
      <c r="D22" s="3847">
        <f>'Table2(I)'!F47</f>
        <v>59.496854259891499</v>
      </c>
      <c r="E22" s="3847">
        <f t="shared" ref="E22:E25" si="0">IF(D22="NO",IF(C22="NO","NA",-C22),IF(C22="NO",D22,D22-C22))</f>
        <v>2.1316282072803006E-14</v>
      </c>
      <c r="F22" s="4016">
        <f t="shared" ref="F22:F25" si="1">IF(E22="NA","NA",E22/C22*100)</f>
        <v>3.5827578345050282E-14</v>
      </c>
      <c r="G22" s="3871">
        <f t="shared" ref="G22:G25" si="2">IF(E22="NA","NA",E22/$G$35*100)</f>
        <v>3.8818363208014488E-18</v>
      </c>
      <c r="H22" s="3872">
        <f t="shared" ref="H22:H25" si="3">IF(E22="NA","NA",E22/$G$34*100)</f>
        <v>3.3821876327980681E-18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35.086633039821386</v>
      </c>
      <c r="D23" s="3847">
        <f>'Table2(I)'!F48</f>
        <v>35.086633039821393</v>
      </c>
      <c r="E23" s="3847">
        <f t="shared" si="0"/>
        <v>7.1054273576010019E-15</v>
      </c>
      <c r="F23" s="4016">
        <f t="shared" si="1"/>
        <v>2.025109490995256E-14</v>
      </c>
      <c r="G23" s="3871">
        <f t="shared" si="2"/>
        <v>1.2939454402671495E-18</v>
      </c>
      <c r="H23" s="3872">
        <f t="shared" si="3"/>
        <v>1.1273958775993562E-18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156.98957468585292</v>
      </c>
      <c r="D24" s="3847">
        <f>'Table2(I)'!F49</f>
        <v>156.98957468585289</v>
      </c>
      <c r="E24" s="3847">
        <f t="shared" si="0"/>
        <v>-2.8421709430404007E-14</v>
      </c>
      <c r="F24" s="4016">
        <f t="shared" si="1"/>
        <v>-1.8104201815488597E-14</v>
      </c>
      <c r="G24" s="3871">
        <f t="shared" si="2"/>
        <v>-5.1757817610685982E-18</v>
      </c>
      <c r="H24" s="3872">
        <f t="shared" si="3"/>
        <v>-4.5095835103974246E-18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88.654778549039804</v>
      </c>
      <c r="D25" s="3847">
        <f>'Table2(I)'!F50</f>
        <v>88.654778549039818</v>
      </c>
      <c r="E25" s="3847">
        <f t="shared" si="0"/>
        <v>1.4210854715202004E-14</v>
      </c>
      <c r="F25" s="4016">
        <f t="shared" si="1"/>
        <v>1.602942892394819E-14</v>
      </c>
      <c r="G25" s="3871">
        <f t="shared" si="2"/>
        <v>2.5878908805342991E-18</v>
      </c>
      <c r="H25" s="3872">
        <f t="shared" si="3"/>
        <v>2.2547917551987123E-18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151.05266137186322</v>
      </c>
      <c r="V27" s="3847">
        <f>IFERROR('Table2(I)'!I53*23500,'Table2(I)'!I53)</f>
        <v>151.05266137186331</v>
      </c>
      <c r="W27" s="3847">
        <f>IF(V27="NO",IF(U27="NO","NA",-U27),IF(U27="NO",V27,V27-U27))</f>
        <v>8.5265128291212022E-14</v>
      </c>
      <c r="X27" s="4016">
        <f>IF(W27="NA","NA",W27/U27*100)</f>
        <v>5.6447286341619179E-14</v>
      </c>
      <c r="Y27" s="3871">
        <f>IF(W27="NA","NA",W27/$G$35*100)</f>
        <v>1.5527345283205795E-17</v>
      </c>
      <c r="Z27" s="3872">
        <f>IF(W27="NA","NA",W27/$G$34*100)</f>
        <v>1.3528750531192272E-17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17.286233625411999</v>
      </c>
      <c r="V28" s="3847">
        <f>IFERROR('Table2(I)'!I54*23500,'Table2(I)'!I54)</f>
        <v>17.286233625411889</v>
      </c>
      <c r="W28" s="3847">
        <f>IF(V28="NO",IF(U28="NO","NA",-U28),IF(U28="NO",V28,V28-U28))</f>
        <v>-1.1013412404281553E-13</v>
      </c>
      <c r="X28" s="4016">
        <f>IF(W28="NA","NA",W28/U28*100)</f>
        <v>-6.3712041864868982E-13</v>
      </c>
      <c r="Y28" s="3871">
        <f>IF(W28="NA","NA",W28/$G$35*100)</f>
        <v>-2.005615432414082E-17</v>
      </c>
      <c r="Z28" s="3872">
        <f>IF(W28="NA","NA",W28/$G$34*100)</f>
        <v>-1.747463610279002E-17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634861.84660226014</v>
      </c>
      <c r="F34" s="4523"/>
      <c r="G34" s="4522">
        <f>SUM(Table8s1!D10,Table8s1!J10,Table8s1!P10,D10,J10,P10,V10,AB10)</f>
        <v>630251.31622186629</v>
      </c>
      <c r="H34" s="4523"/>
      <c r="I34" s="3839">
        <f>G34-E34</f>
        <v>-4610.5303803938441</v>
      </c>
      <c r="J34" s="4045">
        <f>IF(I34="NA","NA",I34/E34*100)</f>
        <v>-0.72622577731975979</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549232.06063365529</v>
      </c>
      <c r="F35" s="4525"/>
      <c r="G35" s="4526">
        <f>G34-SUM(Table8s1!D41,Table8s1!J41,Table8s1!P41)</f>
        <v>549128.82231989678</v>
      </c>
      <c r="H35" s="4527"/>
      <c r="I35" s="3855">
        <f>G35-E35</f>
        <v>-103.23831375851296</v>
      </c>
      <c r="J35" s="4046">
        <f>IF(I35="NA","NA",I35/E35*100)</f>
        <v>-1.8796847663882867E-2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1240505.1243667437</v>
      </c>
      <c r="D10" s="1913" t="s">
        <v>1814</v>
      </c>
      <c r="E10" s="628"/>
      <c r="F10" s="628"/>
      <c r="G10" s="628"/>
      <c r="H10" s="1847">
        <f>IF(SUM(H11:H14)=0,"NO",SUM(H11:H14))</f>
        <v>83992.782117918425</v>
      </c>
      <c r="I10" s="1847">
        <f>IF(SUM(I11:I15)=0,"NO",SUM(I11:I15))</f>
        <v>18.758514318479602</v>
      </c>
      <c r="J10" s="2192">
        <f>IF(SUM(J11:J15)=0,"NO",SUM(J11:J15))</f>
        <v>6.7910723849360659</v>
      </c>
    </row>
    <row r="11" spans="2:11" ht="18" customHeight="1" x14ac:dyDescent="0.2">
      <c r="B11" s="282" t="s">
        <v>132</v>
      </c>
      <c r="C11" s="1913">
        <f>IF(SUM(C17:C18,C21:C24,C82,C89:C92,C100)=0,"NO",SUM(C17:C18,C21:C24,C82,C89:C92,C100))</f>
        <v>1219134.1920655118</v>
      </c>
      <c r="D11" s="1909" t="s">
        <v>1814</v>
      </c>
      <c r="E11" s="1913">
        <f>IFERROR(H11*1000/$C11,"NA")</f>
        <v>68.093901334432246</v>
      </c>
      <c r="F11" s="1913">
        <f t="shared" ref="F11:G15" si="0">IFERROR(I11*1000000/$C11,"NA")</f>
        <v>15.005929474003189</v>
      </c>
      <c r="G11" s="1913">
        <f t="shared" si="0"/>
        <v>5.5530751578221631</v>
      </c>
      <c r="H11" s="1913">
        <f>IF(SUM(H17:H18,H21:H24,H82,H89:H92,H100)=0,"NO",SUM(H17:H18,H21:H24,H82,H89:H92,H100))</f>
        <v>83015.603387941737</v>
      </c>
      <c r="I11" s="1913">
        <f>IF(SUM(I17:I18,I21:I24,I82,I89:I92,I100)=0,"NO",SUM(I17:I18,I21:I24,I82,I89:I92,I100))</f>
        <v>18.294241705480928</v>
      </c>
      <c r="J11" s="3085">
        <f>IF(SUM(J17:J18,J21:J24,J82,J89:J92,J100)=0,"NO",SUM(J17:J18,J21:J24,J82,J89:J92,J100))</f>
        <v>6.7699437960105877</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18980.800339163594</v>
      </c>
      <c r="D13" s="1909" t="s">
        <v>1814</v>
      </c>
      <c r="E13" s="1913">
        <f t="shared" si="1"/>
        <v>51.411918339265014</v>
      </c>
      <c r="F13" s="1913">
        <f t="shared" si="0"/>
        <v>17.583174113344814</v>
      </c>
      <c r="G13" s="1913">
        <f t="shared" si="0"/>
        <v>0.18295015368759826</v>
      </c>
      <c r="H13" s="1913">
        <f>IF(SUM(H26,H84,H94,H102)=0,"NO",SUM(H26,H84,H94,H102))</f>
        <v>975.83935705097235</v>
      </c>
      <c r="I13" s="1913">
        <f>IF(SUM(I26,I84,I94,I102)=0,"NO",SUM(I26,I84,I94,I102))</f>
        <v>0.33374271717414777</v>
      </c>
      <c r="J13" s="3085">
        <f>IF(SUM(J26,J84,J94,J102)=0,"NO",SUM(J26,J84,J94,J102))</f>
        <v>3.472540339163597E-3</v>
      </c>
    </row>
    <row r="14" spans="2:11" ht="18" customHeight="1" x14ac:dyDescent="0.2">
      <c r="B14" s="282" t="s">
        <v>175</v>
      </c>
      <c r="C14" s="1913">
        <f>IF(SUM(C28,C86,C96,C103)=0,"NO",SUM(C28,C86,C96,C103))</f>
        <v>18.272481933407171</v>
      </c>
      <c r="D14" s="1909" t="s">
        <v>1814</v>
      </c>
      <c r="E14" s="1913">
        <f t="shared" si="1"/>
        <v>73.300000000000168</v>
      </c>
      <c r="F14" s="1913" t="str">
        <f t="shared" si="0"/>
        <v>NA</v>
      </c>
      <c r="G14" s="1913" t="str">
        <f t="shared" si="0"/>
        <v>NA</v>
      </c>
      <c r="H14" s="1913">
        <f>IF(SUM(H28,H86,H96,H103)=0,"NO",SUM(H28,H86,H96,H103))</f>
        <v>1.3393729257187488</v>
      </c>
      <c r="I14" s="1913" t="str">
        <f>IF(SUM(I28,I86,I96,I103)=0,"NO",SUM(I28,I86,I96,I103))</f>
        <v>NO</v>
      </c>
      <c r="J14" s="3085" t="str">
        <f>IF(SUM(J28,J86,J96,J103)=0,"NO",SUM(J28,J86,J96,J103))</f>
        <v>NO</v>
      </c>
    </row>
    <row r="15" spans="2:11" ht="18" customHeight="1" x14ac:dyDescent="0.2">
      <c r="B15" s="282" t="s">
        <v>137</v>
      </c>
      <c r="C15" s="1913">
        <f>IF(SUM(C19,C27,C85,C95,C104)=0,"NO",SUM(C19,C27,C85,C95,C104))</f>
        <v>2371.8594801349427</v>
      </c>
      <c r="D15" s="1913" t="s">
        <v>1814</v>
      </c>
      <c r="E15" s="1913">
        <f t="shared" si="1"/>
        <v>67.259999999999962</v>
      </c>
      <c r="F15" s="1913">
        <f t="shared" si="0"/>
        <v>55.032727241117755</v>
      </c>
      <c r="G15" s="1913">
        <f t="shared" si="0"/>
        <v>7.4439690606417814</v>
      </c>
      <c r="H15" s="1913">
        <f>IF(SUM(H19,H27,H85,H95,H104)=0,"NO",SUM(H19,H27,H85,H95,H104))</f>
        <v>159.53126863387618</v>
      </c>
      <c r="I15" s="1913">
        <f>IF(SUM(I19,I27,I85,I95,I104)=0,"NO",SUM(I19,I27,I85,I95,I104))</f>
        <v>0.13052989582452565</v>
      </c>
      <c r="J15" s="3085">
        <f>IF(SUM(J19,J27,J85,J95,J104)=0,"NO",SUM(J19,J27,J85,J95,J104))</f>
        <v>1.7656048586314414E-2</v>
      </c>
    </row>
    <row r="16" spans="2:11" ht="18" customHeight="1" x14ac:dyDescent="0.2">
      <c r="B16" s="1241" t="s">
        <v>176</v>
      </c>
      <c r="C16" s="1913">
        <f>IF(SUM(C17:C19)=0,"NO",SUM(C17:C19))</f>
        <v>94742.898296474494</v>
      </c>
      <c r="D16" s="1909" t="s">
        <v>1814</v>
      </c>
      <c r="E16" s="628"/>
      <c r="F16" s="628"/>
      <c r="G16" s="628"/>
      <c r="H16" s="1913">
        <f>IF(SUM(H17:H18)=0,"NO",SUM(H17:H18))</f>
        <v>6586.6790635868128</v>
      </c>
      <c r="I16" s="1913">
        <f>IF(SUM(I17:I19)=0,"NO",SUM(I17:I19))</f>
        <v>3.4649446477659149E-2</v>
      </c>
      <c r="J16" s="3085">
        <f>IF(SUM(J17:J19)=0,"NO",SUM(J17:J19))</f>
        <v>5.1114665942973682E-2</v>
      </c>
    </row>
    <row r="17" spans="2:10" ht="18" customHeight="1" x14ac:dyDescent="0.2">
      <c r="B17" s="282" t="s">
        <v>177</v>
      </c>
      <c r="C17" s="691">
        <v>2856.4068645422899</v>
      </c>
      <c r="D17" s="1909" t="s">
        <v>1814</v>
      </c>
      <c r="E17" s="1913">
        <f t="shared" ref="E17:E19" si="2">IFERROR(H17*1000/$C17,"NA")</f>
        <v>67.000000000000099</v>
      </c>
      <c r="F17" s="1913">
        <f t="shared" ref="F17:G19" si="3">IFERROR(I17*1000000/$C17,"NA")</f>
        <v>0.50000000000000078</v>
      </c>
      <c r="G17" s="1913">
        <f t="shared" si="3"/>
        <v>2.0000000000000027</v>
      </c>
      <c r="H17" s="691">
        <v>191.37925992433372</v>
      </c>
      <c r="I17" s="691">
        <v>1.4282034322711471E-3</v>
      </c>
      <c r="J17" s="2911">
        <v>5.7128137290845876E-3</v>
      </c>
    </row>
    <row r="18" spans="2:10" ht="18" customHeight="1" x14ac:dyDescent="0.2">
      <c r="B18" s="282" t="s">
        <v>178</v>
      </c>
      <c r="C18" s="691">
        <v>91886.491431932198</v>
      </c>
      <c r="D18" s="1909" t="s">
        <v>1814</v>
      </c>
      <c r="E18" s="1913">
        <f t="shared" si="2"/>
        <v>69.599999999999994</v>
      </c>
      <c r="F18" s="1913">
        <f t="shared" si="3"/>
        <v>0.36154653995030028</v>
      </c>
      <c r="G18" s="1913">
        <f t="shared" si="3"/>
        <v>0.49410801856029007</v>
      </c>
      <c r="H18" s="691">
        <v>6395.2998036624795</v>
      </c>
      <c r="I18" s="691">
        <v>3.3221243045388003E-2</v>
      </c>
      <c r="J18" s="2911">
        <v>4.5401852213889093E-2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1070353.8682498403</v>
      </c>
      <c r="D20" s="1909" t="s">
        <v>1814</v>
      </c>
      <c r="E20" s="628"/>
      <c r="F20" s="628"/>
      <c r="G20" s="628"/>
      <c r="H20" s="1913">
        <f>IF(SUM(H21:H24,H26,H28)=0,"NO",SUM(H21:H24,H26,H28))</f>
        <v>72463.026970124934</v>
      </c>
      <c r="I20" s="1913">
        <f>IF(SUM(I21:I24,I26:I28)=0,"NO",SUM(I21:I24,I26:I28))</f>
        <v>14.344673521393304</v>
      </c>
      <c r="J20" s="3085">
        <f>IF(SUM(J21:J24,J26:J28)=0,"NO",SUM(J21:J24,J26:J28))</f>
        <v>5.7070254942964453</v>
      </c>
    </row>
    <row r="21" spans="2:10" ht="18" customHeight="1" x14ac:dyDescent="0.2">
      <c r="B21" s="282" t="s">
        <v>167</v>
      </c>
      <c r="C21" s="1913">
        <f>IF(SUM(C31,C41,C51,C61,C72)=0,"NO",SUM(C31,C41,C51,C61,C72))</f>
        <v>632723.68955249991</v>
      </c>
      <c r="D21" s="1909" t="s">
        <v>1814</v>
      </c>
      <c r="E21" s="1913">
        <f t="shared" ref="E21:E23" si="4">IFERROR(H21*1000/$C21,"NA")</f>
        <v>67.400000000000063</v>
      </c>
      <c r="F21" s="1913">
        <f t="shared" ref="F21:G23" si="5">IFERROR(I21*1000000/$C21,"NA")</f>
        <v>14.760009359538707</v>
      </c>
      <c r="G21" s="1913">
        <f t="shared" si="5"/>
        <v>7.7680615949647196</v>
      </c>
      <c r="H21" s="1913">
        <f>IF(SUM(H31,H41,H51,H61,H72)=0,"NO",SUM(H31,H41,H51,H61,H72))</f>
        <v>42645.576675838529</v>
      </c>
      <c r="I21" s="1913">
        <f>IF(SUM(I31,I41,I51,I61,I72)=0,"NO",SUM(I31,I41,I51,I61,I72))</f>
        <v>9.3390075797967604</v>
      </c>
      <c r="J21" s="3085">
        <f>IF(SUM(J31,J41,J51,J61,J72)=0,"NO",SUM(J31,J41,J51,J61,J72))</f>
        <v>4.9150365930371542</v>
      </c>
    </row>
    <row r="22" spans="2:10" ht="18" customHeight="1" x14ac:dyDescent="0.2">
      <c r="B22" s="282" t="s">
        <v>168</v>
      </c>
      <c r="C22" s="1913">
        <f t="shared" ref="C22:C29" si="6">IF(SUM(C32,C42,C52,C62,C73)=0,"NO",SUM(C32,C42,C52,C62,C73))</f>
        <v>373913.65693367721</v>
      </c>
      <c r="D22" s="1909" t="s">
        <v>1814</v>
      </c>
      <c r="E22" s="1913">
        <f t="shared" si="4"/>
        <v>69.899999999999935</v>
      </c>
      <c r="F22" s="1913">
        <f t="shared" si="5"/>
        <v>8.1796404344000688</v>
      </c>
      <c r="G22" s="1913">
        <f t="shared" si="5"/>
        <v>1.6784530603839642</v>
      </c>
      <c r="H22" s="1913">
        <f t="shared" ref="H22:J29" si="7">IF(SUM(H32,H42,H52,H62,H73)=0,"NO",SUM(H32,H42,H52,H62,H73))</f>
        <v>26136.564619664012</v>
      </c>
      <c r="I22" s="1913">
        <f t="shared" si="7"/>
        <v>3.0584792672291017</v>
      </c>
      <c r="J22" s="3085">
        <f t="shared" si="7"/>
        <v>0.62759652179969017</v>
      </c>
    </row>
    <row r="23" spans="2:10" ht="18" customHeight="1" x14ac:dyDescent="0.2">
      <c r="B23" s="282" t="s">
        <v>169</v>
      </c>
      <c r="C23" s="1913">
        <f t="shared" si="6"/>
        <v>59712.000000000087</v>
      </c>
      <c r="D23" s="1909" t="s">
        <v>1814</v>
      </c>
      <c r="E23" s="1913">
        <f t="shared" si="4"/>
        <v>60.199999999999925</v>
      </c>
      <c r="F23" s="1913">
        <f t="shared" si="5"/>
        <v>27.947590681679372</v>
      </c>
      <c r="G23" s="1913">
        <f t="shared" si="5"/>
        <v>2.4329054916869777</v>
      </c>
      <c r="H23" s="1913">
        <f t="shared" si="7"/>
        <v>3594.6624000000006</v>
      </c>
      <c r="I23" s="1913">
        <f t="shared" si="7"/>
        <v>1.6688065347844412</v>
      </c>
      <c r="J23" s="3085">
        <f t="shared" si="7"/>
        <v>0.14527365271961301</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1671.1161794876425</v>
      </c>
      <c r="D26" s="1909" t="s">
        <v>1814</v>
      </c>
      <c r="E26" s="1913">
        <f t="shared" si="8"/>
        <v>51.411918339265142</v>
      </c>
      <c r="F26" s="1913">
        <f t="shared" si="9"/>
        <v>107.43936483727143</v>
      </c>
      <c r="G26" s="1913">
        <f t="shared" si="9"/>
        <v>1.0000000000000029</v>
      </c>
      <c r="H26" s="1913">
        <f t="shared" si="7"/>
        <v>85.915288555243436</v>
      </c>
      <c r="I26" s="1913">
        <f t="shared" si="7"/>
        <v>0.17954366089343998</v>
      </c>
      <c r="J26" s="3085">
        <f t="shared" si="7"/>
        <v>1.6711161794876475E-3</v>
      </c>
    </row>
    <row r="27" spans="2:10" ht="18" customHeight="1" x14ac:dyDescent="0.2">
      <c r="B27" s="282" t="s">
        <v>137</v>
      </c>
      <c r="C27" s="1913">
        <f t="shared" si="6"/>
        <v>2329.2038642965213</v>
      </c>
      <c r="D27" s="1909" t="s">
        <v>1814</v>
      </c>
      <c r="E27" s="1913">
        <f t="shared" si="8"/>
        <v>67.259999999999962</v>
      </c>
      <c r="F27" s="1913">
        <f t="shared" si="9"/>
        <v>42.433588662885327</v>
      </c>
      <c r="G27" s="1913">
        <f t="shared" si="9"/>
        <v>7.4908044022889779</v>
      </c>
      <c r="H27" s="1913">
        <f t="shared" si="7"/>
        <v>156.66225191258394</v>
      </c>
      <c r="I27" s="1913">
        <f t="shared" si="7"/>
        <v>9.8836478689561552E-2</v>
      </c>
      <c r="J27" s="3085">
        <f t="shared" si="7"/>
        <v>1.7447610560500881E-2</v>
      </c>
    </row>
    <row r="28" spans="2:10" ht="18" customHeight="1" x14ac:dyDescent="0.2">
      <c r="B28" s="282" t="s">
        <v>181</v>
      </c>
      <c r="C28" s="1913">
        <f>C29</f>
        <v>4.2017198791620505</v>
      </c>
      <c r="D28" s="1909" t="s">
        <v>1814</v>
      </c>
      <c r="E28" s="628"/>
      <c r="F28" s="628"/>
      <c r="G28" s="628"/>
      <c r="H28" s="1913">
        <f>H29</f>
        <v>0.30798606714257815</v>
      </c>
      <c r="I28" s="1913" t="str">
        <f>I29</f>
        <v>NE</v>
      </c>
      <c r="J28" s="3085" t="str">
        <f>J29</f>
        <v>NE</v>
      </c>
    </row>
    <row r="29" spans="2:10" ht="18" customHeight="1" x14ac:dyDescent="0.2">
      <c r="B29" s="3105" t="s">
        <v>252</v>
      </c>
      <c r="C29" s="1913">
        <f t="shared" si="6"/>
        <v>4.2017198791620505</v>
      </c>
      <c r="D29" s="1909" t="s">
        <v>1814</v>
      </c>
      <c r="E29" s="3103">
        <f t="shared" ref="E29" si="10">IFERROR(H29*1000/$C29,"NA")</f>
        <v>73.299999999999955</v>
      </c>
      <c r="F29" s="3103" t="str">
        <f>IFERROR(I29*1000000/$C29,"NA")</f>
        <v>NA</v>
      </c>
      <c r="G29" s="3103" t="str">
        <f>IFERROR(J29*1000000/$C29,"NA")</f>
        <v>NA</v>
      </c>
      <c r="H29" s="1913">
        <f t="shared" si="7"/>
        <v>0.30798606714257815</v>
      </c>
      <c r="I29" s="1913" t="str">
        <f>IF(SUM(I39,I49,I59,I69,I80)=0,"NE",SUM(I39,I49,I59,I69,I80))</f>
        <v>NE</v>
      </c>
      <c r="J29" s="3085" t="str">
        <f>IF(SUM(J39,J49,J59,J69,J80)=0,"NE",SUM(J39,J49,J59,J69,J80))</f>
        <v>NE</v>
      </c>
    </row>
    <row r="30" spans="2:10" ht="18" customHeight="1" x14ac:dyDescent="0.2">
      <c r="B30" s="1242" t="s">
        <v>182</v>
      </c>
      <c r="C30" s="1913">
        <f>IF(SUM(C31:C34,C36:C38)=0,"NO",SUM(C31:C34,C36:C38))</f>
        <v>622767.09721558145</v>
      </c>
      <c r="D30" s="1909" t="s">
        <v>1814</v>
      </c>
      <c r="E30" s="628"/>
      <c r="F30" s="628"/>
      <c r="G30" s="628"/>
      <c r="H30" s="1913">
        <f>IF(SUM(H31:H34,H36,H38)=0,"NO",SUM(H31:H34,H36,H38))</f>
        <v>41647.111513406468</v>
      </c>
      <c r="I30" s="1913">
        <f>IF(SUM(I31:I34,I36:I38)=0,"NO",SUM(I31:I34,I36:I38))</f>
        <v>9.3490717387739846</v>
      </c>
      <c r="J30" s="3085">
        <f>IF(SUM(J31:J34,J36:J38)=0,"NO",SUM(J31:J34,J36:J38))</f>
        <v>4.6915307296235307</v>
      </c>
    </row>
    <row r="31" spans="2:10" ht="18" customHeight="1" x14ac:dyDescent="0.2">
      <c r="B31" s="282" t="s">
        <v>167</v>
      </c>
      <c r="C31" s="691">
        <v>537136.87543749495</v>
      </c>
      <c r="D31" s="1909" t="s">
        <v>1814</v>
      </c>
      <c r="E31" s="1913">
        <f t="shared" ref="E31:E33" si="11">IFERROR(H31*1000/$C31,"NA")</f>
        <v>67.400000000000048</v>
      </c>
      <c r="F31" s="1913">
        <f t="shared" ref="F31:G33" si="12">IFERROR(I31*1000000/$C31,"NA")</f>
        <v>14.523790320319481</v>
      </c>
      <c r="G31" s="1913">
        <f t="shared" si="12"/>
        <v>8.4301936350141045</v>
      </c>
      <c r="H31" s="691">
        <v>36203.025404487184</v>
      </c>
      <c r="I31" s="691">
        <v>7.8012633521657397</v>
      </c>
      <c r="J31" s="2911">
        <v>4.5281678684445339</v>
      </c>
    </row>
    <row r="32" spans="2:10" ht="18" customHeight="1" x14ac:dyDescent="0.2">
      <c r="B32" s="282" t="s">
        <v>168</v>
      </c>
      <c r="C32" s="691">
        <v>42020.405642518999</v>
      </c>
      <c r="D32" s="1909" t="s">
        <v>1814</v>
      </c>
      <c r="E32" s="1913">
        <f t="shared" si="11"/>
        <v>69.900000000000048</v>
      </c>
      <c r="F32" s="1913">
        <f t="shared" si="12"/>
        <v>6.6559983859632856</v>
      </c>
      <c r="G32" s="1913">
        <f t="shared" si="12"/>
        <v>1.0441947358128756</v>
      </c>
      <c r="H32" s="691">
        <v>2937.2263544120797</v>
      </c>
      <c r="I32" s="691">
        <v>0.279687752134129</v>
      </c>
      <c r="J32" s="2911">
        <v>4.3877486368639994E-2</v>
      </c>
    </row>
    <row r="33" spans="2:10" ht="18" customHeight="1" x14ac:dyDescent="0.2">
      <c r="B33" s="282" t="s">
        <v>169</v>
      </c>
      <c r="C33" s="691">
        <v>41619.445941529302</v>
      </c>
      <c r="D33" s="1909" t="s">
        <v>1814</v>
      </c>
      <c r="E33" s="1913">
        <f t="shared" si="11"/>
        <v>60.19999999999996</v>
      </c>
      <c r="F33" s="1913">
        <f t="shared" si="12"/>
        <v>28.342232775566689</v>
      </c>
      <c r="G33" s="1913">
        <f t="shared" si="12"/>
        <v>2.5570570031186901</v>
      </c>
      <c r="H33" s="691">
        <v>2505.4906456800622</v>
      </c>
      <c r="I33" s="691">
        <v>1.179588024864938</v>
      </c>
      <c r="J33" s="2911">
        <v>0.10642329571070724</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26.6301836493985</v>
      </c>
      <c r="D36" s="1909" t="s">
        <v>1814</v>
      </c>
      <c r="E36" s="1913">
        <f t="shared" si="13"/>
        <v>51.411918339264972</v>
      </c>
      <c r="F36" s="1913">
        <f t="shared" si="14"/>
        <v>260.99999999999989</v>
      </c>
      <c r="G36" s="1913">
        <f t="shared" si="14"/>
        <v>0.99999999999999944</v>
      </c>
      <c r="H36" s="691">
        <v>1.3691088271425049</v>
      </c>
      <c r="I36" s="691">
        <v>6.9504779324930047E-3</v>
      </c>
      <c r="J36" s="2911">
        <v>2.6630183649398485E-5</v>
      </c>
    </row>
    <row r="37" spans="2:10" ht="18" customHeight="1" x14ac:dyDescent="0.2">
      <c r="B37" s="282" t="s">
        <v>137</v>
      </c>
      <c r="C37" s="691">
        <v>1963.7400103888101</v>
      </c>
      <c r="D37" s="1909" t="s">
        <v>1814</v>
      </c>
      <c r="E37" s="1913">
        <f t="shared" si="13"/>
        <v>67.259999999999977</v>
      </c>
      <c r="F37" s="1913">
        <f t="shared" si="14"/>
        <v>41.544263112779134</v>
      </c>
      <c r="G37" s="1913">
        <f t="shared" si="14"/>
        <v>6.6380726812300761</v>
      </c>
      <c r="H37" s="691">
        <v>132.08115309875132</v>
      </c>
      <c r="I37" s="691">
        <v>8.158213167668435E-2</v>
      </c>
      <c r="J37" s="2911">
        <v>1.3035448916000426E-2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178205.08004621122</v>
      </c>
      <c r="D40" s="1909" t="s">
        <v>1814</v>
      </c>
      <c r="E40" s="628"/>
      <c r="F40" s="628"/>
      <c r="G40" s="628"/>
      <c r="H40" s="1913">
        <f>IF(SUM(H41:H44,H46,H48)=0,"NO",SUM(H41:H44,H46,H48))</f>
        <v>12061.402447960983</v>
      </c>
      <c r="I40" s="1913">
        <f>IF(SUM(I41:I44,I46:I48)=0,"NO",SUM(I41:I44,I46:I48))</f>
        <v>2.865895303772005</v>
      </c>
      <c r="J40" s="3085">
        <f>IF(SUM(J41:J44,J46:J48)=0,"NO",SUM(J41:J44,J46:J48))</f>
        <v>0.48837434262780544</v>
      </c>
    </row>
    <row r="41" spans="2:10" ht="18" customHeight="1" x14ac:dyDescent="0.2">
      <c r="B41" s="282" t="s">
        <v>167</v>
      </c>
      <c r="C41" s="691">
        <v>89475.018145104099</v>
      </c>
      <c r="D41" s="1909" t="s">
        <v>1814</v>
      </c>
      <c r="E41" s="1913">
        <f t="shared" ref="E41:E43" si="16">IFERROR(H41*1000/$C41,"NA")</f>
        <v>67.400000000000034</v>
      </c>
      <c r="F41" s="1913">
        <f t="shared" ref="F41:G43" si="17">IFERROR(I41*1000000/$C41,"NA")</f>
        <v>13.624781932419527</v>
      </c>
      <c r="G41" s="1913">
        <f t="shared" si="17"/>
        <v>4.2593421827889486</v>
      </c>
      <c r="H41" s="691">
        <v>6030.6162229800193</v>
      </c>
      <c r="I41" s="691">
        <v>1.2190776106263237</v>
      </c>
      <c r="J41" s="2911">
        <v>0.38110471909124849</v>
      </c>
    </row>
    <row r="42" spans="2:10" ht="18" customHeight="1" x14ac:dyDescent="0.2">
      <c r="B42" s="282" t="s">
        <v>168</v>
      </c>
      <c r="C42" s="691">
        <v>73360.251928427198</v>
      </c>
      <c r="D42" s="1909" t="s">
        <v>1814</v>
      </c>
      <c r="E42" s="1913">
        <f t="shared" si="16"/>
        <v>69.900000000000034</v>
      </c>
      <c r="F42" s="1913">
        <f t="shared" si="17"/>
        <v>15.887683964260704</v>
      </c>
      <c r="G42" s="1913">
        <f t="shared" si="17"/>
        <v>0.93214700429688024</v>
      </c>
      <c r="H42" s="691">
        <v>5127.881609797063</v>
      </c>
      <c r="I42" s="691">
        <v>1.1655244981773982</v>
      </c>
      <c r="J42" s="2911">
        <v>6.8382539069547846E-2</v>
      </c>
    </row>
    <row r="43" spans="2:10" ht="18" customHeight="1" x14ac:dyDescent="0.2">
      <c r="B43" s="282" t="s">
        <v>169</v>
      </c>
      <c r="C43" s="691">
        <v>14963.720510139201</v>
      </c>
      <c r="D43" s="1909" t="s">
        <v>1814</v>
      </c>
      <c r="E43" s="1913">
        <f t="shared" si="16"/>
        <v>60.199999999999811</v>
      </c>
      <c r="F43" s="1913">
        <f t="shared" si="17"/>
        <v>30.302327806439916</v>
      </c>
      <c r="G43" s="1913">
        <f t="shared" si="17"/>
        <v>2.3011855367482563</v>
      </c>
      <c r="H43" s="691">
        <v>900.81597471037708</v>
      </c>
      <c r="I43" s="691">
        <v>0.45343556410218644</v>
      </c>
      <c r="J43" s="2911">
        <v>3.4434297213875573E-2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40.625608633024001</v>
      </c>
      <c r="D46" s="1909" t="s">
        <v>1814</v>
      </c>
      <c r="E46" s="1913">
        <f t="shared" si="18"/>
        <v>51.411918339264972</v>
      </c>
      <c r="F46" s="1913">
        <f t="shared" si="19"/>
        <v>260.99999999999983</v>
      </c>
      <c r="G46" s="1913">
        <f t="shared" si="19"/>
        <v>0.99999999999999933</v>
      </c>
      <c r="H46" s="691">
        <v>2.0886404735239679</v>
      </c>
      <c r="I46" s="691">
        <v>1.0603283853219257E-2</v>
      </c>
      <c r="J46" s="2911">
        <v>4.0625608633023976E-5</v>
      </c>
    </row>
    <row r="47" spans="2:10" ht="18" customHeight="1" x14ac:dyDescent="0.2">
      <c r="B47" s="282" t="s">
        <v>137</v>
      </c>
      <c r="C47" s="691">
        <v>365.46385390771104</v>
      </c>
      <c r="D47" s="1909" t="s">
        <v>1814</v>
      </c>
      <c r="E47" s="1913">
        <f t="shared" si="18"/>
        <v>67.25999999999992</v>
      </c>
      <c r="F47" s="1913">
        <f t="shared" si="19"/>
        <v>47.212184812220485</v>
      </c>
      <c r="G47" s="1913">
        <f t="shared" si="19"/>
        <v>12.072771622483458</v>
      </c>
      <c r="H47" s="691">
        <v>24.581098813832618</v>
      </c>
      <c r="I47" s="691">
        <v>1.7254347012877203E-2</v>
      </c>
      <c r="J47" s="2911">
        <v>4.4121616445004534E-3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265322.24180555315</v>
      </c>
      <c r="D50" s="1909" t="s">
        <v>1814</v>
      </c>
      <c r="E50" s="628"/>
      <c r="F50" s="628"/>
      <c r="G50" s="628"/>
      <c r="H50" s="1913">
        <f>IF(SUM(H51:H54,H56,H58)=0,"NO",SUM(H51:H54,H56,H58))</f>
        <v>18480.88134371004</v>
      </c>
      <c r="I50" s="1913">
        <f>IF(SUM(I51:I54,I56:I58)=0,"NO",SUM(I51:I54,I56:I58))</f>
        <v>1.8503425037429044</v>
      </c>
      <c r="J50" s="3085">
        <f>IF(SUM(J51:J54,J56:J58)=0,"NO",SUM(J51:J54,J56:J58))</f>
        <v>0.5233955690437172</v>
      </c>
    </row>
    <row r="51" spans="2:10" ht="18" customHeight="1" x14ac:dyDescent="0.2">
      <c r="B51" s="282" t="s">
        <v>167</v>
      </c>
      <c r="C51" s="691">
        <v>2056.5485072853198</v>
      </c>
      <c r="D51" s="1909" t="s">
        <v>1814</v>
      </c>
      <c r="E51" s="1913">
        <f t="shared" ref="E51:E53" si="21">IFERROR(H51*1000/$C51,"NA")</f>
        <v>67.399999999999864</v>
      </c>
      <c r="F51" s="1913">
        <f t="shared" ref="F51:G53" si="22">IFERROR(I51*1000000/$C51,"NA")</f>
        <v>19.110972467245929</v>
      </c>
      <c r="G51" s="1913">
        <f t="shared" si="22"/>
        <v>0.9915411636320538</v>
      </c>
      <c r="H51" s="691">
        <v>138.61136939103028</v>
      </c>
      <c r="I51" s="691">
        <v>3.9302641900285457E-2</v>
      </c>
      <c r="J51" s="2911">
        <v>2.0391524999794491E-3</v>
      </c>
    </row>
    <row r="52" spans="2:10" ht="18" customHeight="1" x14ac:dyDescent="0.2">
      <c r="B52" s="282" t="s">
        <v>168</v>
      </c>
      <c r="C52" s="691">
        <v>258532.999362731</v>
      </c>
      <c r="D52" s="1909" t="s">
        <v>1814</v>
      </c>
      <c r="E52" s="1913">
        <f t="shared" si="21"/>
        <v>69.899999999999892</v>
      </c>
      <c r="F52" s="1913">
        <f t="shared" si="22"/>
        <v>6.2400816177980571</v>
      </c>
      <c r="G52" s="1913">
        <f t="shared" si="22"/>
        <v>1.9933103225962536</v>
      </c>
      <c r="H52" s="691">
        <v>18071.456655454869</v>
      </c>
      <c r="I52" s="691">
        <v>1.6132670169175745</v>
      </c>
      <c r="J52" s="2911">
        <v>0.51533649636150236</v>
      </c>
    </row>
    <row r="53" spans="2:10" ht="18" customHeight="1" x14ac:dyDescent="0.2">
      <c r="B53" s="282" t="s">
        <v>169</v>
      </c>
      <c r="C53" s="691">
        <v>3128.83354833158</v>
      </c>
      <c r="D53" s="1909" t="s">
        <v>1814</v>
      </c>
      <c r="E53" s="1913">
        <f t="shared" si="21"/>
        <v>60.200000000000067</v>
      </c>
      <c r="F53" s="1913">
        <f t="shared" si="22"/>
        <v>11.436513085330965</v>
      </c>
      <c r="G53" s="1913">
        <f t="shared" si="22"/>
        <v>1.4114077105140321</v>
      </c>
      <c r="H53" s="691">
        <v>188.35577960956132</v>
      </c>
      <c r="I53" s="691">
        <v>3.5782945817316628E-2</v>
      </c>
      <c r="J53" s="2911">
        <v>4.416059795030171E-3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1603.8603872052199</v>
      </c>
      <c r="D56" s="1909" t="s">
        <v>1814</v>
      </c>
      <c r="E56" s="1913">
        <f t="shared" si="23"/>
        <v>51.411918339265156</v>
      </c>
      <c r="F56" s="1913">
        <f t="shared" si="24"/>
        <v>101.00000000000031</v>
      </c>
      <c r="G56" s="1913">
        <f t="shared" si="24"/>
        <v>1.0000000000000033</v>
      </c>
      <c r="H56" s="691">
        <v>82.457539254576957</v>
      </c>
      <c r="I56" s="691">
        <v>0.16198989910772771</v>
      </c>
      <c r="J56" s="2911">
        <v>1.6038603872052251E-3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4059.4491824948013</v>
      </c>
      <c r="D60" s="1909" t="s">
        <v>1814</v>
      </c>
      <c r="E60" s="628"/>
      <c r="F60" s="628"/>
      <c r="G60" s="628"/>
      <c r="H60" s="1913">
        <f>IF(SUM(H61:H64,H66,H68)=0,"NO",SUM(H61:H64,H66,H68))</f>
        <v>273.6316650474368</v>
      </c>
      <c r="I60" s="1913">
        <f>IF(SUM(I61:I64,I66:I68)=0,"NO",SUM(I61:I64,I66:I68))</f>
        <v>0.2793639751044118</v>
      </c>
      <c r="J60" s="3085">
        <f>IF(SUM(J61:J64,J66:J68)=0,"NO",SUM(J61:J64,J66:J68))</f>
        <v>3.7248530013921574E-3</v>
      </c>
    </row>
    <row r="61" spans="2:10" ht="18" customHeight="1" x14ac:dyDescent="0.2">
      <c r="B61" s="282" t="s">
        <v>167</v>
      </c>
      <c r="C61" s="691">
        <v>4055.2474626156395</v>
      </c>
      <c r="D61" s="1909" t="s">
        <v>1814</v>
      </c>
      <c r="E61" s="1913">
        <f t="shared" ref="E61:E63" si="26">IFERROR(H61*1000/$C61,"NA")</f>
        <v>67.40000000000002</v>
      </c>
      <c r="F61" s="1913">
        <f t="shared" ref="F61:G63" si="27">IFERROR(I61*1000000/$C61,"NA")</f>
        <v>68.889501240011057</v>
      </c>
      <c r="G61" s="1913">
        <f t="shared" si="27"/>
        <v>0.91852668320014741</v>
      </c>
      <c r="H61" s="691">
        <v>273.32367898029423</v>
      </c>
      <c r="I61" s="691">
        <v>0.2793639751044118</v>
      </c>
      <c r="J61" s="2911">
        <v>3.7248530013921574E-3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4.2017198791620505</v>
      </c>
      <c r="D68" s="1909" t="s">
        <v>1814</v>
      </c>
      <c r="E68" s="628"/>
      <c r="F68" s="628"/>
      <c r="G68" s="628"/>
      <c r="H68" s="1913">
        <f>H69</f>
        <v>0.30798606714257815</v>
      </c>
      <c r="I68" s="1913" t="str">
        <f>I69</f>
        <v>NE</v>
      </c>
      <c r="J68" s="3085" t="str">
        <f>J69</f>
        <v>NE</v>
      </c>
    </row>
    <row r="69" spans="2:10" ht="18" customHeight="1" x14ac:dyDescent="0.2">
      <c r="B69" s="3105" t="s">
        <v>252</v>
      </c>
      <c r="C69" s="691">
        <v>4.2017198791620505</v>
      </c>
      <c r="D69" s="1909" t="s">
        <v>1814</v>
      </c>
      <c r="E69" s="3103">
        <f t="shared" ref="E69" si="30">IFERROR(H69*1000/$C69,"NA")</f>
        <v>73.299999999999955</v>
      </c>
      <c r="F69" s="3103" t="str">
        <f>IFERROR(I69*1000000/$C69,"NA")</f>
        <v>NA</v>
      </c>
      <c r="G69" s="3103" t="str">
        <f>IFERROR(J69*1000000/$C69,"NA")</f>
        <v>NA</v>
      </c>
      <c r="H69" s="691">
        <v>0.30798606714257815</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33145.3536258483</v>
      </c>
      <c r="D81" s="1909" t="s">
        <v>1814</v>
      </c>
      <c r="E81" s="628"/>
      <c r="F81" s="628"/>
      <c r="G81" s="628"/>
      <c r="H81" s="1913">
        <f>IF(SUM(H82:H84,H86)=0,"NO",SUM(H82:H84,H86))</f>
        <v>2316.8602184467982</v>
      </c>
      <c r="I81" s="1913">
        <f>IF(SUM(I82:I86)=0,"NO",SUM(I82:I86))</f>
        <v>0.13258141450339328</v>
      </c>
      <c r="J81" s="3085">
        <f>IF(SUM(J82:J86)=0,"NO",SUM(J82:J86))</f>
        <v>0.99436060877544952</v>
      </c>
    </row>
    <row r="82" spans="2:10" ht="18" customHeight="1" x14ac:dyDescent="0.2">
      <c r="B82" s="282" t="s">
        <v>132</v>
      </c>
      <c r="C82" s="691">
        <v>33145.3536258483</v>
      </c>
      <c r="D82" s="1909" t="s">
        <v>1814</v>
      </c>
      <c r="E82" s="1913">
        <f t="shared" ref="E82:E85" si="36">IFERROR(H82*1000/$C82,"NA")</f>
        <v>69.900000000000063</v>
      </c>
      <c r="F82" s="1913">
        <f t="shared" ref="F82:G85" si="37">IFERROR(I82*1000000/$C82,"NA")</f>
        <v>4.0000000000000027</v>
      </c>
      <c r="G82" s="1913">
        <f t="shared" si="37"/>
        <v>30.000000000000018</v>
      </c>
      <c r="H82" s="691">
        <v>2316.8602184467982</v>
      </c>
      <c r="I82" s="691">
        <v>0.13258141450339328</v>
      </c>
      <c r="J82" s="2911">
        <v>0.99436060877544952</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24346.578315691164</v>
      </c>
      <c r="D88" s="1909" t="s">
        <v>1814</v>
      </c>
      <c r="E88" s="628"/>
      <c r="F88" s="628"/>
      <c r="G88" s="628"/>
      <c r="H88" s="1913">
        <f>IF(SUM(H89:H92,H94,H96)=0,"NO",SUM(H89:H92,H94,H96))</f>
        <v>1695.0841189680905</v>
      </c>
      <c r="I88" s="3334">
        <f>IF(SUM(I89:I92,I94:I96)=0,"NE",SUM(I89:I92,I94:I96))</f>
        <v>4.0766450728149337</v>
      </c>
      <c r="J88" s="3335">
        <f>IF(SUM(J89:J92,J94:J96)=0,"NE",SUM(J89:J92,J94:J96))</f>
        <v>3.6709736734543003E-2</v>
      </c>
    </row>
    <row r="89" spans="2:10" ht="18" customHeight="1" x14ac:dyDescent="0.2">
      <c r="B89" s="282" t="s">
        <v>190</v>
      </c>
      <c r="C89" s="691">
        <v>6712.9463999999998</v>
      </c>
      <c r="D89" s="1909" t="s">
        <v>1814</v>
      </c>
      <c r="E89" s="1913">
        <f t="shared" ref="E89:E91" si="39">IFERROR(H89*1000/$C89,"NA")</f>
        <v>73.599999999999994</v>
      </c>
      <c r="F89" s="1913">
        <f t="shared" ref="F89:G91" si="40">IFERROR(I89*1000000/$C89,"NA")</f>
        <v>7.0000000000000009</v>
      </c>
      <c r="G89" s="1913">
        <f t="shared" si="40"/>
        <v>1.9999999999999998</v>
      </c>
      <c r="H89" s="691">
        <v>494.07285503999998</v>
      </c>
      <c r="I89" s="3336">
        <v>4.6990624800000005E-2</v>
      </c>
      <c r="J89" s="3337">
        <v>1.3425892799999999E-2</v>
      </c>
    </row>
    <row r="90" spans="2:10" ht="18" customHeight="1" x14ac:dyDescent="0.2">
      <c r="B90" s="282" t="s">
        <v>191</v>
      </c>
      <c r="C90" s="691">
        <v>6583.7272010154202</v>
      </c>
      <c r="D90" s="1909" t="s">
        <v>1814</v>
      </c>
      <c r="E90" s="1913">
        <f t="shared" si="39"/>
        <v>69.900000000000063</v>
      </c>
      <c r="F90" s="1913">
        <f t="shared" si="40"/>
        <v>7.0000000000000053</v>
      </c>
      <c r="G90" s="1913">
        <f t="shared" si="40"/>
        <v>2.0000000000000013</v>
      </c>
      <c r="H90" s="691">
        <v>460.20253135097829</v>
      </c>
      <c r="I90" s="3336">
        <v>4.6086090407107975E-2</v>
      </c>
      <c r="J90" s="3337">
        <v>1.316745440203085E-2</v>
      </c>
    </row>
    <row r="91" spans="2:10" ht="18" customHeight="1" x14ac:dyDescent="0.2">
      <c r="B91" s="282" t="s">
        <v>167</v>
      </c>
      <c r="C91" s="691">
        <v>10929.919363433899</v>
      </c>
      <c r="D91" s="1909" t="s">
        <v>1814</v>
      </c>
      <c r="E91" s="1913">
        <f t="shared" si="39"/>
        <v>67.400000000000091</v>
      </c>
      <c r="F91" s="1913">
        <f t="shared" si="40"/>
        <v>360.00000000000057</v>
      </c>
      <c r="G91" s="1913">
        <f t="shared" si="40"/>
        <v>0.90000000000000158</v>
      </c>
      <c r="H91" s="691">
        <v>736.67656509544588</v>
      </c>
      <c r="I91" s="3336">
        <v>3.9347709708362095</v>
      </c>
      <c r="J91" s="3337">
        <v>9.8369274270905267E-3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78.284159675949397</v>
      </c>
      <c r="D94" s="1909" t="s">
        <v>1814</v>
      </c>
      <c r="E94" s="1913">
        <f t="shared" ref="E94:E95" si="43">IFERROR(H94*1000/$C94,"NA")</f>
        <v>51.411918339264986</v>
      </c>
      <c r="F94" s="1913">
        <f t="shared" si="42"/>
        <v>242.99999999999997</v>
      </c>
      <c r="G94" s="1913">
        <f t="shared" si="42"/>
        <v>0.99999999999999978</v>
      </c>
      <c r="H94" s="691">
        <v>4.0247388245178914</v>
      </c>
      <c r="I94" s="3336">
        <v>1.90230508012557E-2</v>
      </c>
      <c r="J94" s="3337">
        <v>7.8284159675949381E-5</v>
      </c>
    </row>
    <row r="95" spans="2:10" ht="18" customHeight="1" x14ac:dyDescent="0.2">
      <c r="B95" s="282" t="s">
        <v>137</v>
      </c>
      <c r="C95" s="691">
        <v>40.235589149135599</v>
      </c>
      <c r="D95" s="1909" t="s">
        <v>1814</v>
      </c>
      <c r="E95" s="1913">
        <f t="shared" si="43"/>
        <v>67.260000000000034</v>
      </c>
      <c r="F95" s="1913">
        <f t="shared" si="42"/>
        <v>740.00000000000045</v>
      </c>
      <c r="G95" s="1913">
        <f t="shared" si="42"/>
        <v>5.0000000000000027</v>
      </c>
      <c r="H95" s="691">
        <v>2.7062457261708617</v>
      </c>
      <c r="I95" s="3336">
        <v>2.9774335970360361E-2</v>
      </c>
      <c r="J95" s="3337">
        <v>2.0117794574567809E-4</v>
      </c>
    </row>
    <row r="96" spans="2:10" ht="18" customHeight="1" x14ac:dyDescent="0.2">
      <c r="B96" s="282" t="s">
        <v>183</v>
      </c>
      <c r="C96" s="1913">
        <f>IF(SUM(C97:C98)=0,"NO",SUM(C97:C98))</f>
        <v>1.46560241675902</v>
      </c>
      <c r="D96" s="1909" t="s">
        <v>1814</v>
      </c>
      <c r="E96" s="628"/>
      <c r="F96" s="628"/>
      <c r="G96" s="628"/>
      <c r="H96" s="1913">
        <f>IF(SUM(H97:H98)=0,"NO",SUM(H97:H98))</f>
        <v>0.10742865714843611</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1.46560241675902</v>
      </c>
      <c r="D98" s="1909" t="s">
        <v>1814</v>
      </c>
      <c r="E98" s="3103">
        <f t="shared" ref="E98" si="45">IFERROR(H98*1000/$C98,"NA")</f>
        <v>73.299999999999955</v>
      </c>
      <c r="F98" s="3103" t="str">
        <f>IFERROR(I98*1000000/$C98,"NA")</f>
        <v>NA</v>
      </c>
      <c r="G98" s="3103" t="str">
        <f>IFERROR(J98*1000000/$C98,"NA")</f>
        <v>NA</v>
      </c>
      <c r="H98" s="691">
        <v>0.10742865714843611</v>
      </c>
      <c r="I98" s="3336" t="s">
        <v>2154</v>
      </c>
      <c r="J98" s="3337" t="s">
        <v>2154</v>
      </c>
    </row>
    <row r="99" spans="2:10" ht="18" customHeight="1" x14ac:dyDescent="0.2">
      <c r="B99" s="1241" t="s">
        <v>193</v>
      </c>
      <c r="C99" s="1913">
        <f>IF(SUM(C100:C104)=0,"NO",SUM(C100:C104))</f>
        <v>17916.425878889404</v>
      </c>
      <c r="D99" s="1909" t="s">
        <v>1814</v>
      </c>
      <c r="E99" s="628"/>
      <c r="F99" s="628"/>
      <c r="G99" s="628"/>
      <c r="H99" s="1913">
        <f>IF(SUM(H100:H103)=0,"NO",SUM(H100:H103))</f>
        <v>931.13174679179338</v>
      </c>
      <c r="I99" s="1913">
        <f>IF(SUM(I100:I104)=0,"NO",SUM(I100:I104))</f>
        <v>0.16996486329031296</v>
      </c>
      <c r="J99" s="3085">
        <f>IF(SUM(J100:J104)=0,"NO",SUM(J100:J104))</f>
        <v>1.8618791866528866E-3</v>
      </c>
    </row>
    <row r="100" spans="2:10" ht="18" customHeight="1" x14ac:dyDescent="0.2">
      <c r="B100" s="282" t="s">
        <v>132</v>
      </c>
      <c r="C100" s="1913">
        <f>IF(SUM(C106,C113:C116)=0,"NO",SUM(C106,C113:C116))</f>
        <v>670.00069256262907</v>
      </c>
      <c r="D100" s="1909" t="s">
        <v>1814</v>
      </c>
      <c r="E100" s="3103">
        <f t="shared" ref="E100:E104" si="46">IFERROR(H100*1000/$C100,"NA")</f>
        <v>66.131959878553218</v>
      </c>
      <c r="F100" s="3103">
        <f t="shared" ref="F100:G104" si="47">IFERROR(I100*1000000/$C100,"NA")</f>
        <v>49.05931741732433</v>
      </c>
      <c r="G100" s="3103">
        <f t="shared" si="47"/>
        <v>0.19623726966929736</v>
      </c>
      <c r="H100" s="1913">
        <f>IF(SUM(H106,H113:H116)=0,"NO",SUM(H106,H113:H116))</f>
        <v>44.308458919154653</v>
      </c>
      <c r="I100" s="1913">
        <f>IF(SUM(I106,I113:I116)=0,"NO",SUM(I106,I113:I116))</f>
        <v>3.2869776646257155E-2</v>
      </c>
      <c r="J100" s="3085">
        <f>IF(SUM(J106,J113:J116)=0,"NO",SUM(J106,J113:J116))</f>
        <v>1.3147910658502864E-4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17231.400000000001</v>
      </c>
      <c r="D102" s="1909" t="s">
        <v>1814</v>
      </c>
      <c r="E102" s="3103">
        <f t="shared" si="46"/>
        <v>51.411918339265007</v>
      </c>
      <c r="F102" s="3103">
        <f t="shared" si="47"/>
        <v>7.84474885844749</v>
      </c>
      <c r="G102" s="3103">
        <f t="shared" si="47"/>
        <v>9.9999999999999992E-2</v>
      </c>
      <c r="H102" s="1913">
        <f t="shared" si="48"/>
        <v>885.89932967121104</v>
      </c>
      <c r="I102" s="1913">
        <f t="shared" si="48"/>
        <v>0.13517600547945208</v>
      </c>
      <c r="J102" s="3085">
        <f t="shared" si="48"/>
        <v>1.7231400000000002E-3</v>
      </c>
    </row>
    <row r="103" spans="2:10" ht="18" customHeight="1" x14ac:dyDescent="0.2">
      <c r="B103" s="282" t="s">
        <v>175</v>
      </c>
      <c r="C103" s="1913">
        <f>IF(SUM(C109,C120)=0,"NO",SUM(C109,C120))</f>
        <v>12.6051596374861</v>
      </c>
      <c r="D103" s="1909" t="s">
        <v>1814</v>
      </c>
      <c r="E103" s="3103">
        <f t="shared" si="46"/>
        <v>73.300000000000281</v>
      </c>
      <c r="F103" s="3103" t="str">
        <f t="shared" si="47"/>
        <v>NA</v>
      </c>
      <c r="G103" s="3103" t="str">
        <f t="shared" si="47"/>
        <v>NA</v>
      </c>
      <c r="H103" s="1913">
        <f t="shared" si="48"/>
        <v>0.92395820142773455</v>
      </c>
      <c r="I103" s="1913" t="str">
        <f t="shared" si="48"/>
        <v>NO</v>
      </c>
      <c r="J103" s="3085" t="str">
        <f t="shared" si="48"/>
        <v>NO</v>
      </c>
    </row>
    <row r="104" spans="2:10" ht="18" customHeight="1" x14ac:dyDescent="0.2">
      <c r="B104" s="282" t="s">
        <v>137</v>
      </c>
      <c r="C104" s="1913">
        <f>IF(SUM(C110,C121)=0,"NO",SUM(C110,C121))</f>
        <v>2.4200266892859301</v>
      </c>
      <c r="D104" s="1909" t="s">
        <v>1814</v>
      </c>
      <c r="E104" s="3103">
        <f t="shared" si="46"/>
        <v>67.259999999999891</v>
      </c>
      <c r="F104" s="3103">
        <f t="shared" si="47"/>
        <v>792.99999999999886</v>
      </c>
      <c r="G104" s="3103">
        <f t="shared" si="47"/>
        <v>2.9999999999999956</v>
      </c>
      <c r="H104" s="1913">
        <f t="shared" si="48"/>
        <v>0.16277099512137141</v>
      </c>
      <c r="I104" s="1913">
        <f t="shared" si="48"/>
        <v>1.9190811646037397E-3</v>
      </c>
      <c r="J104" s="3085">
        <f t="shared" si="48"/>
        <v>7.2600800678577801E-6</v>
      </c>
    </row>
    <row r="105" spans="2:10" ht="18" customHeight="1" x14ac:dyDescent="0.2">
      <c r="B105" s="1244" t="s">
        <v>194</v>
      </c>
      <c r="C105" s="1913">
        <f>IF(SUM(C106:C110)=0,"NO",SUM(C106:C110))</f>
        <v>17231.400000000001</v>
      </c>
      <c r="D105" s="1909" t="s">
        <v>1814</v>
      </c>
      <c r="E105" s="628"/>
      <c r="F105" s="628"/>
      <c r="G105" s="628"/>
      <c r="H105" s="1913">
        <f>IF(SUM(H106:H109)=0,"NO",SUM(H106:H109))</f>
        <v>885.89932967121104</v>
      </c>
      <c r="I105" s="1913">
        <f>IF(SUM(I106:I110)=0,"NO",SUM(I106:I110))</f>
        <v>0.13517600547945208</v>
      </c>
      <c r="J105" s="3085">
        <f>IF(SUM(J106:J110)=0,"NO",SUM(J106:J110))</f>
        <v>1.7231400000000002E-3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17231.400000000001</v>
      </c>
      <c r="D108" s="1909" t="s">
        <v>1814</v>
      </c>
      <c r="E108" s="3103">
        <f t="shared" si="49"/>
        <v>51.411918339265007</v>
      </c>
      <c r="F108" s="3103">
        <f t="shared" si="50"/>
        <v>7.84474885844749</v>
      </c>
      <c r="G108" s="3103">
        <f t="shared" si="50"/>
        <v>9.9999999999999992E-2</v>
      </c>
      <c r="H108" s="691">
        <v>885.89932967121104</v>
      </c>
      <c r="I108" s="691">
        <v>0.13517600547945208</v>
      </c>
      <c r="J108" s="2911">
        <v>1.7231400000000002E-3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685.02587888940104</v>
      </c>
      <c r="D111" s="1909" t="s">
        <v>1814</v>
      </c>
      <c r="E111" s="628"/>
      <c r="F111" s="628"/>
      <c r="G111" s="628"/>
      <c r="H111" s="1913">
        <f>H112</f>
        <v>45.23241712058239</v>
      </c>
      <c r="I111" s="1913">
        <f>I112</f>
        <v>3.4788857810860892E-2</v>
      </c>
      <c r="J111" s="3085">
        <f>J112</f>
        <v>1.3873918665288643E-4</v>
      </c>
    </row>
    <row r="112" spans="2:10" ht="18" customHeight="1" x14ac:dyDescent="0.2">
      <c r="B112" s="3089" t="s">
        <v>2148</v>
      </c>
      <c r="C112" s="3099">
        <f>IF(SUM(C113:C116,C118:C121)=0,"NO",SUM(C113:C116,C118:C121))</f>
        <v>685.02587888940104</v>
      </c>
      <c r="D112" s="3099" t="s">
        <v>1814</v>
      </c>
      <c r="E112" s="628"/>
      <c r="F112" s="628"/>
      <c r="G112" s="628"/>
      <c r="H112" s="3099">
        <f>IF(SUM(H113:H116,H118:H120)=0,"NO",SUM(H113:H116,H118:H120))</f>
        <v>45.23241712058239</v>
      </c>
      <c r="I112" s="3099">
        <f>IF(SUM(I113:I116,I118:I121)=0,"NO",SUM(I113:I116,I118:I121))</f>
        <v>3.4788857810860892E-2</v>
      </c>
      <c r="J112" s="3100">
        <f>IF(SUM(J113:J116,J118:J121)=0,"NO",SUM(J113:J116,J118:J121))</f>
        <v>1.3873918665288643E-4</v>
      </c>
    </row>
    <row r="113" spans="2:10" ht="18" customHeight="1" x14ac:dyDescent="0.2">
      <c r="B113" s="282" t="s">
        <v>167</v>
      </c>
      <c r="C113" s="691">
        <v>670.00069256262907</v>
      </c>
      <c r="D113" s="1913" t="s">
        <v>1814</v>
      </c>
      <c r="E113" s="1913">
        <f t="shared" ref="E113:E115" si="51">IFERROR(H113*1000/$C113,"NA")</f>
        <v>66.131959878553218</v>
      </c>
      <c r="F113" s="1913">
        <f t="shared" ref="F113:G115" si="52">IFERROR(I113*1000000/$C113,"NA")</f>
        <v>49.05931741732433</v>
      </c>
      <c r="G113" s="1913">
        <f t="shared" si="52"/>
        <v>0.19623726966929736</v>
      </c>
      <c r="H113" s="691">
        <v>44.308458919154653</v>
      </c>
      <c r="I113" s="691">
        <v>3.2869776646257155E-2</v>
      </c>
      <c r="J113" s="2911">
        <v>1.3147910658502864E-4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12.6051596374861</v>
      </c>
      <c r="D120" s="1909" t="s">
        <v>1814</v>
      </c>
      <c r="E120" s="3103">
        <f t="shared" si="53"/>
        <v>73.300000000000281</v>
      </c>
      <c r="F120" s="3103" t="str">
        <f t="shared" si="54"/>
        <v>NA</v>
      </c>
      <c r="G120" s="3103" t="str">
        <f t="shared" si="54"/>
        <v>NA</v>
      </c>
      <c r="H120" s="691">
        <v>0.92395820142773455</v>
      </c>
      <c r="I120" s="691" t="s">
        <v>2154</v>
      </c>
      <c r="J120" s="2911" t="s">
        <v>2154</v>
      </c>
    </row>
    <row r="121" spans="2:10" ht="18" customHeight="1" thickBot="1" x14ac:dyDescent="0.25">
      <c r="B121" s="2185" t="s">
        <v>137</v>
      </c>
      <c r="C121" s="1559">
        <v>2.4200266892859301</v>
      </c>
      <c r="D121" s="2880" t="s">
        <v>1814</v>
      </c>
      <c r="E121" s="3104">
        <f t="shared" si="53"/>
        <v>67.259999999999891</v>
      </c>
      <c r="F121" s="3104">
        <f t="shared" si="54"/>
        <v>792.99999999999886</v>
      </c>
      <c r="G121" s="3104">
        <f t="shared" si="54"/>
        <v>2.9999999999999956</v>
      </c>
      <c r="H121" s="1559">
        <v>0.16277099512137141</v>
      </c>
      <c r="I121" s="1559">
        <v>1.9190811646037397E-3</v>
      </c>
      <c r="J121" s="1561">
        <v>7.2600800678577801E-6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385307.4465556675</v>
      </c>
      <c r="D10" s="3109" t="s">
        <v>1814</v>
      </c>
      <c r="E10" s="2135"/>
      <c r="F10" s="2135"/>
      <c r="G10" s="2135"/>
      <c r="H10" s="3109">
        <f>IF(SUM(H11:H15)=0,"NO",SUM(H11:H15))</f>
        <v>19090.37447806554</v>
      </c>
      <c r="I10" s="3109">
        <f>IF(SUM(I11:I16)=0,"NO",SUM(I11:I16))</f>
        <v>45.646983038924155</v>
      </c>
      <c r="J10" s="3109">
        <f>IF(SUM(J11:J16)=0,"NO",SUM(J11:J16))</f>
        <v>0.65508919048432157</v>
      </c>
      <c r="K10" s="420" t="str">
        <f>IF(SUM(K11:K16)=0,"NO",SUM(K11:K16))</f>
        <v>NO</v>
      </c>
    </row>
    <row r="11" spans="2:12" ht="18" customHeight="1" x14ac:dyDescent="0.2">
      <c r="B11" s="282" t="s">
        <v>132</v>
      </c>
      <c r="C11" s="1913">
        <f>IF(SUM(C18,C39,C60)=0,"NO",SUM(C18,C39,C60))</f>
        <v>140163.40861182305</v>
      </c>
      <c r="D11" s="3109" t="s">
        <v>1814</v>
      </c>
      <c r="E11" s="1913">
        <f t="shared" ref="E11:E16" si="0">IFERROR(H11*1000/$C11,"NA")</f>
        <v>68.373311641802388</v>
      </c>
      <c r="F11" s="1913">
        <f t="shared" ref="F11:G16" si="1">IFERROR(I11*1000000/$C11,"NA")</f>
        <v>9.4521372725032968</v>
      </c>
      <c r="G11" s="1913">
        <f t="shared" si="1"/>
        <v>2.6557338937481734</v>
      </c>
      <c r="H11" s="1913">
        <f>IF(SUM(H18,H39,H60)=0,"NO",SUM(H18,H39,H60))</f>
        <v>9583.4364177934658</v>
      </c>
      <c r="I11" s="1913">
        <f>IF(SUM(I18,I39,I60)=0,"NO",SUM(I18,I39,I60))</f>
        <v>1.3248437787809224</v>
      </c>
      <c r="J11" s="1913">
        <f>IF(SUM(J18,J39,J60)=0,"NO",SUM(J18,J39,J60))</f>
        <v>0.37223671491369309</v>
      </c>
      <c r="K11" s="3085" t="str">
        <f>IF(SUM(K18,K39,K60)=0,"NO",SUM(K18,K39,K60))</f>
        <v>NO</v>
      </c>
    </row>
    <row r="12" spans="2:12" ht="18" customHeight="1" x14ac:dyDescent="0.2">
      <c r="B12" s="282" t="s">
        <v>133</v>
      </c>
      <c r="C12" s="1913">
        <f t="shared" ref="C12:C16" si="2">IF(SUM(C19,C40,C61)=0,"NO",SUM(C19,C40,C61))</f>
        <v>1816.6899999999998</v>
      </c>
      <c r="D12" s="3109" t="s">
        <v>1814</v>
      </c>
      <c r="E12" s="1913">
        <f t="shared" si="0"/>
        <v>92.853018401598518</v>
      </c>
      <c r="F12" s="1913">
        <f t="shared" si="1"/>
        <v>0.95238095238095233</v>
      </c>
      <c r="G12" s="1913">
        <f t="shared" si="1"/>
        <v>0.66666666666666652</v>
      </c>
      <c r="H12" s="1913">
        <f t="shared" ref="H12:K16" si="3">IF(SUM(H19,H40,H61)=0,"NO",SUM(H19,H40,H61))</f>
        <v>168.68514999999999</v>
      </c>
      <c r="I12" s="1913">
        <f t="shared" si="3"/>
        <v>1.7301809523809521E-3</v>
      </c>
      <c r="J12" s="1913">
        <f t="shared" si="3"/>
        <v>1.2111266666666664E-3</v>
      </c>
      <c r="K12" s="3085" t="str">
        <f t="shared" si="3"/>
        <v>NO</v>
      </c>
    </row>
    <row r="13" spans="2:12" ht="18" customHeight="1" x14ac:dyDescent="0.2">
      <c r="B13" s="282" t="s">
        <v>134</v>
      </c>
      <c r="C13" s="1913">
        <f t="shared" si="2"/>
        <v>181510.18</v>
      </c>
      <c r="D13" s="3109" t="s">
        <v>1814</v>
      </c>
      <c r="E13" s="1913">
        <f t="shared" si="0"/>
        <v>51.447543659931782</v>
      </c>
      <c r="F13" s="1913">
        <f t="shared" si="1"/>
        <v>0.90909090909090917</v>
      </c>
      <c r="G13" s="1913">
        <f t="shared" si="1"/>
        <v>0.90909090909090917</v>
      </c>
      <c r="H13" s="1913">
        <f t="shared" si="3"/>
        <v>9338.2529102720764</v>
      </c>
      <c r="I13" s="1913">
        <f t="shared" si="3"/>
        <v>0.16500925454545454</v>
      </c>
      <c r="J13" s="1913">
        <f t="shared" si="3"/>
        <v>0.16500925454545454</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61817.167943844455</v>
      </c>
      <c r="D16" s="3109" t="s">
        <v>1814</v>
      </c>
      <c r="E16" s="1913">
        <f t="shared" si="0"/>
        <v>77.291117495081551</v>
      </c>
      <c r="F16" s="1913">
        <f t="shared" si="1"/>
        <v>714.2902415839684</v>
      </c>
      <c r="G16" s="1913">
        <f t="shared" si="1"/>
        <v>1.8867265880646207</v>
      </c>
      <c r="H16" s="1913">
        <f t="shared" si="3"/>
        <v>4777.9179907608705</v>
      </c>
      <c r="I16" s="1913">
        <f t="shared" si="3"/>
        <v>44.1553998246454</v>
      </c>
      <c r="J16" s="1913">
        <f t="shared" si="3"/>
        <v>0.1166320943585073</v>
      </c>
      <c r="K16" s="3085" t="str">
        <f t="shared" si="3"/>
        <v>NO</v>
      </c>
    </row>
    <row r="17" spans="2:11" ht="18" customHeight="1" x14ac:dyDescent="0.2">
      <c r="B17" s="1241" t="s">
        <v>1942</v>
      </c>
      <c r="C17" s="3109">
        <f>IF(SUM(C18:C23)=0,"NO",SUM(C18:C23))</f>
        <v>80788.440000000017</v>
      </c>
      <c r="D17" s="3109" t="s">
        <v>1814</v>
      </c>
      <c r="E17" s="628"/>
      <c r="F17" s="628"/>
      <c r="G17" s="628"/>
      <c r="H17" s="3078">
        <f>IF(SUM(H18:H22)=0,"NO",SUM(H18:H22))</f>
        <v>4773.6542262561561</v>
      </c>
      <c r="I17" s="3078">
        <f>IF(SUM(I18:I23)=0,"NO",SUM(I18:I23))</f>
        <v>9.3704897121212119E-2</v>
      </c>
      <c r="J17" s="3110">
        <f>IF(SUM(J18:J23)=0,"NO",SUM(J18:J23))</f>
        <v>9.4270704740259739E-2</v>
      </c>
      <c r="K17" s="3085" t="str">
        <f>IF(SUM(K18:K23)=0,"NO",SUM(K18:K23))</f>
        <v>NO</v>
      </c>
    </row>
    <row r="18" spans="2:11" ht="18" customHeight="1" x14ac:dyDescent="0.2">
      <c r="B18" s="282" t="s">
        <v>132</v>
      </c>
      <c r="C18" s="3109">
        <f>IF(SUM(C26,C33)=0,"NO",SUM(C26,C33))</f>
        <v>34002.44</v>
      </c>
      <c r="D18" s="3109" t="s">
        <v>1814</v>
      </c>
      <c r="E18" s="1913">
        <f t="shared" ref="E18" si="4">IFERROR(H18*1000/$C18,"NA")</f>
        <v>69.00037323792057</v>
      </c>
      <c r="F18" s="1913">
        <f t="shared" ref="F18:G23" si="5">IFERROR(I18*1000000/$C18,"NA")</f>
        <v>1.4229188370291184</v>
      </c>
      <c r="G18" s="1913">
        <f t="shared" si="5"/>
        <v>1.4862118018309161</v>
      </c>
      <c r="H18" s="3109">
        <f>IF(SUM(H26,H33)=0,"NO",SUM(H26,H33))</f>
        <v>2346.181051</v>
      </c>
      <c r="I18" s="3109">
        <f>IF(SUM(I26,I33)=0,"NO",SUM(I26,I33))</f>
        <v>4.8382712380952375E-2</v>
      </c>
      <c r="J18" s="3109">
        <f>IF(SUM(J26,J33)=0,"NO",SUM(J26,J33))</f>
        <v>5.0534827619047616E-2</v>
      </c>
      <c r="K18" s="3085" t="str">
        <f>IF(SUM(K26,K33)=0,"NO",SUM(K26,K33))</f>
        <v>NO</v>
      </c>
    </row>
    <row r="19" spans="2:11" ht="18" customHeight="1" x14ac:dyDescent="0.2">
      <c r="B19" s="282" t="s">
        <v>133</v>
      </c>
      <c r="C19" s="3109">
        <f t="shared" ref="C19:C21" si="6">IF(SUM(C27,C34)=0,"NO",SUM(C27,C34))</f>
        <v>1715.9599999999998</v>
      </c>
      <c r="D19" s="3109" t="s">
        <v>1814</v>
      </c>
      <c r="E19" s="1913">
        <f t="shared" ref="E19:E23" si="7">IFERROR(H19*1000/$C19,"NA")</f>
        <v>92.875037879670856</v>
      </c>
      <c r="F19" s="1913">
        <f t="shared" si="5"/>
        <v>0.95238095238095233</v>
      </c>
      <c r="G19" s="1913">
        <f t="shared" si="5"/>
        <v>0.66666666666666663</v>
      </c>
      <c r="H19" s="3109">
        <f t="shared" ref="H19:K21" si="8">IF(SUM(H27,H34)=0,"NO",SUM(H27,H34))</f>
        <v>159.36984999999999</v>
      </c>
      <c r="I19" s="3109">
        <f t="shared" si="8"/>
        <v>1.6342476190476189E-3</v>
      </c>
      <c r="J19" s="3109">
        <f t="shared" si="8"/>
        <v>1.1439733333333331E-3</v>
      </c>
      <c r="K19" s="3085" t="str">
        <f t="shared" si="8"/>
        <v>NO</v>
      </c>
    </row>
    <row r="20" spans="2:11" ht="18" customHeight="1" x14ac:dyDescent="0.2">
      <c r="B20" s="282" t="s">
        <v>134</v>
      </c>
      <c r="C20" s="3109">
        <f t="shared" si="6"/>
        <v>44072.130000000012</v>
      </c>
      <c r="D20" s="3109" t="s">
        <v>1814</v>
      </c>
      <c r="E20" s="1913">
        <f t="shared" si="7"/>
        <v>51.463437897286916</v>
      </c>
      <c r="F20" s="1913">
        <f t="shared" si="5"/>
        <v>0.90909090909090895</v>
      </c>
      <c r="G20" s="1913">
        <f t="shared" si="5"/>
        <v>0.90909090909090906</v>
      </c>
      <c r="H20" s="3109">
        <f t="shared" si="8"/>
        <v>2268.103325256156</v>
      </c>
      <c r="I20" s="3109">
        <f t="shared" si="8"/>
        <v>4.0065572727272729E-2</v>
      </c>
      <c r="J20" s="3109">
        <f t="shared" si="8"/>
        <v>4.0065572727272736E-2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997.91000000000008</v>
      </c>
      <c r="D23" s="3109" t="s">
        <v>1814</v>
      </c>
      <c r="E23" s="1913">
        <f t="shared" si="7"/>
        <v>64.421364479995248</v>
      </c>
      <c r="F23" s="1913">
        <f t="shared" si="5"/>
        <v>3.6299509915116537</v>
      </c>
      <c r="G23" s="1913">
        <f t="shared" si="5"/>
        <v>2.5316221509014447</v>
      </c>
      <c r="H23" s="3109">
        <f>IF(SUM(H31,H37)=0,"NO",SUM(H31,H37))</f>
        <v>64.28672382823207</v>
      </c>
      <c r="I23" s="3109">
        <f>IF(SUM(I31,I37)=0,"NO",SUM(I31,I37))</f>
        <v>3.6223643939393944E-3</v>
      </c>
      <c r="J23" s="3109">
        <f>IF(SUM(J31,J37)=0,"NO",SUM(J31,J37))</f>
        <v>2.5263310606060607E-3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80788.440000000017</v>
      </c>
      <c r="D25" s="3078" t="s">
        <v>1814</v>
      </c>
      <c r="E25" s="628"/>
      <c r="F25" s="628"/>
      <c r="G25" s="628"/>
      <c r="H25" s="3078">
        <f>IF(SUM(H26:H30)=0,"NO",SUM(H26:H30))</f>
        <v>4773.6542262561561</v>
      </c>
      <c r="I25" s="3078">
        <f>IF(SUM(I26:I31)=0,"NO",SUM(I26:I31))</f>
        <v>9.3704897121212119E-2</v>
      </c>
      <c r="J25" s="3110">
        <f>IF(SUM(J26:J31)=0,"NO",SUM(J26:J31))</f>
        <v>9.4270704740259739E-2</v>
      </c>
      <c r="K25" s="3085" t="str">
        <f>IF(SUM(K26:K31)=0,"NO",SUM(K26:K31))</f>
        <v>NO</v>
      </c>
    </row>
    <row r="26" spans="2:11" ht="18" customHeight="1" x14ac:dyDescent="0.2">
      <c r="B26" s="282" t="s">
        <v>132</v>
      </c>
      <c r="C26" s="691">
        <v>34002.44</v>
      </c>
      <c r="D26" s="3078" t="s">
        <v>1814</v>
      </c>
      <c r="E26" s="1913">
        <f t="shared" ref="E26:E31" si="9">IFERROR(H26*1000/$C26,"NA")</f>
        <v>69.00037323792057</v>
      </c>
      <c r="F26" s="1913">
        <f t="shared" ref="F26:G31" si="10">IFERROR(I26*1000000/$C26,"NA")</f>
        <v>1.4229188370291184</v>
      </c>
      <c r="G26" s="1913">
        <f t="shared" si="10"/>
        <v>1.4862118018309161</v>
      </c>
      <c r="H26" s="691">
        <v>2346.181051</v>
      </c>
      <c r="I26" s="691">
        <v>4.8382712380952375E-2</v>
      </c>
      <c r="J26" s="691">
        <v>5.0534827619047616E-2</v>
      </c>
      <c r="K26" s="2911" t="s">
        <v>2146</v>
      </c>
    </row>
    <row r="27" spans="2:11" ht="18" customHeight="1" x14ac:dyDescent="0.2">
      <c r="B27" s="282" t="s">
        <v>133</v>
      </c>
      <c r="C27" s="691">
        <v>1715.9599999999998</v>
      </c>
      <c r="D27" s="3078" t="s">
        <v>1814</v>
      </c>
      <c r="E27" s="1913">
        <f t="shared" si="9"/>
        <v>92.875037879670856</v>
      </c>
      <c r="F27" s="1913">
        <f t="shared" si="10"/>
        <v>0.95238095238095233</v>
      </c>
      <c r="G27" s="1913">
        <f t="shared" si="10"/>
        <v>0.66666666666666663</v>
      </c>
      <c r="H27" s="691">
        <v>159.36984999999999</v>
      </c>
      <c r="I27" s="691">
        <v>1.6342476190476189E-3</v>
      </c>
      <c r="J27" s="691">
        <v>1.1439733333333331E-3</v>
      </c>
      <c r="K27" s="2911" t="s">
        <v>2146</v>
      </c>
    </row>
    <row r="28" spans="2:11" ht="18" customHeight="1" x14ac:dyDescent="0.2">
      <c r="B28" s="282" t="s">
        <v>134</v>
      </c>
      <c r="C28" s="691">
        <v>44072.130000000012</v>
      </c>
      <c r="D28" s="3078" t="s">
        <v>1814</v>
      </c>
      <c r="E28" s="1913">
        <f t="shared" si="9"/>
        <v>51.463437897286916</v>
      </c>
      <c r="F28" s="1913">
        <f t="shared" si="10"/>
        <v>0.90909090909090895</v>
      </c>
      <c r="G28" s="1913">
        <f t="shared" si="10"/>
        <v>0.90909090909090906</v>
      </c>
      <c r="H28" s="691">
        <v>2268.103325256156</v>
      </c>
      <c r="I28" s="691">
        <v>4.0065572727272729E-2</v>
      </c>
      <c r="J28" s="691">
        <v>4.0065572727272736E-2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997.91000000000008</v>
      </c>
      <c r="D31" s="3078" t="s">
        <v>1814</v>
      </c>
      <c r="E31" s="1913">
        <f t="shared" si="9"/>
        <v>64.421364479995248</v>
      </c>
      <c r="F31" s="1913">
        <f t="shared" si="10"/>
        <v>3.6299509915116537</v>
      </c>
      <c r="G31" s="1913">
        <f t="shared" si="10"/>
        <v>2.5316221509014447</v>
      </c>
      <c r="H31" s="691">
        <v>64.28672382823207</v>
      </c>
      <c r="I31" s="691">
        <v>3.6223643939393944E-3</v>
      </c>
      <c r="J31" s="691">
        <v>2.5263310606060607E-3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218671.80655566748</v>
      </c>
      <c r="D38" s="3078" t="s">
        <v>1814</v>
      </c>
      <c r="E38" s="628"/>
      <c r="F38" s="628"/>
      <c r="G38" s="628"/>
      <c r="H38" s="1913">
        <f>IF(SUM(H39:H43)=0,"NO",SUM(H39:H43))</f>
        <v>8345.7182666611352</v>
      </c>
      <c r="I38" s="1913">
        <f>IF(SUM(I39:I44)=0,"NO",SUM(I39:I44))</f>
        <v>45.029570791153596</v>
      </c>
      <c r="J38" s="1913">
        <f>IF(SUM(J39:J44)=0,"NO",SUM(J39:J44))</f>
        <v>0.25080867795185402</v>
      </c>
      <c r="K38" s="3085" t="str">
        <f>IF(SUM(K39:K44)=0,"NO",SUM(K39:K44))</f>
        <v>NO</v>
      </c>
    </row>
    <row r="39" spans="2:11" ht="18" customHeight="1" x14ac:dyDescent="0.2">
      <c r="B39" s="282" t="s">
        <v>132</v>
      </c>
      <c r="C39" s="3109">
        <f>IF(SUM(C47,C54)=0,"NO",SUM(C47,C54))</f>
        <v>20412.368611823043</v>
      </c>
      <c r="D39" s="3078" t="s">
        <v>1814</v>
      </c>
      <c r="E39" s="1913">
        <f t="shared" ref="E39:E44" si="13">IFERROR(H39*1000/$C39,"NA")</f>
        <v>62.281973296185889</v>
      </c>
      <c r="F39" s="1913">
        <f t="shared" ref="F39:G44" si="14">IFERROR(I39*1000000/$C39,"NA")</f>
        <v>36.881724332481497</v>
      </c>
      <c r="G39" s="1913">
        <f t="shared" si="14"/>
        <v>0.57718514152492451</v>
      </c>
      <c r="H39" s="1913">
        <f>IF(SUM(H47,H54)=0,"NO",SUM(H47,H54))</f>
        <v>1271.3225967934659</v>
      </c>
      <c r="I39" s="1913">
        <f>IF(SUM(I47,I54)=0,"NO",SUM(I47,I54))</f>
        <v>0.75284335211425557</v>
      </c>
      <c r="J39" s="1913">
        <f>IF(SUM(J47,J54)=0,"NO",SUM(J47,J54))</f>
        <v>1.1781715866074009E-2</v>
      </c>
      <c r="K39" s="3085" t="str">
        <f>IF(SUM(K47,K54)=0,"NO",SUM(K47,K54))</f>
        <v>NO</v>
      </c>
    </row>
    <row r="40" spans="2:11" ht="18" customHeight="1" x14ac:dyDescent="0.2">
      <c r="B40" s="282" t="s">
        <v>133</v>
      </c>
      <c r="C40" s="3109">
        <f t="shared" ref="C40:C42" si="15">IF(SUM(C48,C55)=0,"NO",SUM(C48,C55))</f>
        <v>100.73</v>
      </c>
      <c r="D40" s="3078" t="s">
        <v>1814</v>
      </c>
      <c r="E40" s="1913">
        <f t="shared" si="13"/>
        <v>92.477911247890404</v>
      </c>
      <c r="F40" s="1913">
        <f t="shared" si="14"/>
        <v>0.95238095238095222</v>
      </c>
      <c r="G40" s="1913">
        <f t="shared" si="14"/>
        <v>0.66666666666666652</v>
      </c>
      <c r="H40" s="1913">
        <f t="shared" ref="H40:K42" si="16">IF(SUM(H48,H55)=0,"NO",SUM(H48,H55))</f>
        <v>9.3153000000000006</v>
      </c>
      <c r="I40" s="1913">
        <f t="shared" si="16"/>
        <v>9.5933333333333325E-5</v>
      </c>
      <c r="J40" s="1913">
        <f t="shared" si="16"/>
        <v>6.7153333333333319E-5</v>
      </c>
      <c r="K40" s="3085" t="str">
        <f t="shared" si="16"/>
        <v>NO</v>
      </c>
    </row>
    <row r="41" spans="2:11" ht="18" customHeight="1" x14ac:dyDescent="0.2">
      <c r="B41" s="282" t="s">
        <v>134</v>
      </c>
      <c r="C41" s="3109">
        <f t="shared" si="15"/>
        <v>137339.44999999998</v>
      </c>
      <c r="D41" s="3078" t="s">
        <v>1814</v>
      </c>
      <c r="E41" s="1913">
        <f t="shared" si="13"/>
        <v>51.442468787137784</v>
      </c>
      <c r="F41" s="1913">
        <f t="shared" si="14"/>
        <v>0.90909090909090906</v>
      </c>
      <c r="G41" s="1913">
        <f t="shared" si="14"/>
        <v>0.90909090909090906</v>
      </c>
      <c r="H41" s="1913">
        <f t="shared" si="16"/>
        <v>7065.0803698676691</v>
      </c>
      <c r="I41" s="1913">
        <f t="shared" si="16"/>
        <v>0.12485404545454544</v>
      </c>
      <c r="J41" s="1913">
        <f t="shared" si="16"/>
        <v>0.12485404545454544</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60819.257943844452</v>
      </c>
      <c r="D44" s="3078" t="s">
        <v>1814</v>
      </c>
      <c r="E44" s="1913">
        <f t="shared" si="13"/>
        <v>77.502281781945143</v>
      </c>
      <c r="F44" s="1913">
        <f t="shared" si="14"/>
        <v>725.95061092356002</v>
      </c>
      <c r="G44" s="1913">
        <f t="shared" si="14"/>
        <v>1.8761452729866781</v>
      </c>
      <c r="H44" s="1913">
        <f>IF(SUM(H52,H58)=0,"NO",SUM(H52,H58))</f>
        <v>4713.631266932638</v>
      </c>
      <c r="I44" s="1913">
        <f>IF(SUM(I52,I58)=0,"NO",SUM(I52,I58))</f>
        <v>44.151777460251459</v>
      </c>
      <c r="J44" s="1913">
        <f>IF(SUM(J52,J58)=0,"NO",SUM(J52,J58))</f>
        <v>0.11410576329790124</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214499.06</v>
      </c>
      <c r="D46" s="3078" t="s">
        <v>1814</v>
      </c>
      <c r="E46" s="628"/>
      <c r="F46" s="628"/>
      <c r="G46" s="628"/>
      <c r="H46" s="1913">
        <f>IF(SUM(H47:H51)=0,"NO",SUM(H47:H51))</f>
        <v>8065.0934118676687</v>
      </c>
      <c r="I46" s="1913">
        <f>IF(SUM(I47:I52)=0,"NO",SUM(I47:I52))</f>
        <v>44.282144915832539</v>
      </c>
      <c r="J46" s="1913">
        <f>IF(SUM(J47:J52)=0,"NO",SUM(J47:J52))</f>
        <v>0.24909720379512923</v>
      </c>
      <c r="K46" s="3085" t="str">
        <f>IF(SUM(K47:K52)=0,"NO",SUM(K47:K52))</f>
        <v>NO</v>
      </c>
    </row>
    <row r="47" spans="2:11" ht="18" customHeight="1" x14ac:dyDescent="0.2">
      <c r="B47" s="282" t="s">
        <v>132</v>
      </c>
      <c r="C47" s="691">
        <v>16254.68</v>
      </c>
      <c r="D47" s="3078" t="s">
        <v>1814</v>
      </c>
      <c r="E47" s="1913">
        <f t="shared" ref="E47:E52" si="17">IFERROR(H47*1000/$C47,"NA")</f>
        <v>60.948461735327925</v>
      </c>
      <c r="F47" s="1913">
        <f t="shared" ref="F47:G52" si="18">IFERROR(I47*1000000/$C47,"NA")</f>
        <v>1.0188053679368181</v>
      </c>
      <c r="G47" s="1913">
        <f t="shared" si="18"/>
        <v>0.62416063734084148</v>
      </c>
      <c r="H47" s="691">
        <v>990.69774200000006</v>
      </c>
      <c r="I47" s="691">
        <v>1.656035523809524E-2</v>
      </c>
      <c r="J47" s="691">
        <v>1.0145531428571431E-2</v>
      </c>
      <c r="K47" s="2911" t="s">
        <v>2146</v>
      </c>
    </row>
    <row r="48" spans="2:11" ht="18" customHeight="1" x14ac:dyDescent="0.2">
      <c r="B48" s="282" t="s">
        <v>133</v>
      </c>
      <c r="C48" s="691">
        <v>100.73</v>
      </c>
      <c r="D48" s="3078" t="s">
        <v>1814</v>
      </c>
      <c r="E48" s="1913">
        <f t="shared" si="17"/>
        <v>92.477911247890404</v>
      </c>
      <c r="F48" s="1913">
        <f t="shared" si="18"/>
        <v>0.95238095238095222</v>
      </c>
      <c r="G48" s="1913">
        <f t="shared" si="18"/>
        <v>0.66666666666666652</v>
      </c>
      <c r="H48" s="691">
        <v>9.3153000000000006</v>
      </c>
      <c r="I48" s="691">
        <v>9.5933333333333325E-5</v>
      </c>
      <c r="J48" s="691">
        <v>6.7153333333333319E-5</v>
      </c>
      <c r="K48" s="2911" t="s">
        <v>2146</v>
      </c>
    </row>
    <row r="49" spans="2:11" ht="18" customHeight="1" x14ac:dyDescent="0.2">
      <c r="B49" s="282" t="s">
        <v>134</v>
      </c>
      <c r="C49" s="691">
        <v>137339.44999999998</v>
      </c>
      <c r="D49" s="3078" t="s">
        <v>1814</v>
      </c>
      <c r="E49" s="1913">
        <f t="shared" si="17"/>
        <v>51.442468787137784</v>
      </c>
      <c r="F49" s="1913">
        <f t="shared" si="18"/>
        <v>0.90909090909090906</v>
      </c>
      <c r="G49" s="1913">
        <f t="shared" si="18"/>
        <v>0.90909090909090906</v>
      </c>
      <c r="H49" s="691">
        <v>7065.0803698676691</v>
      </c>
      <c r="I49" s="691">
        <v>0.12485404545454544</v>
      </c>
      <c r="J49" s="691">
        <v>0.12485404545454544</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60804.200000000004</v>
      </c>
      <c r="D52" s="3078" t="s">
        <v>1814</v>
      </c>
      <c r="E52" s="1913">
        <f t="shared" si="17"/>
        <v>77.504818246595789</v>
      </c>
      <c r="F52" s="1913">
        <f t="shared" si="18"/>
        <v>725.94713164232996</v>
      </c>
      <c r="G52" s="1913">
        <f t="shared" si="18"/>
        <v>1.8753716614753422</v>
      </c>
      <c r="H52" s="691">
        <v>4712.6184696296605</v>
      </c>
      <c r="I52" s="691">
        <v>44.140634581806566</v>
      </c>
      <c r="J52" s="691">
        <v>0.11403047357867901</v>
      </c>
      <c r="K52" s="2911" t="s">
        <v>2146</v>
      </c>
    </row>
    <row r="53" spans="2:11" ht="18" customHeight="1" x14ac:dyDescent="0.2">
      <c r="B53" s="1242" t="s">
        <v>205</v>
      </c>
      <c r="C53" s="3078">
        <f>IF(SUM(C54:C58)=0,"NO",SUM(C54:C58))</f>
        <v>4172.7465556674897</v>
      </c>
      <c r="D53" s="3078" t="s">
        <v>1814</v>
      </c>
      <c r="E53" s="628"/>
      <c r="F53" s="628"/>
      <c r="G53" s="628"/>
      <c r="H53" s="3078">
        <f>IF(SUM(H54:H57)=0,"NO",SUM(H54:H57))</f>
        <v>280.62485479346583</v>
      </c>
      <c r="I53" s="3078">
        <f>IF(SUM(I54:I58)=0,"NO",SUM(I54:I58))</f>
        <v>0.74742587532105009</v>
      </c>
      <c r="J53" s="3078">
        <f>IF(SUM(J54:J58)=0,"NO",SUM(J54:J58))</f>
        <v>1.7114741567248073E-3</v>
      </c>
      <c r="K53" s="2921"/>
    </row>
    <row r="54" spans="2:11" ht="18" customHeight="1" x14ac:dyDescent="0.2">
      <c r="B54" s="282" t="s">
        <v>132</v>
      </c>
      <c r="C54" s="691">
        <v>4157.6886118230441</v>
      </c>
      <c r="D54" s="3078" t="s">
        <v>1814</v>
      </c>
      <c r="E54" s="1913">
        <f t="shared" ref="E54:E58" si="19">IFERROR(H54*1000/$C54,"NA")</f>
        <v>67.495399726536689</v>
      </c>
      <c r="F54" s="1913">
        <f t="shared" ref="F54:G58" si="20">IFERROR(I54*1000000/$C54,"NA")</f>
        <v>177.08949986836996</v>
      </c>
      <c r="G54" s="1913">
        <f t="shared" si="20"/>
        <v>0.3935322219297111</v>
      </c>
      <c r="H54" s="691">
        <v>280.62485479346583</v>
      </c>
      <c r="I54" s="691">
        <v>0.73628299687616028</v>
      </c>
      <c r="J54" s="691">
        <v>1.6361844375025786E-3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15.0579438444458</v>
      </c>
      <c r="D58" s="3078" t="s">
        <v>1814</v>
      </c>
      <c r="E58" s="1913">
        <f t="shared" si="19"/>
        <v>67.259999999999849</v>
      </c>
      <c r="F58" s="1913">
        <f t="shared" si="20"/>
        <v>739.99999999999829</v>
      </c>
      <c r="G58" s="1913">
        <f t="shared" si="20"/>
        <v>4.9999999999999885</v>
      </c>
      <c r="H58" s="691">
        <v>1.0127973029774222</v>
      </c>
      <c r="I58" s="691">
        <v>1.1142878444889866E-2</v>
      </c>
      <c r="J58" s="691">
        <v>7.5289719222228828E-5</v>
      </c>
      <c r="K58" s="2921"/>
    </row>
    <row r="59" spans="2:11" ht="18" customHeight="1" x14ac:dyDescent="0.2">
      <c r="B59" s="1245" t="s">
        <v>206</v>
      </c>
      <c r="C59" s="3078">
        <f>IF(SUM(C60:C65)=0,"NO",SUM(C60:C65))</f>
        <v>85847.200000000012</v>
      </c>
      <c r="D59" s="3078" t="s">
        <v>1814</v>
      </c>
      <c r="E59" s="628"/>
      <c r="F59" s="628"/>
      <c r="G59" s="628"/>
      <c r="H59" s="1913">
        <f>IF(SUM(H60:H64)=0,"NO",SUM(H60:H64))</f>
        <v>5971.0019851482521</v>
      </c>
      <c r="I59" s="1913">
        <f>IF(SUM(I60:I65)=0,"NO",SUM(I60:I65))</f>
        <v>0.5237073506493507</v>
      </c>
      <c r="J59" s="1913">
        <f>IF(SUM(J60:J65)=0,"NO",SUM(J60:J65))</f>
        <v>0.31000980779220783</v>
      </c>
      <c r="K59" s="3085" t="str">
        <f>IF(SUM(K60:K65)=0,"NO",SUM(K60:K65))</f>
        <v>NO</v>
      </c>
    </row>
    <row r="60" spans="2:11" ht="18" customHeight="1" x14ac:dyDescent="0.2">
      <c r="B60" s="282" t="s">
        <v>132</v>
      </c>
      <c r="C60" s="1913">
        <f>IF(SUM(C67,C74:C77,C84:C87)=0,"NO",SUM(C67,C74:C77,C84:C87))</f>
        <v>85748.6</v>
      </c>
      <c r="D60" s="3078" t="s">
        <v>1814</v>
      </c>
      <c r="E60" s="1913">
        <f t="shared" ref="E60:E65" si="21">IFERROR(H60*1000/$C60,"NA")</f>
        <v>69.574695913402664</v>
      </c>
      <c r="F60" s="1913">
        <f t="shared" ref="F60:G65" si="22">IFERROR(I60*1000000/$C60,"NA")</f>
        <v>6.1064287263665449</v>
      </c>
      <c r="G60" s="1913">
        <f t="shared" si="22"/>
        <v>3.6142884132052471</v>
      </c>
      <c r="H60" s="1913">
        <f>IF(SUM(H67,H74:H77,H84:H87)=0,"NO",SUM(H67,H74:H77,H84:H87))</f>
        <v>5965.9327700000003</v>
      </c>
      <c r="I60" s="1913">
        <f>IF(SUM(I67,I74:I77,I84:I87)=0,"NO",SUM(I67,I74:I77,I84:I87))</f>
        <v>0.52361771428571435</v>
      </c>
      <c r="J60" s="1913">
        <f>IF(SUM(J67,J74:J77,J84:J87)=0,"NO",SUM(J67,J74:J77,J84:J87))</f>
        <v>0.30992017142857148</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98.6</v>
      </c>
      <c r="D62" s="3078" t="s">
        <v>1814</v>
      </c>
      <c r="E62" s="1913">
        <f t="shared" si="21"/>
        <v>51.411918339264993</v>
      </c>
      <c r="F62" s="1913">
        <f t="shared" si="22"/>
        <v>0.90909090909090906</v>
      </c>
      <c r="G62" s="1913">
        <f t="shared" si="22"/>
        <v>0.90909090909090906</v>
      </c>
      <c r="H62" s="1913">
        <f>IF(SUM(H69,H79,H89)=0,"NO",SUM(H69,H79,H89))</f>
        <v>5.0692151482515282</v>
      </c>
      <c r="I62" s="1913">
        <f>IF(SUM(I69,I79,I89)=0,"NO",SUM(I69,I79,I89))</f>
        <v>8.9636363636363622E-5</v>
      </c>
      <c r="J62" s="1913">
        <f>IF(SUM(J69,J79,J89)=0,"NO",SUM(J69,J79,J89))</f>
        <v>8.9636363636363622E-5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85847.200000000012</v>
      </c>
      <c r="D66" s="3078" t="s">
        <v>1814</v>
      </c>
      <c r="E66" s="2108"/>
      <c r="F66" s="2108"/>
      <c r="G66" s="2108"/>
      <c r="H66" s="1913">
        <f>IF(SUM(H67:H71)=0,"NO",SUM(H67:H71))</f>
        <v>5971.0019851482521</v>
      </c>
      <c r="I66" s="1913">
        <f>IF(SUM(I67:I72)=0,"NO",SUM(I67:I72))</f>
        <v>0.5237073506493507</v>
      </c>
      <c r="J66" s="1913">
        <f>IF(SUM(J67:J72)=0,"NO",SUM(J67:J72))</f>
        <v>0.31000980779220783</v>
      </c>
      <c r="K66" s="3085" t="str">
        <f>IF(SUM(K67:K72)=0,"NO",SUM(K67:K72))</f>
        <v>NO</v>
      </c>
    </row>
    <row r="67" spans="2:11" ht="18" customHeight="1" x14ac:dyDescent="0.2">
      <c r="B67" s="282" t="s">
        <v>132</v>
      </c>
      <c r="C67" s="691">
        <v>85748.6</v>
      </c>
      <c r="D67" s="3078" t="s">
        <v>1814</v>
      </c>
      <c r="E67" s="1913">
        <f t="shared" ref="E67:E72" si="23">IFERROR(H67*1000/$C67,"NA")</f>
        <v>69.574695913402664</v>
      </c>
      <c r="F67" s="1913">
        <f t="shared" ref="F67:G72" si="24">IFERROR(I67*1000000/$C67,"NA")</f>
        <v>6.1064287263665449</v>
      </c>
      <c r="G67" s="1913">
        <f t="shared" si="24"/>
        <v>3.6142884132052471</v>
      </c>
      <c r="H67" s="691">
        <v>5965.9327700000003</v>
      </c>
      <c r="I67" s="691">
        <v>0.52361771428571435</v>
      </c>
      <c r="J67" s="691">
        <v>0.30992017142857148</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98.6</v>
      </c>
      <c r="D69" s="3078" t="s">
        <v>1814</v>
      </c>
      <c r="E69" s="1913">
        <f t="shared" si="23"/>
        <v>51.411918339264993</v>
      </c>
      <c r="F69" s="1913">
        <f t="shared" si="24"/>
        <v>0.90909090909090906</v>
      </c>
      <c r="G69" s="1913">
        <f t="shared" si="24"/>
        <v>0.90909090909090906</v>
      </c>
      <c r="H69" s="691">
        <v>5.0692151482515282</v>
      </c>
      <c r="I69" s="691">
        <v>8.9636363636363622E-5</v>
      </c>
      <c r="J69" s="691">
        <v>8.9636363636363622E-5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12043.263086808616</v>
      </c>
      <c r="D93" s="3078" t="s">
        <v>1814</v>
      </c>
      <c r="E93" s="2134"/>
      <c r="F93" s="2134"/>
      <c r="G93" s="2134"/>
      <c r="H93" s="3109">
        <f>IF(SUM(H94:H98)=0,"NO",SUM(H94:H98))</f>
        <v>838.75547302757877</v>
      </c>
      <c r="I93" s="3109">
        <f>IF(SUM(I94:I99)=0,"NO",SUM(I94:I99))</f>
        <v>3.3205747447811136E-2</v>
      </c>
      <c r="J93" s="3113">
        <f>IF(SUM(J94:J99)=0,"NO",SUM(J94:J99))</f>
        <v>2.3521037099963411E-2</v>
      </c>
      <c r="K93" s="449" t="str">
        <f>IF(SUM(K94:K99)=0,"NO",SUM(K94:K99))</f>
        <v>NO</v>
      </c>
    </row>
    <row r="94" spans="2:11" ht="18" customHeight="1" x14ac:dyDescent="0.2">
      <c r="B94" s="282" t="s">
        <v>132</v>
      </c>
      <c r="C94" s="691">
        <f>IF(SUM(C102,C110)=0,"NO",SUM(C102,C110))</f>
        <v>12042.689735880254</v>
      </c>
      <c r="D94" s="1913" t="s">
        <v>1814</v>
      </c>
      <c r="E94" s="1913">
        <f t="shared" ref="E94:E99" si="32">IFERROR(H94*1000/$C94,"NA")</f>
        <v>69.648516354994371</v>
      </c>
      <c r="F94" s="1913">
        <f t="shared" ref="F94:G99" si="33">IFERROR(I94*1000000/$C94,"NA")</f>
        <v>2.7195818276411745</v>
      </c>
      <c r="G94" s="1913">
        <f t="shared" si="33"/>
        <v>1.9529953492951293</v>
      </c>
      <c r="H94" s="691">
        <f t="shared" ref="H94:K97" si="34">IF(SUM(H102,H110)=0,"NO",SUM(H102,H110))</f>
        <v>838.75547302757877</v>
      </c>
      <c r="I94" s="691">
        <f t="shared" si="34"/>
        <v>3.2751080161620837E-2</v>
      </c>
      <c r="J94" s="691">
        <f t="shared" si="34"/>
        <v>2.3519317047178329E-2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0.57335092836102908</v>
      </c>
      <c r="D99" s="1913" t="s">
        <v>1814</v>
      </c>
      <c r="E99" s="1913">
        <f t="shared" si="32"/>
        <v>67.260000000000019</v>
      </c>
      <c r="F99" s="1913">
        <f t="shared" si="33"/>
        <v>793.00000000000023</v>
      </c>
      <c r="G99" s="1913">
        <f t="shared" si="33"/>
        <v>3.0000000000000013</v>
      </c>
      <c r="H99" s="691">
        <f>IF(SUM(H107,H114)=0,"NO",SUM(H107,H114))</f>
        <v>3.8563583441562826E-2</v>
      </c>
      <c r="I99" s="691">
        <f>IF(SUM(I107,I114)=0,"NO",SUM(I107,I114))</f>
        <v>4.546672861902962E-4</v>
      </c>
      <c r="J99" s="691">
        <f>IF(SUM(J107,J114)=0,"NO",SUM(J107,J114))</f>
        <v>1.720052785083088E-6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12043.263086808616</v>
      </c>
      <c r="D108" s="1913" t="s">
        <v>1814</v>
      </c>
      <c r="E108" s="1931"/>
      <c r="F108" s="1931"/>
      <c r="G108" s="1931"/>
      <c r="H108" s="3078">
        <f>H109</f>
        <v>838.75547302757877</v>
      </c>
      <c r="I108" s="3078">
        <f>I109</f>
        <v>3.3205747447811136E-2</v>
      </c>
      <c r="J108" s="3110">
        <f>J109</f>
        <v>2.3521037099963411E-2</v>
      </c>
      <c r="K108" s="2921"/>
    </row>
    <row r="109" spans="2:11" ht="18" customHeight="1" x14ac:dyDescent="0.2">
      <c r="B109" s="3125" t="s">
        <v>2149</v>
      </c>
      <c r="C109" s="3099">
        <f>IF(SUM(C110:C114)=0,"NO",SUM(C110:C114))</f>
        <v>12043.263086808616</v>
      </c>
      <c r="D109" s="1913" t="s">
        <v>1814</v>
      </c>
      <c r="E109" s="628"/>
      <c r="F109" s="628"/>
      <c r="G109" s="628"/>
      <c r="H109" s="3099">
        <f>IF(SUM(H110:H113)=0,"NO",SUM(H110:H113))</f>
        <v>838.75547302757877</v>
      </c>
      <c r="I109" s="3099">
        <f>IF(SUM(I110:I114)=0,"NO",SUM(I110:I114))</f>
        <v>3.3205747447811136E-2</v>
      </c>
      <c r="J109" s="3099">
        <f>IF(SUM(J110:J114)=0,"NO",SUM(J110:J114))</f>
        <v>2.3521037099963411E-2</v>
      </c>
      <c r="K109" s="2921"/>
    </row>
    <row r="110" spans="2:11" ht="18" customHeight="1" x14ac:dyDescent="0.2">
      <c r="B110" s="282" t="s">
        <v>132</v>
      </c>
      <c r="C110" s="691">
        <v>12042.689735880254</v>
      </c>
      <c r="D110" s="1913" t="s">
        <v>1814</v>
      </c>
      <c r="E110" s="1913">
        <f t="shared" ref="E110:E114" si="37">IFERROR(H110*1000/$C110,"NA")</f>
        <v>69.648516354994371</v>
      </c>
      <c r="F110" s="1913">
        <f t="shared" ref="F110:G114" si="38">IFERROR(I110*1000000/$C110,"NA")</f>
        <v>2.7195818276411745</v>
      </c>
      <c r="G110" s="1913">
        <f t="shared" si="38"/>
        <v>1.9529953492951293</v>
      </c>
      <c r="H110" s="691">
        <v>838.75547302757877</v>
      </c>
      <c r="I110" s="691">
        <v>3.2751080161620837E-2</v>
      </c>
      <c r="J110" s="691">
        <v>2.3519317047178329E-2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0.57335092836102908</v>
      </c>
      <c r="D114" s="2880" t="s">
        <v>1814</v>
      </c>
      <c r="E114" s="2880">
        <f t="shared" si="37"/>
        <v>67.260000000000019</v>
      </c>
      <c r="F114" s="2880">
        <f t="shared" si="38"/>
        <v>793.00000000000023</v>
      </c>
      <c r="G114" s="2880">
        <f t="shared" si="38"/>
        <v>3.0000000000000013</v>
      </c>
      <c r="H114" s="1559">
        <v>3.8563583441562826E-2</v>
      </c>
      <c r="I114" s="1559">
        <v>4.546672861902962E-4</v>
      </c>
      <c r="J114" s="1559">
        <v>1.720052785083088E-6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947562.04303899989</v>
      </c>
      <c r="G11" s="3361">
        <v>1014846.571107</v>
      </c>
      <c r="H11" s="3361">
        <v>591076.66906999995</v>
      </c>
      <c r="I11" s="3381"/>
      <c r="J11" s="3361">
        <v>-4376.8571892000064</v>
      </c>
      <c r="K11" s="3369">
        <f t="shared" ref="K11:K28" si="0">IF((SUM(F11:G11)-SUM(H11:J11))=0,"NO",(SUM(F11:G11)-SUM(H11:J11)))</f>
        <v>1375708.8022651998</v>
      </c>
      <c r="L11" s="2577">
        <f>IF(K11="NO","NA",1)</f>
        <v>1</v>
      </c>
      <c r="M11" s="5" t="s">
        <v>1814</v>
      </c>
      <c r="N11" s="3369">
        <f>K11</f>
        <v>1375708.8022651998</v>
      </c>
      <c r="O11" s="3342">
        <v>18.980716253443529</v>
      </c>
      <c r="P11" s="3369">
        <f>IFERROR(N11*O11/1000,"NA")</f>
        <v>26111.938423160409</v>
      </c>
      <c r="Q11" s="3369" t="str">
        <f>'Table1.A(d)'!G11</f>
        <v>NA</v>
      </c>
      <c r="R11" s="3369">
        <f>IF(SUM(P11,-SUM(Q11))=0,"NO",SUM(P11,-SUM(Q11)))</f>
        <v>26111.938423160409</v>
      </c>
      <c r="S11" s="2577">
        <f>IF(R11="NO","NA",1)</f>
        <v>1</v>
      </c>
      <c r="T11" s="3375">
        <f>IF(R11="NO","NO",R11*S11*44/12)</f>
        <v>95743.774218254839</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130513.78</v>
      </c>
      <c r="G13" s="3361" t="s">
        <v>2146</v>
      </c>
      <c r="H13" s="3361" t="s">
        <v>2146</v>
      </c>
      <c r="I13" s="3381"/>
      <c r="J13" s="3361" t="s">
        <v>2146</v>
      </c>
      <c r="K13" s="3369">
        <f t="shared" si="0"/>
        <v>130513.78</v>
      </c>
      <c r="L13" s="2577">
        <f t="shared" si="1"/>
        <v>1</v>
      </c>
      <c r="M13" s="5" t="s">
        <v>1814</v>
      </c>
      <c r="N13" s="3369">
        <f t="shared" si="2"/>
        <v>130513.78</v>
      </c>
      <c r="O13" s="3342">
        <v>16.216566794012799</v>
      </c>
      <c r="P13" s="3369">
        <f t="shared" si="3"/>
        <v>2116.4854309090915</v>
      </c>
      <c r="Q13" s="3369" t="str">
        <f>'Table1.A(d)'!G13</f>
        <v>NA</v>
      </c>
      <c r="R13" s="3369">
        <f>IF(SUM(P13,-SUM(Q13))=0,"NO",SUM(P13,-SUM(Q13)))</f>
        <v>2116.4854309090915</v>
      </c>
      <c r="S13" s="2577">
        <f t="shared" si="4"/>
        <v>1</v>
      </c>
      <c r="T13" s="3375">
        <f t="shared" si="5"/>
        <v>7760.4465800000025</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120831.720579</v>
      </c>
      <c r="H15" s="3361">
        <v>24655.200000000004</v>
      </c>
      <c r="I15" s="3361" t="s">
        <v>2146</v>
      </c>
      <c r="J15" s="3361">
        <v>-2356.5646287999971</v>
      </c>
      <c r="K15" s="3369">
        <f t="shared" si="0"/>
        <v>98533.085207800003</v>
      </c>
      <c r="L15" s="2577">
        <f>IF(K15="NO","NA",1)</f>
        <v>1</v>
      </c>
      <c r="M15" s="5" t="s">
        <v>1814</v>
      </c>
      <c r="N15" s="3369">
        <f t="shared" si="2"/>
        <v>98533.085207800003</v>
      </c>
      <c r="O15" s="3342">
        <v>18.385669490940298</v>
      </c>
      <c r="P15" s="3369">
        <f t="shared" si="3"/>
        <v>1811.5967385532692</v>
      </c>
      <c r="Q15" s="3369" t="str">
        <f>'Table1.A(d)'!G15</f>
        <v>NA</v>
      </c>
      <c r="R15" s="3369">
        <f>IF(SUM(P15,-SUM(Q15))=0,"NO",SUM(P15,-SUM(Q15)))</f>
        <v>1811.5967385532692</v>
      </c>
      <c r="S15" s="2577">
        <f>IF(R15="NO","NA",1)</f>
        <v>1</v>
      </c>
      <c r="T15" s="3375">
        <f>IF(R15="NO","NO",R15*S15*44/12)</f>
        <v>6642.5213746953204</v>
      </c>
    </row>
    <row r="16" spans="2:20" ht="18" customHeight="1" x14ac:dyDescent="0.2">
      <c r="B16" s="1727"/>
      <c r="C16" s="1567"/>
      <c r="D16" s="36" t="s">
        <v>178</v>
      </c>
      <c r="E16" s="2575" t="s">
        <v>2150</v>
      </c>
      <c r="F16" s="3382"/>
      <c r="G16" s="3361">
        <v>67915.205993600001</v>
      </c>
      <c r="H16" s="3361">
        <v>5483.2</v>
      </c>
      <c r="I16" s="3361">
        <v>133212.872</v>
      </c>
      <c r="J16" s="3361">
        <v>-1671.2477280000001</v>
      </c>
      <c r="K16" s="3369">
        <f t="shared" si="0"/>
        <v>-69109.618278400027</v>
      </c>
      <c r="L16" s="2577">
        <f t="shared" ref="L16:L28" si="6">IF(K16="NO","NA",1)</f>
        <v>1</v>
      </c>
      <c r="M16" s="5" t="s">
        <v>1814</v>
      </c>
      <c r="N16" s="3369">
        <f t="shared" si="2"/>
        <v>-69109.618278400027</v>
      </c>
      <c r="O16" s="3342">
        <v>18.981818181818181</v>
      </c>
      <c r="P16" s="3369">
        <f t="shared" si="3"/>
        <v>-1311.8262087754476</v>
      </c>
      <c r="Q16" s="3369" t="str">
        <f>'Table1.A(d)'!G16</f>
        <v>NA</v>
      </c>
      <c r="R16" s="3369">
        <f t="shared" ref="R16:R44" si="7">IF(SUM(P16,-SUM(Q16))=0,"NO",SUM(P16,-SUM(Q16)))</f>
        <v>-1311.8262087754476</v>
      </c>
      <c r="S16" s="2577">
        <f t="shared" ref="S16:S28" si="8">IF(R16="NO","NA",1)</f>
        <v>1</v>
      </c>
      <c r="T16" s="3375">
        <f t="shared" ref="T16:T28" si="9">IF(R16="NO","NO",R16*S16*44/12)</f>
        <v>-4810.0294321766414</v>
      </c>
    </row>
    <row r="17" spans="2:20" ht="18" customHeight="1" x14ac:dyDescent="0.2">
      <c r="B17" s="1727"/>
      <c r="C17" s="1567"/>
      <c r="D17" s="36" t="s">
        <v>247</v>
      </c>
      <c r="E17" s="2575" t="s">
        <v>2150</v>
      </c>
      <c r="F17" s="3381"/>
      <c r="G17" s="3361" t="s">
        <v>2146</v>
      </c>
      <c r="H17" s="3361" t="s">
        <v>2146</v>
      </c>
      <c r="I17" s="3361" t="s">
        <v>2146</v>
      </c>
      <c r="J17" s="3361">
        <v>-99.288288000000023</v>
      </c>
      <c r="K17" s="3369">
        <f t="shared" si="0"/>
        <v>99.288288000000023</v>
      </c>
      <c r="L17" s="2577">
        <f t="shared" si="6"/>
        <v>1</v>
      </c>
      <c r="M17" s="5" t="s">
        <v>1814</v>
      </c>
      <c r="N17" s="3369">
        <f t="shared" si="2"/>
        <v>99.288288000000023</v>
      </c>
      <c r="O17" s="3342">
        <v>18.790909090909089</v>
      </c>
      <c r="P17" s="3369">
        <f t="shared" si="3"/>
        <v>1.8657171936000001</v>
      </c>
      <c r="Q17" s="3369" t="str">
        <f>'Table1.A(d)'!G17</f>
        <v>NA</v>
      </c>
      <c r="R17" s="3369">
        <f t="shared" si="7"/>
        <v>1.8657171936000001</v>
      </c>
      <c r="S17" s="2577">
        <f t="shared" si="8"/>
        <v>1</v>
      </c>
      <c r="T17" s="3375">
        <f t="shared" si="9"/>
        <v>6.8409630432000013</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288334.79237640003</v>
      </c>
      <c r="H19" s="3361">
        <v>17833.2</v>
      </c>
      <c r="I19" s="3361">
        <v>3104.45</v>
      </c>
      <c r="J19" s="3361">
        <v>3092.4090528000029</v>
      </c>
      <c r="K19" s="3369">
        <f t="shared" si="0"/>
        <v>264304.73332360003</v>
      </c>
      <c r="L19" s="2577">
        <f t="shared" si="6"/>
        <v>1</v>
      </c>
      <c r="M19" s="5" t="s">
        <v>1814</v>
      </c>
      <c r="N19" s="3369">
        <f t="shared" si="2"/>
        <v>264304.73332360003</v>
      </c>
      <c r="O19" s="3342">
        <v>19.06363636363637</v>
      </c>
      <c r="P19" s="3369">
        <f t="shared" si="3"/>
        <v>5038.6093252689952</v>
      </c>
      <c r="Q19" s="3369" t="str">
        <f>'Table1.A(d)'!G19</f>
        <v>NA</v>
      </c>
      <c r="R19" s="3369">
        <f t="shared" si="7"/>
        <v>5038.6093252689952</v>
      </c>
      <c r="S19" s="2577">
        <f t="shared" si="8"/>
        <v>1</v>
      </c>
      <c r="T19" s="3375">
        <f t="shared" si="9"/>
        <v>18474.900859319649</v>
      </c>
    </row>
    <row r="20" spans="2:20" ht="18" customHeight="1" x14ac:dyDescent="0.2">
      <c r="B20" s="1727"/>
      <c r="C20" s="1567"/>
      <c r="D20" s="36" t="s">
        <v>190</v>
      </c>
      <c r="E20" s="2575" t="s">
        <v>2150</v>
      </c>
      <c r="F20" s="3381"/>
      <c r="G20" s="3361">
        <v>64507.178254700011</v>
      </c>
      <c r="H20" s="3361">
        <v>10202.9</v>
      </c>
      <c r="I20" s="3361">
        <v>36966.002399999998</v>
      </c>
      <c r="J20" s="3361">
        <v>-213.15</v>
      </c>
      <c r="K20" s="3369">
        <f t="shared" si="0"/>
        <v>17551.425854700014</v>
      </c>
      <c r="L20" s="2577">
        <f t="shared" si="6"/>
        <v>1</v>
      </c>
      <c r="M20" s="5" t="s">
        <v>1814</v>
      </c>
      <c r="N20" s="3369">
        <f t="shared" si="2"/>
        <v>17551.425854700014</v>
      </c>
      <c r="O20" s="3342">
        <v>20.072727272727271</v>
      </c>
      <c r="P20" s="3369">
        <f t="shared" si="3"/>
        <v>352.30498442888751</v>
      </c>
      <c r="Q20" s="3369" t="str">
        <f>'Table1.A(d)'!G20</f>
        <v>NA</v>
      </c>
      <c r="R20" s="3369">
        <f t="shared" si="7"/>
        <v>352.30498442888751</v>
      </c>
      <c r="S20" s="2577">
        <f t="shared" si="8"/>
        <v>1</v>
      </c>
      <c r="T20" s="3375">
        <f t="shared" si="9"/>
        <v>1291.7849429059208</v>
      </c>
    </row>
    <row r="21" spans="2:20" ht="18" customHeight="1" x14ac:dyDescent="0.2">
      <c r="B21" s="1727"/>
      <c r="C21" s="1567"/>
      <c r="D21" s="36" t="s">
        <v>169</v>
      </c>
      <c r="E21" s="2575" t="s">
        <v>2150</v>
      </c>
      <c r="F21" s="3381"/>
      <c r="G21" s="3361">
        <v>24795.3568132</v>
      </c>
      <c r="H21" s="3361">
        <v>68089.787363700001</v>
      </c>
      <c r="I21" s="3381"/>
      <c r="J21" s="3361">
        <v>776.18717599999968</v>
      </c>
      <c r="K21" s="3369">
        <f t="shared" si="0"/>
        <v>-44070.617726500008</v>
      </c>
      <c r="L21" s="2577">
        <f t="shared" si="6"/>
        <v>1</v>
      </c>
      <c r="M21" s="5" t="s">
        <v>1814</v>
      </c>
      <c r="N21" s="3369">
        <f t="shared" si="2"/>
        <v>-44070.617726500008</v>
      </c>
      <c r="O21" s="3342">
        <v>16.418181818181822</v>
      </c>
      <c r="P21" s="3369">
        <f t="shared" si="3"/>
        <v>-723.55941467326386</v>
      </c>
      <c r="Q21" s="3369" t="str">
        <f>'Table1.A(d)'!G21</f>
        <v>NA</v>
      </c>
      <c r="R21" s="3369">
        <f t="shared" si="7"/>
        <v>-723.55941467326386</v>
      </c>
      <c r="S21" s="2577">
        <f t="shared" si="8"/>
        <v>1</v>
      </c>
      <c r="T21" s="3375">
        <f t="shared" si="9"/>
        <v>-2653.0511871353006</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312.19288215438456</v>
      </c>
      <c r="R22" s="3369">
        <f t="shared" si="7"/>
        <v>-312.19288215438456</v>
      </c>
      <c r="S22" s="2577">
        <f t="shared" si="8"/>
        <v>1</v>
      </c>
      <c r="T22" s="3375">
        <f t="shared" si="9"/>
        <v>-1144.7072345660767</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17953.116134400003</v>
      </c>
      <c r="H24" s="3361" t="s">
        <v>2146</v>
      </c>
      <c r="I24" s="3381"/>
      <c r="J24" s="3361">
        <v>-567.08725639999989</v>
      </c>
      <c r="K24" s="3369">
        <f t="shared" si="0"/>
        <v>18520.203390800001</v>
      </c>
      <c r="L24" s="2577">
        <f t="shared" si="6"/>
        <v>1</v>
      </c>
      <c r="M24" s="5" t="s">
        <v>1814</v>
      </c>
      <c r="N24" s="3369">
        <f t="shared" si="2"/>
        <v>18520.203390800001</v>
      </c>
      <c r="O24" s="3342">
        <v>22.009090909090911</v>
      </c>
      <c r="P24" s="3369">
        <f t="shared" si="3"/>
        <v>407.61284008297099</v>
      </c>
      <c r="Q24" s="3369">
        <f>'Table1.A(d)'!G24</f>
        <v>760.11916909090917</v>
      </c>
      <c r="R24" s="3369">
        <f t="shared" si="7"/>
        <v>-352.50632900793818</v>
      </c>
      <c r="S24" s="2577">
        <f t="shared" si="8"/>
        <v>1</v>
      </c>
      <c r="T24" s="3375">
        <f t="shared" si="9"/>
        <v>-1292.5232063624401</v>
      </c>
    </row>
    <row r="25" spans="2:20" ht="18" customHeight="1" x14ac:dyDescent="0.2">
      <c r="B25" s="1727"/>
      <c r="C25" s="1567"/>
      <c r="D25" s="36" t="s">
        <v>252</v>
      </c>
      <c r="E25" s="2575" t="s">
        <v>2150</v>
      </c>
      <c r="F25" s="3381"/>
      <c r="G25" s="3361">
        <v>15373.524994799998</v>
      </c>
      <c r="H25" s="3361">
        <v>6906.3999999999987</v>
      </c>
      <c r="I25" s="3361" t="s">
        <v>2146</v>
      </c>
      <c r="J25" s="3361">
        <v>-563.59539460000008</v>
      </c>
      <c r="K25" s="3369">
        <f t="shared" si="0"/>
        <v>9030.7203893999995</v>
      </c>
      <c r="L25" s="2577">
        <f t="shared" si="6"/>
        <v>1</v>
      </c>
      <c r="M25" s="5" t="s">
        <v>1814</v>
      </c>
      <c r="N25" s="3369">
        <f t="shared" si="2"/>
        <v>9030.7203893999995</v>
      </c>
      <c r="O25" s="3342">
        <v>18.991363636363641</v>
      </c>
      <c r="P25" s="3369">
        <f t="shared" si="3"/>
        <v>171.50569481341884</v>
      </c>
      <c r="Q25" s="3369">
        <f>'Table1.A(d)'!G25</f>
        <v>320.20958400000001</v>
      </c>
      <c r="R25" s="3369">
        <f t="shared" si="7"/>
        <v>-148.70388918658116</v>
      </c>
      <c r="S25" s="2577">
        <f t="shared" si="8"/>
        <v>1</v>
      </c>
      <c r="T25" s="3375">
        <f t="shared" si="9"/>
        <v>-545.24759368413095</v>
      </c>
    </row>
    <row r="26" spans="2:20" ht="18" customHeight="1" x14ac:dyDescent="0.2">
      <c r="B26" s="1727"/>
      <c r="C26" s="1567"/>
      <c r="D26" s="36" t="s">
        <v>253</v>
      </c>
      <c r="E26" s="2575" t="s">
        <v>2150</v>
      </c>
      <c r="F26" s="3381"/>
      <c r="G26" s="3361">
        <v>16343.741144313246</v>
      </c>
      <c r="H26" s="3361" t="s">
        <v>2146</v>
      </c>
      <c r="I26" s="3381"/>
      <c r="J26" s="3361" t="s">
        <v>2146</v>
      </c>
      <c r="K26" s="3369">
        <f t="shared" si="0"/>
        <v>16343.741144313246</v>
      </c>
      <c r="L26" s="2577">
        <f t="shared" si="6"/>
        <v>1</v>
      </c>
      <c r="M26" s="5" t="s">
        <v>1814</v>
      </c>
      <c r="N26" s="3369">
        <f t="shared" si="2"/>
        <v>16343.741144313246</v>
      </c>
      <c r="O26" s="3342">
        <v>25.26136363636364</v>
      </c>
      <c r="P26" s="3369">
        <f t="shared" si="3"/>
        <v>412.86518822509493</v>
      </c>
      <c r="Q26" s="3369">
        <f>'Table1.A(d)'!G26</f>
        <v>412.86518822509481</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19804.114399999999</v>
      </c>
      <c r="H28" s="3361">
        <v>3085.9207999999999</v>
      </c>
      <c r="I28" s="3381"/>
      <c r="J28" s="3361">
        <v>-3352.1769571999985</v>
      </c>
      <c r="K28" s="3369">
        <f t="shared" si="0"/>
        <v>20070.370557199996</v>
      </c>
      <c r="L28" s="2577">
        <f t="shared" si="6"/>
        <v>1</v>
      </c>
      <c r="M28" s="5" t="s">
        <v>1814</v>
      </c>
      <c r="N28" s="3369">
        <f t="shared" si="2"/>
        <v>20070.370557199996</v>
      </c>
      <c r="O28" s="3342">
        <v>19.03598793201785</v>
      </c>
      <c r="P28" s="3369">
        <f t="shared" si="3"/>
        <v>382.05933171798551</v>
      </c>
      <c r="Q28" s="3369">
        <f>'Table1.A(d)'!G28</f>
        <v>654.42343638106979</v>
      </c>
      <c r="R28" s="3369">
        <f t="shared" si="7"/>
        <v>-272.36410466308428</v>
      </c>
      <c r="S28" s="2577">
        <f t="shared" si="8"/>
        <v>1</v>
      </c>
      <c r="T28" s="3375">
        <f t="shared" si="9"/>
        <v>-998.66838376464239</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1837495.9144161127</v>
      </c>
      <c r="O31" s="3364"/>
      <c r="P31" s="3371">
        <f>SUM(P11:P29)</f>
        <v>34771.458050905014</v>
      </c>
      <c r="Q31" s="3371">
        <f>SUM(Q11:Q29)</f>
        <v>2459.8102598514583</v>
      </c>
      <c r="R31" s="3369">
        <f t="shared" si="7"/>
        <v>32311.647791053554</v>
      </c>
      <c r="S31" s="2578"/>
      <c r="T31" s="3377">
        <f>SUM(T11:T29)</f>
        <v>118476.04190052972</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8690340.4759461451</v>
      </c>
      <c r="G35" s="3361" t="s">
        <v>2146</v>
      </c>
      <c r="H35" s="3361">
        <v>7183400</v>
      </c>
      <c r="I35" s="3361" t="s">
        <v>2146</v>
      </c>
      <c r="J35" s="3361">
        <v>-107400</v>
      </c>
      <c r="K35" s="3369">
        <f t="shared" si="10"/>
        <v>1614340.4759461451</v>
      </c>
      <c r="L35" s="2577">
        <f t="shared" si="11"/>
        <v>1</v>
      </c>
      <c r="M35" s="55" t="s">
        <v>1814</v>
      </c>
      <c r="N35" s="3369">
        <f t="shared" si="12"/>
        <v>1614340.4759461451</v>
      </c>
      <c r="O35" s="3342">
        <v>23.39425596999509</v>
      </c>
      <c r="P35" s="3369">
        <f t="shared" si="13"/>
        <v>37766.294317007814</v>
      </c>
      <c r="Q35" s="3369">
        <f>'Table1.A(d)'!G35</f>
        <v>801.24769963636368</v>
      </c>
      <c r="R35" s="3369">
        <f t="shared" si="7"/>
        <v>36965.046617371452</v>
      </c>
      <c r="S35" s="2577">
        <f t="shared" si="14"/>
        <v>1</v>
      </c>
      <c r="T35" s="3375">
        <f t="shared" si="15"/>
        <v>135538.50426369533</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652339</v>
      </c>
      <c r="G37" s="3361" t="s">
        <v>2146</v>
      </c>
      <c r="H37" s="3361" t="s">
        <v>2146</v>
      </c>
      <c r="I37" s="3381"/>
      <c r="J37" s="3361">
        <v>-18600</v>
      </c>
      <c r="K37" s="3369">
        <f t="shared" si="10"/>
        <v>670939</v>
      </c>
      <c r="L37" s="2577">
        <f t="shared" si="11"/>
        <v>1</v>
      </c>
      <c r="M37" s="55" t="s">
        <v>1814</v>
      </c>
      <c r="N37" s="3369">
        <f t="shared" si="12"/>
        <v>670939</v>
      </c>
      <c r="O37" s="3342">
        <v>27.003650064137329</v>
      </c>
      <c r="P37" s="3369">
        <f t="shared" si="13"/>
        <v>18117.801970382236</v>
      </c>
      <c r="Q37" s="3369" t="str">
        <f>'Table1.A(d)'!G37</f>
        <v>NO</v>
      </c>
      <c r="R37" s="3369">
        <f t="shared" si="7"/>
        <v>18117.801970382236</v>
      </c>
      <c r="S37" s="2577">
        <f t="shared" si="14"/>
        <v>1</v>
      </c>
      <c r="T37" s="3375">
        <f t="shared" si="15"/>
        <v>66431.940558068207</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200</v>
      </c>
      <c r="H41" s="3361" t="s">
        <v>2146</v>
      </c>
      <c r="I41" s="3381"/>
      <c r="J41" s="3361">
        <v>15700</v>
      </c>
      <c r="K41" s="3369">
        <f t="shared" si="16"/>
        <v>-15500</v>
      </c>
      <c r="L41" s="2577">
        <f t="shared" si="17"/>
        <v>1</v>
      </c>
      <c r="M41" s="55" t="s">
        <v>1814</v>
      </c>
      <c r="N41" s="3369">
        <f t="shared" si="18"/>
        <v>-15500</v>
      </c>
      <c r="O41" s="3342">
        <v>29.7903460904394</v>
      </c>
      <c r="P41" s="3369">
        <f t="shared" si="19"/>
        <v>-461.75036440181071</v>
      </c>
      <c r="Q41" s="3369">
        <f>'Table1.A(d)'!G41</f>
        <v>2122.2707716690593</v>
      </c>
      <c r="R41" s="3369">
        <f t="shared" si="7"/>
        <v>-2584.0211360708699</v>
      </c>
      <c r="S41" s="2577">
        <f t="shared" si="20"/>
        <v>1</v>
      </c>
      <c r="T41" s="3375">
        <f t="shared" si="21"/>
        <v>-9474.7441655931889</v>
      </c>
    </row>
    <row r="42" spans="2:20" ht="18" customHeight="1" x14ac:dyDescent="0.2">
      <c r="B42" s="1727"/>
      <c r="C42" s="1568"/>
      <c r="D42" s="31" t="s">
        <v>267</v>
      </c>
      <c r="E42" s="2575" t="s">
        <v>2150</v>
      </c>
      <c r="F42" s="3381"/>
      <c r="G42" s="3361" t="s">
        <v>2146</v>
      </c>
      <c r="H42" s="3361" t="s">
        <v>2146</v>
      </c>
      <c r="I42" s="3381"/>
      <c r="J42" s="3361">
        <v>-2100</v>
      </c>
      <c r="K42" s="3369">
        <f t="shared" si="16"/>
        <v>2100</v>
      </c>
      <c r="L42" s="2577">
        <f t="shared" si="17"/>
        <v>1</v>
      </c>
      <c r="M42" s="55" t="s">
        <v>1814</v>
      </c>
      <c r="N42" s="3369">
        <f t="shared" si="18"/>
        <v>2100</v>
      </c>
      <c r="O42" s="3342">
        <v>22.309090909090909</v>
      </c>
      <c r="P42" s="3369">
        <f t="shared" si="19"/>
        <v>46.849090909090911</v>
      </c>
      <c r="Q42" s="3369">
        <f>'Table1.A(d)'!G42</f>
        <v>180.08733951302835</v>
      </c>
      <c r="R42" s="3369">
        <f t="shared" si="7"/>
        <v>-133.23824860393745</v>
      </c>
      <c r="S42" s="2577">
        <f t="shared" si="20"/>
        <v>1</v>
      </c>
      <c r="T42" s="3375">
        <f t="shared" si="21"/>
        <v>-488.540244881104</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2271879.4759461451</v>
      </c>
      <c r="O45" s="3364"/>
      <c r="P45" s="3371">
        <f>SUM(P33:P43)</f>
        <v>55469.195013897326</v>
      </c>
      <c r="Q45" s="3371">
        <f>SUM(Q33:Q43)</f>
        <v>3103.6058108184516</v>
      </c>
      <c r="R45" s="3371">
        <f>SUM(R33:R43)</f>
        <v>52365.589203078882</v>
      </c>
      <c r="S45" s="41"/>
      <c r="T45" s="3377">
        <f>SUM(T33:T43)</f>
        <v>192007.16041128928</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1894869.9304155887</v>
      </c>
      <c r="G47" s="3361">
        <v>219300</v>
      </c>
      <c r="H47" s="3361">
        <v>744100</v>
      </c>
      <c r="I47" s="3361" t="s">
        <v>2146</v>
      </c>
      <c r="J47" s="3361">
        <v>167244.4471555682</v>
      </c>
      <c r="K47" s="3369">
        <f t="shared" ref="K47" si="22">IF((SUM(F47:G47)-SUM(H47:J47))=0,"NO",(SUM(F47:G47)-SUM(H47:J47)))</f>
        <v>1202825.4832600201</v>
      </c>
      <c r="L47" s="2577">
        <f t="shared" ref="L47" si="23">IF(K47="NO","NA",1)</f>
        <v>1</v>
      </c>
      <c r="M47" s="55" t="s">
        <v>1814</v>
      </c>
      <c r="N47" s="3369">
        <f t="shared" ref="N47" si="24">K47</f>
        <v>1202825.4832600201</v>
      </c>
      <c r="O47" s="3342">
        <v>14.02906506211859</v>
      </c>
      <c r="P47" s="3369">
        <f t="shared" ref="P47" si="25">IFERROR(N47*O47/1000,"NA")</f>
        <v>16874.516963029058</v>
      </c>
      <c r="Q47" s="3369">
        <f>'Table1.A(d)'!G47</f>
        <v>589.89686305208079</v>
      </c>
      <c r="R47" s="3369">
        <f t="shared" ref="R47" si="26">IF(SUM(P47,-SUM(Q47))=0,"NO",SUM(P47,-SUM(Q47)))</f>
        <v>16284.620099976977</v>
      </c>
      <c r="S47" s="2577">
        <f t="shared" ref="S47" si="27">IF(R47="NO","NA",1)</f>
        <v>1</v>
      </c>
      <c r="T47" s="3375">
        <f t="shared" ref="T47" si="28">IF(R47="NO","NO",R47*S47*44/12)</f>
        <v>59710.273699915582</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1202825.4832600201</v>
      </c>
      <c r="O50" s="3366"/>
      <c r="P50" s="3371">
        <f>SUM(P47:P48)</f>
        <v>16874.516963029058</v>
      </c>
      <c r="Q50" s="3371">
        <f>SUM(Q47:Q48)</f>
        <v>589.89686305208079</v>
      </c>
      <c r="R50" s="3371">
        <f>SUM(R47:R48)</f>
        <v>16284.620099976977</v>
      </c>
      <c r="S50" s="2354"/>
      <c r="T50" s="3377">
        <f>SUM(T47:T48)</f>
        <v>59710.273699915582</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5312200.8736222778</v>
      </c>
      <c r="O55" s="3367"/>
      <c r="P55" s="3373">
        <f>SUM(P31,P45,P50,P54)</f>
        <v>107115.17002783141</v>
      </c>
      <c r="Q55" s="3373">
        <f>SUM(Q31,Q45,Q50,Q54)</f>
        <v>6153.3129337219907</v>
      </c>
      <c r="R55" s="3373">
        <f>SUM(R31,R45,R50,R54)</f>
        <v>100961.85709410941</v>
      </c>
      <c r="S55" s="2374"/>
      <c r="T55" s="3379">
        <f>SUM(T31,T45,T50,T54)</f>
        <v>370193.47601173457</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1837.4959144161128</v>
      </c>
      <c r="D10" s="4136">
        <f>C10-'Table1.A(d)'!E31/1000</f>
        <v>1712.1418173648633</v>
      </c>
      <c r="E10" s="4135">
        <f>'Table1.A(b)'!T31</f>
        <v>118476.04190052972</v>
      </c>
      <c r="F10" s="4135">
        <f>'Table1.A(a)s1'!C11/1000</f>
        <v>1742.8215079701001</v>
      </c>
      <c r="G10" s="4135">
        <f>'Table1.A(a)s1'!H11</f>
        <v>118926.67256296775</v>
      </c>
      <c r="H10" s="4135">
        <f>100*((D10-F10)/F10)</f>
        <v>-1.7603461091646782</v>
      </c>
      <c r="I10" s="4137">
        <f>100*((E10-G10)/G10)</f>
        <v>-0.37891471503118329</v>
      </c>
      <c r="L10"/>
    </row>
    <row r="11" spans="2:12" ht="18" customHeight="1" x14ac:dyDescent="0.2">
      <c r="B11" s="50" t="s">
        <v>299</v>
      </c>
      <c r="C11" s="4135">
        <f>'Table1.A(b)'!N45/1000</f>
        <v>2271.8794759461452</v>
      </c>
      <c r="D11" s="4135">
        <f>C11-'Table1.A(d)'!E45/1000</f>
        <v>2159.535471215218</v>
      </c>
      <c r="E11" s="4135">
        <f>'Table1.A(b)'!T45</f>
        <v>192007.16041128928</v>
      </c>
      <c r="F11" s="4135">
        <f>'Table1.A(a)s1'!C12/1000</f>
        <v>2166.0338005132348</v>
      </c>
      <c r="G11" s="4135">
        <f>'Table1.A(a)s1'!H12</f>
        <v>193468.08092347719</v>
      </c>
      <c r="H11" s="4135">
        <f t="shared" ref="H11:H13" si="0">100*((D11-F11)/F11)</f>
        <v>-0.30001052137215545</v>
      </c>
      <c r="I11" s="4137">
        <f t="shared" ref="I11:I13" si="1">100*((E11-G11)/G11)</f>
        <v>-0.75512224301524278</v>
      </c>
      <c r="L11"/>
    </row>
    <row r="12" spans="2:12" ht="18" customHeight="1" x14ac:dyDescent="0.2">
      <c r="B12" s="50" t="s">
        <v>300</v>
      </c>
      <c r="C12" s="4135">
        <f>'Table1.A(b)'!N50/1000</f>
        <v>1202.8254832600201</v>
      </c>
      <c r="D12" s="4135">
        <f>C12-'Table1.A(d)'!E50/1000</f>
        <v>1160.754398686769</v>
      </c>
      <c r="E12" s="4135">
        <f>'Table1.A(b)'!T50</f>
        <v>59710.273699915582</v>
      </c>
      <c r="F12" s="4135">
        <f>'Table1.A(a)s1'!C13/1000</f>
        <v>1138.0728863727575</v>
      </c>
      <c r="G12" s="4135">
        <f>'Table1.A(a)s1'!H13</f>
        <v>58567.314191043959</v>
      </c>
      <c r="H12" s="4135">
        <f t="shared" si="0"/>
        <v>1.9929753696445243</v>
      </c>
      <c r="I12" s="4137">
        <f t="shared" si="1"/>
        <v>1.9515313697728063</v>
      </c>
      <c r="L12"/>
    </row>
    <row r="13" spans="2:12" ht="18" customHeight="1" x14ac:dyDescent="0.2">
      <c r="B13" s="50" t="s">
        <v>275</v>
      </c>
      <c r="C13" s="4135">
        <f>'Table1.A(b)'!N54/1000</f>
        <v>0</v>
      </c>
      <c r="D13" s="4135">
        <f>C13-SUM('Table1.A(d)'!E54)/1000</f>
        <v>0</v>
      </c>
      <c r="E13" s="4135">
        <f>'Table1.A(b)'!T54</f>
        <v>0</v>
      </c>
      <c r="F13" s="4135">
        <f>'Table1.A(a)s1'!C14/1000</f>
        <v>1.8272481933407171E-2</v>
      </c>
      <c r="G13" s="4135">
        <f>'Table1.A(a)s1'!H14</f>
        <v>1.3393729257187488</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5312.2008736222779</v>
      </c>
      <c r="D15" s="4138">
        <f>SUM(D10:D14)</f>
        <v>5032.4316872668496</v>
      </c>
      <c r="E15" s="4138">
        <f>SUM(E10:E14)</f>
        <v>370193.47601173457</v>
      </c>
      <c r="F15" s="4138">
        <f>SUM(F10:F14)</f>
        <v>5046.9464673380253</v>
      </c>
      <c r="G15" s="4138">
        <f>SUM(G10:G14)</f>
        <v>370963.40705041459</v>
      </c>
      <c r="H15" s="4139">
        <f t="shared" ref="H15" si="2">100*((D15-F15)/F15)</f>
        <v>-0.28759528489374642</v>
      </c>
      <c r="I15" s="4140">
        <f t="shared" ref="I15" si="3">100*((E15-G15)/G15)</f>
        <v>-0.20754905309983465</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1DC6C421-8606-4F23-BE53-1A54F7335F3D}"/>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