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11A13F8E-F824-4898-93ED-3CFD62E1AB0E}" xr6:coauthVersionLast="47" xr6:coauthVersionMax="47" xr10:uidLastSave="{00000000-0000-0000-0000-000000000000}"/>
  <bookViews>
    <workbookView xWindow="2340" yWindow="360" windowWidth="8370" windowHeight="9300"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H67" i="34"/>
  <c r="G28" i="34"/>
  <c r="I67" i="34"/>
  <c r="H28"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G35" i="34"/>
  <c r="I29" i="34"/>
  <c r="G27" i="34"/>
  <c r="I73" i="34"/>
  <c r="I69" i="34"/>
  <c r="I65" i="34"/>
  <c r="H37" i="34"/>
  <c r="G36" i="34"/>
  <c r="I30" i="34"/>
  <c r="H29" i="34"/>
  <c r="M25" i="34"/>
  <c r="G87" i="34"/>
  <c r="G83" i="34"/>
  <c r="G79" i="34"/>
  <c r="I72" i="34"/>
  <c r="H69" i="34"/>
  <c r="H65" i="34"/>
  <c r="G59" i="34"/>
  <c r="G37" i="34"/>
  <c r="I31" i="34"/>
  <c r="H30" i="34"/>
  <c r="G29" i="34"/>
  <c r="L25" i="34"/>
  <c r="I71" i="34"/>
  <c r="I32" i="34"/>
  <c r="H31" i="34"/>
  <c r="G30" i="34"/>
  <c r="K25" i="34"/>
  <c r="H71" i="34"/>
  <c r="I33"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F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49" i="70" l="1"/>
  <c r="I34" i="73"/>
  <c r="J34" i="73" s="1"/>
  <c r="G35" i="73"/>
  <c r="H45" i="70"/>
  <c r="H22" i="73"/>
  <c r="H23" i="73"/>
  <c r="H24"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<sst xmlns="http://schemas.openxmlformats.org/spreadsheetml/2006/main" count="19163" uniqueCount="2523">
  <si>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</si>
  <si>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</si>
  <si>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</si>
  <si>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</si>
  <si>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</si>
  <si>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</si>
  <si>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</si>
  <si>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</si>
  <si>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</si>
  <si>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</si>
  <si>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</si>
  <si>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</si>
  <si>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</si>
  <si>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</si>
  <si>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</si>
  <si>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</si>
  <si>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</si>
  <si>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</si>
  <si>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</si>
  <si>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</si>
  <si>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</si>
  <si>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</si>
  <si>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</si>
  <si>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</si>
  <si>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</si>
  <si>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</si>
  <si>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</si>
  <si>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</si>
  <si>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</si>
  <si>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</si>
  <si>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</si>
  <si>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</si>
  <si>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</si>
  <si>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</si>
  <si>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</si>
  <si>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</si>
  <si>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</si>
  <si>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</si>
  <si>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</si>
  <si>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</si>
  <si>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</si>
  <si>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</si>
  <si>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</si>
  <si>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</si>
  <si>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</si>
  <si>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</si>
  <si>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</si>
  <si>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</si>
  <si>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</si>
  <si>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</si>
  <si>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</si>
  <si>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</si>
  <si>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</si>
  <si>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</si>
  <si>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</si>
  <si>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</si>
  <si>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</si>
  <si>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</si>
  <si>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</si>
  <si>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</si>
  <si>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</si>
  <si>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</si>
  <si>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</si>
  <si>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</si>
  <si>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</si>
  <si>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</si>
  <si>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</si>
  <si>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</si>
  <si>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</si>
  <si>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</si>
  <si>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</si>
  <si>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</si>
  <si>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</si>
  <si>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</si>
  <si>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</si>
  <si>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</si>
  <si>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</si>
  <si>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</si>
  <si>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</si>
  <si>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</si>
  <si>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</si>
  <si>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</si>
  <si>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</si>
  <si>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</si>
  <si>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</si>
  <si>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</si>
  <si>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</si>
  <si>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</si>
  <si>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</si>
  <si>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</si>
  <si>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</si>
  <si>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</si>
  <si>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</si>
  <si>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</si>
  <si>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</si>
  <si>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</si>
  <si>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</si>
  <si>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</si>
  <si>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</si>
  <si>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</si>
  <si>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</si>
  <si>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</si>
  <si>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</si>
  <si>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</si>
  <si>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</si>
  <si>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</si>
  <si>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</si>
  <si>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</si>
  <si>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</si>
  <si>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</si>
  <si>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</si>
  <si>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</si>
  <si>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</si>
  <si>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</si>
  <si>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</si>
  <si>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</si>
  <si>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</si>
  <si>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</si>
  <si>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</si>
  <si>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</si>
  <si>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</si>
  <si>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</si>
  <si>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</si>
  <si>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</si>
  <si>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</si>
  <si>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</si>
  <si>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</si>
  <si>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</si>
  <si>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</si>
  <si>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</si>
  <si>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</si>
  <si>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</si>
  <si>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</si>
  <si>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</si>
  <si>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</si>
  <si>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</si>
  <si>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</si>
  <si>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</si>
  <si>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</si>
  <si>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</si>
  <si>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</si>
  <si>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</si>
  <si>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</si>
  <si>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</si>
  <si>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</si>
  <si>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</si>
  <si>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</si>
  <si>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</si>
  <si>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</si>
  <si>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</si>
  <si>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</si>
  <si>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</si>
  <si>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</si>
  <si>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</si>
  <si>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</si>
  <si>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</si>
  <si>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</si>
  <si>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</si>
  <si>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</si>
  <si>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</si>
  <si>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</si>
  <si>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</si>
  <si>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</si>
  <si>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</si>
  <si>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</si>
  <si>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</si>
  <si>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</si>
  <si>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</si>
  <si>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</si>
  <si>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</si>
  <si>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</si>
  <si>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</si>
  <si>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</si>
  <si>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</si>
  <si>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</si>
  <si>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</si>
  <si>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</si>
  <si>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</si>
  <si>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</si>
  <si>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</si>
  <si>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</si>
  <si>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</si>
  <si>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</si>
  <si>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</si>
  <si>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</si>
  <si>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</si>
  <si>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</si>
  <si>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</si>
  <si>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</si>
  <si>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</si>
  <si>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</si>
  <si>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</si>
  <si>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</si>
  <si>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</si>
  <si>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</si>
  <si>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</si>
  <si>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</si>
  <si>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</si>
  <si>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</si>
  <si>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</si>
  <si>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</si>
  <si>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</si>
  <si>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</si>
  <si>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</si>
  <si>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</si>
  <si>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</si>
  <si>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</si>
  <si>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</si>
  <si>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</si>
  <si>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</si>
  <si>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</si>
  <si>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</si>
  <si>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</si>
  <si>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</si>
  <si>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</si>
  <si>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</si>
  <si>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</si>
  <si>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</si>
  <si>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</si>
  <si>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</si>
  <si>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</si>
  <si>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</si>
  <si>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</si>
  <si>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</si>
  <si>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</si>
  <si>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</si>
  <si>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</si>
  <si>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</si>
  <si>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</si>
  <si>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</si>
  <si>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</si>
  <si>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</si>
  <si>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</si>
  <si>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</si>
  <si>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</si>
  <si>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</si>
  <si>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</si>
  <si>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</si>
  <si>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</si>
  <si>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</si>
  <si>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</si>
  <si>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</si>
  <si>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</si>
  <si>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</si>
  <si>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</si>
  <si>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</si>
  <si>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</si>
  <si>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</si>
  <si>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</si>
  <si>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</si>
  <si>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</si>
  <si>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</si>
  <si>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</si>
  <si>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</si>
  <si>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</si>
  <si>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</si>
  <si>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</si>
  <si>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</si>
  <si>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</si>
  <si>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</si>
  <si>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</si>
  <si>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</si>
  <si>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</si>
  <si>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</si>
  <si>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</si>
  <si>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</si>
  <si>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</si>
  <si>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</si>
  <si>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</si>
  <si>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</si>
  <si>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</si>
  <si>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</si>
  <si>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</si>
  <si>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</si>
  <si>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</si>
  <si>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</si>
  <si>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</si>
  <si>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</si>
  <si>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</si>
  <si>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</si>
  <si>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</si>
  <si>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</si>
  <si>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</si>
  <si>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</si>
  <si>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</si>
  <si>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</si>
  <si>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</si>
  <si>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</si>
  <si>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</si>
  <si>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</si>
  <si>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</si>
  <si>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</si>
  <si>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</si>
  <si>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</si>
  <si>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</si>
  <si>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</si>
  <si>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</si>
  <si>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</si>
  <si>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</si>
  <si>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</si>
  <si>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</si>
  <si>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</si>
  <si>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</si>
  <si>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</si>
  <si>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</si>
  <si>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</si>
  <si>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</si>
  <si>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</si>
  <si>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</si>
  <si>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</si>
  <si>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</si>
  <si>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</si>
  <si>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</si>
  <si>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</si>
  <si>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</si>
  <si>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</si>
  <si>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</si>
  <si>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</si>
  <si>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</si>
  <si>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</si>
  <si>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</si>
  <si>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</si>
  <si>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</si>
  <si>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</si>
  <si>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</si>
  <si>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</si>
  <si>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</si>
  <si>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</si>
  <si>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</si>
  <si>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</si>
  <si>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</si>
  <si>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</si>
  <si>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</si>
  <si>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</si>
  <si>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</si>
  <si>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</si>
  <si>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</si>
  <si>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</si>
  <si>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</si>
  <si>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</si>
  <si>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</si>
  <si>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</si>
  <si>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</si>
  <si>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</si>
  <si>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</si>
  <si>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</si>
  <si>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</si>
  <si>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</si>
  <si>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</si>
  <si>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</si>
  <si>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</si>
  <si>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</si>
  <si>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</si>
  <si>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</si>
  <si>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</si>
  <si>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</si>
  <si>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</si>
  <si>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</si>
  <si>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</si>
  <si>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</si>
  <si>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</si>
  <si>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</si>
  <si>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</si>
  <si>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</si>
  <si>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</si>
  <si>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</si>
  <si>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</si>
  <si>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</si>
  <si>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</si>
  <si>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</si>
  <si>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</si>
  <si>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</si>
  <si>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</si>
  <si>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</si>
  <si>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</si>
  <si>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</si>
  <si>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</si>
  <si>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</si>
  <si>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</si>
  <si>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</si>
  <si>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</si>
  <si>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</si>
  <si>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</si>
  <si>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</si>
  <si>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</si>
  <si>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</si>
  <si>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</si>
  <si>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</si>
  <si>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</si>
  <si>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</si>
  <si>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</si>
  <si>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</si>
  <si>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</si>
  <si>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</si>
  <si>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</si>
  <si>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</si>
  <si>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</si>
  <si>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</si>
  <si>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</si>
  <si>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</si>
  <si>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</si>
  <si>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</si>
  <si>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</si>
  <si>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</si>
  <si>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</si>
  <si>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</si>
  <si>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</si>
  <si>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</si>
  <si>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</si>
  <si>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</si>
  <si>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</si>
  <si>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</si>
  <si>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</si>
  <si>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</si>
  <si>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</si>
  <si>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</si>
  <si>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</si>
  <si>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</si>
  <si>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</si>
  <si>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</si>
  <si>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</si>
  <si>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</si>
  <si>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</si>
  <si>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</si>
  <si>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</si>
  <si>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</si>
  <si>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</si>
  <si>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</si>
  <si>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</si>
  <si>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</si>
  <si>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</si>
  <si>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</si>
  <si>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</si>
  <si>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</si>
  <si>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</si>
  <si>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</si>
  <si>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</si>
  <si>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</si>
  <si>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</si>
  <si>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</si>
  <si>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</si>
  <si>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</si>
  <si>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</si>
  <si>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</si>
  <si>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</si>
  <si>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</si>
  <si>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</si>
  <si>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</si>
  <si>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</si>
  <si>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</si>
  <si>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</si>
  <si>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</si>
  <si>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</si>
  <si>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</si>
  <si>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</si>
  <si>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</si>
  <si>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</si>
  <si>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</si>
  <si>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</si>
  <si>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</si>
  <si>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</si>
  <si>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</si>
  <si>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</si>
  <si>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</si>
  <si>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</si>
  <si>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</si>
  <si>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</si>
  <si>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</si>
  <si>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</si>
  <si>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</si>
  <si>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</si>
  <si>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</si>
  <si>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</si>
  <si>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</si>
  <si>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</si>
  <si>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</si>
  <si>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</si>
  <si>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</si>
  <si>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</si>
  <si>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</si>
  <si>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</si>
  <si>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</si>
  <si>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</si>
  <si>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</si>
  <si>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</si>
  <si>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</si>
  <si>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</si>
  <si>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</si>
  <si>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</si>
  <si>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</si>
  <si>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</si>
  <si>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</si>
  <si>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</si>
  <si>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</si>
  <si>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</si>
  <si>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</si>
  <si>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</si>
  <si>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</si>
  <si>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</si>
  <si>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</si>
  <si>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</si>
  <si>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</si>
  <si>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</si>
  <si>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</si>
  <si>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</si>
  <si>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</si>
  <si>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</si>
  <si>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</si>
  <si>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</si>
  <si>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</si>
  <si>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</si>
  <si>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</si>
  <si>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</si>
  <si>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</si>
  <si>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</si>
  <si>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</si>
  <si>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</si>
  <si>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</si>
  <si>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</si>
  <si>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</si>
  <si>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</si>
  <si>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</si>
  <si>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</si>
  <si>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</si>
  <si>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</si>
  <si>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</si>
  <si>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</si>
  <si>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</si>
  <si>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</si>
  <si>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</si>
  <si>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</si>
  <si>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</si>
  <si>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</si>
  <si>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</si>
  <si>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</si>
  <si>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</si>
  <si>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</si>
  <si>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</si>
  <si>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</si>
  <si>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</si>
  <si>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</si>
  <si>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</si>
  <si>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</si>
  <si>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</si>
  <si>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</si>
  <si>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</si>
  <si>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</si>
  <si>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</si>
  <si>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</si>
  <si>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</si>
  <si>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</si>
  <si>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</si>
  <si>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</si>
  <si>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</si>
  <si>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</si>
  <si>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</si>
  <si>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</si>
  <si>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</si>
  <si>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</si>
  <si>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</si>
  <si>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</si>
  <si>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</si>
  <si>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</si>
  <si>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</si>
  <si>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</si>
  <si>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</si>
  <si>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</si>
  <si>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</si>
  <si>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</si>
  <si>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</si>
  <si>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</si>
  <si>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</si>
  <si>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</si>
  <si>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</si>
  <si>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</si>
  <si>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</si>
  <si>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</si>
  <si>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</si>
  <si>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</si>
  <si>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</si>
  <si>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</si>
  <si>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</si>
  <si>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</si>
  <si>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</si>
  <si>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</si>
  <si>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</si>
  <si>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</si>
  <si>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</si>
  <si>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</si>
  <si>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</si>
  <si>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</si>
  <si>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</si>
  <si>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</si>
  <si>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</si>
  <si>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</si>
  <si>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</si>
  <si>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</si>
  <si>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</si>
  <si>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</si>
  <si>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</si>
  <si>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</si>
  <si>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</si>
  <si>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</si>
  <si>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</si>
  <si>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</si>
  <si>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</si>
  <si>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</si>
  <si>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</si>
  <si>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</si>
  <si>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</si>
  <si>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</si>
  <si>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</si>
  <si>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</si>
  <si>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</si>
  <si>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</si>
  <si>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</si>
  <si>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</si>
  <si>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</si>
  <si>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</si>
  <si>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</si>
  <si>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</si>
  <si>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</si>
  <si>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</si>
  <si>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</si>
  <si>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</si>
  <si>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</si>
  <si>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</si>
  <si>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</si>
  <si>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</si>
  <si>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</si>
  <si>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</si>
  <si>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</si>
  <si>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</si>
  <si>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</si>
  <si>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</si>
  <si>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</si>
  <si>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</si>
  <si>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</si>
  <si>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</si>
  <si>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</si>
  <si>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</si>
  <si>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</si>
  <si>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</si>
  <si>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</si>
  <si>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</si>
  <si>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</si>
  <si>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</si>
  <si>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</si>
  <si>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</si>
  <si>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</si>
  <si>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</si>
  <si>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</si>
  <si>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</si>
  <si>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</si>
  <si>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</si>
  <si>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</si>
  <si>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</si>
  <si>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</si>
  <si>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</si>
  <si>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</si>
  <si>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</si>
  <si>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</si>
  <si>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</si>
  <si>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</si>
  <si>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</si>
  <si>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</si>
  <si>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</si>
  <si>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</si>
  <si>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</si>
  <si>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</si>
  <si>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</si>
  <si>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</si>
  <si>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</si>
  <si>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</si>
  <si>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</si>
  <si>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</si>
  <si>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</si>
  <si>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</si>
  <si>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</si>
  <si>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</si>
  <si>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</si>
  <si>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</si>
  <si>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</si>
  <si>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</si>
  <si>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</si>
  <si>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</si>
  <si>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</si>
  <si>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</si>
  <si>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</si>
  <si>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</si>
  <si>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</si>
  <si>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</si>
  <si>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</si>
  <si>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</si>
  <si>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</si>
  <si>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</si>
  <si>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</si>
  <si>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</si>
  <si>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</si>
  <si>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</si>
  <si>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</si>
  <si>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</si>
  <si>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</si>
  <si>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</si>
  <si>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</si>
  <si>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</si>
  <si>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</si>
  <si>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</si>
  <si>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</si>
  <si>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</si>
  <si>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</si>
  <si>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</si>
  <si>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</si>
  <si>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</si>
  <si>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</si>
  <si>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</si>
  <si>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</si>
  <si>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</si>
  <si>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</si>
  <si>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</si>
  <si>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</si>
  <si>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</si>
  <si>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</si>
  <si>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</si>
  <si>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</si>
  <si>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</si>
  <si>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</si>
  <si>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</si>
  <si>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</si>
  <si>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</si>
  <si>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</si>
  <si>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</si>
  <si>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</si>
  <si>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</si>
  <si>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</si>
  <si>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</si>
  <si>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</si>
  <si>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</si>
  <si>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</si>
  <si>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</si>
  <si>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</si>
  <si>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</si>
  <si>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</si>
  <si>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</si>
  <si>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</si>
  <si>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</si>
  <si>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</si>
  <si>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</si>
  <si>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</si>
  <si>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</si>
  <si>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</si>
  <si>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</si>
  <si>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</si>
  <si>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</si>
  <si>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</si>
  <si>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</si>
  <si>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</si>
  <si>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</si>
  <si>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</si>
  <si>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</si>
  <si>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</si>
  <si>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</si>
  <si>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</si>
  <si>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</si>
  <si>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</si>
  <si>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</si>
  <si>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</si>
  <si>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</si>
  <si>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</si>
  <si>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</si>
  <si>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</si>
  <si>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</si>
  <si>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</si>
  <si>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</si>
  <si>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</si>
  <si>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</si>
  <si>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</si>
  <si>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</si>
  <si>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</si>
  <si>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</si>
  <si>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</si>
  <si>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</si>
  <si>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</si>
  <si>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</si>
  <si>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</si>
  <si>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</si>
  <si>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</si>
  <si>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</si>
  <si>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</si>
  <si>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</si>
  <si>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</si>
  <si>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</si>
  <si>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</si>
  <si>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</si>
  <si>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</si>
  <si>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</si>
  <si>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</si>
  <si>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</si>
  <si>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</si>
  <si>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</si>
  <si>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</si>
  <si>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</si>
  <si>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</si>
  <si>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</si>
  <si>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</si>
  <si>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</si>
  <si>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</si>
  <si>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</si>
  <si>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</si>
  <si>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</si>
  <si>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</si>
  <si>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</si>
  <si>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</si>
  <si>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</si>
  <si>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</si>
  <si>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</si>
  <si>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</si>
  <si>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</si>
  <si>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</si>
  <si>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</si>
  <si>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</si>
  <si>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</si>
  <si>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</si>
  <si>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</si>
  <si>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</si>
  <si>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</si>
  <si>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</si>
  <si>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</si>
  <si>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</si>
  <si>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</si>
  <si>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</si>
  <si>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</si>
  <si>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</si>
  <si>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</si>
  <si>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</si>
  <si>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</si>
  <si>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</si>
  <si>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</si>
  <si>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</si>
  <si>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</si>
  <si>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</si>
  <si>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</si>
  <si>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</si>
  <si>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</si>
  <si>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</si>
  <si>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</si>
  <si>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</si>
  <si>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</si>
  <si>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</si>
  <si>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</si>
  <si>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</si>
  <si>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</si>
  <si>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</si>
  <si>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</si>
  <si>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</si>
  <si>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</si>
  <si>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</si>
  <si>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</si>
  <si>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</si>
  <si>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</si>
  <si>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</si>
  <si>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</si>
  <si>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</si>
  <si>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</si>
  <si>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</si>
  <si>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</si>
  <si>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</si>
  <si>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</si>
  <si>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</si>
  <si>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</si>
  <si>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</si>
  <si>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</si>
  <si>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</si>
  <si>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</si>
  <si>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</si>
  <si>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</si>
  <si>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</si>
  <si>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</si>
  <si>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</si>
  <si>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</si>
  <si>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</si>
  <si>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</si>
  <si>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</si>
  <si>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</si>
  <si>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</si>
  <si>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</si>
  <si>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</si>
  <si>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</si>
  <si>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</si>
  <si>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</si>
  <si>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</si>
  <si>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</si>
  <si>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</si>
  <si>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</si>
  <si>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</si>
  <si>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</si>
  <si>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</si>
  <si>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</si>
  <si>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</si>
  <si>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</si>
  <si>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</si>
  <si>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</si>
  <si>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</si>
  <si>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</si>
  <si>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</si>
  <si>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</si>
  <si>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</si>
  <si>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</si>
  <si>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</si>
  <si>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</si>
  <si>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</si>
  <si>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</si>
  <si>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</si>
  <si>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</si>
  <si>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</si>
  <si>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</si>
  <si>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</si>
  <si>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</si>
  <si>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</si>
  <si>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</si>
  <si>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</si>
  <si>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</si>
  <si>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</si>
  <si>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</si>
  <si>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</si>
  <si>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</si>
  <si>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</si>
  <si>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</si>
  <si>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</si>
  <si>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</si>
  <si>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</si>
  <si>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</si>
  <si>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</si>
  <si>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</si>
  <si>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</si>
  <si>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</si>
  <si>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</si>
  <si>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</si>
  <si>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</si>
  <si>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</si>
  <si>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</si>
  <si>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</si>
  <si>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</si>
  <si>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</si>
  <si>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</si>
  <si>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</si>
  <si>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</si>
  <si>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</si>
  <si>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</si>
  <si>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</si>
  <si>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</si>
  <si>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</si>
  <si>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</si>
  <si>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</si>
  <si>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</si>
  <si>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</si>
  <si>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</si>
  <si>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</si>
  <si>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</si>
  <si>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</si>
  <si>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</si>
  <si>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</si>
  <si>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</si>
  <si>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</si>
  <si>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</si>
  <si>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</si>
  <si>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</si>
  <si>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</si>
  <si>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</si>
  <si>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</si>
  <si>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</si>
  <si>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</si>
  <si>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</si>
  <si>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</si>
  <si>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</si>
  <si>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</si>
  <si>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</si>
  <si>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</si>
  <si>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</si>
  <si>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</si>
  <si>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</si>
  <si>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</si>
  <si>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</si>
  <si>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</si>
  <si>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</si>
  <si>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</si>
  <si>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</si>
  <si>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</si>
  <si>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</si>
  <si>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</si>
  <si>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</si>
  <si>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</si>
  <si>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</si>
  <si>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</si>
  <si>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</si>
  <si>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</si>
  <si>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</si>
  <si>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</si>
  <si>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</si>
  <si>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</si>
  <si>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</si>
  <si>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</si>
  <si>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</si>
  <si>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</si>
  <si>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</si>
  <si>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</si>
  <si>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</si>
  <si>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</si>
  <si>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</si>
  <si>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</si>
  <si>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</si>
  <si>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</si>
  <si>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</si>
  <si>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</si>
  <si>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</si>
  <si>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</si>
  <si>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</si>
  <si>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</si>
  <si>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</si>
  <si>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</si>
  <si>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</si>
  <si>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</si>
  <si>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</si>
  <si>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</si>
  <si>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</si>
  <si>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</si>
  <si>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</si>
  <si>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</si>
  <si>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</si>
  <si>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</si>
  <si>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</si>
  <si>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</si>
  <si>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</si>
  <si>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</si>
  <si>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</si>
  <si>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</si>
  <si>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</si>
  <si>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</si>
  <si>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</si>
  <si>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</si>
  <si>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</si>
  <si>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</si>
  <si>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</si>
  <si>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</si>
  <si>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</si>
  <si>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</si>
  <si>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</si>
  <si>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</si>
  <si>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</si>
  <si>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</si>
  <si>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</si>
  <si>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</si>
  <si>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</si>
  <si>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</si>
  <si>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</si>
  <si>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</si>
  <si>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</si>
  <si>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</si>
  <si>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</si>
  <si>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</si>
  <si>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</si>
  <si>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</si>
  <si>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</si>
  <si>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</si>
  <si>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</si>
  <si>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</si>
  <si>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</si>
  <si>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</si>
  <si>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</si>
  <si>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</si>
  <si>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</si>
  <si>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</si>
  <si>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</si>
  <si>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</si>
  <si>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</si>
  <si>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</si>
  <si>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</si>
  <si>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</si>
  <si>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</si>
  <si>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</si>
  <si>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</si>
  <si>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</si>
  <si>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</si>
  <si>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</si>
  <si>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</si>
  <si>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</si>
  <si>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</si>
  <si>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</si>
  <si>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</si>
  <si>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</si>
  <si>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</si>
  <si>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</si>
  <si>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</si>
  <si>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</si>
  <si>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</si>
  <si>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</si>
  <si>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</si>
  <si>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</si>
  <si>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</si>
  <si>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</si>
  <si>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</si>
  <si>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</si>
  <si>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</si>
  <si>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</si>
  <si>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</si>
  <si>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</si>
  <si>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</si>
  <si>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</si>
  <si>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</si>
  <si>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</si>
  <si>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</si>
  <si>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</si>
  <si>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</si>
  <si>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</si>
  <si>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</si>
  <si>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</si>
  <si>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</si>
  <si>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</si>
  <si>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</si>
  <si>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</si>
  <si>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</si>
  <si>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</si>
  <si>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</si>
  <si>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</si>
  <si>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</si>
  <si>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</si>
  <si>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</si>
  <si>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</si>
  <si>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</si>
  <si>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</si>
  <si>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</si>
  <si>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</si>
  <si>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</si>
  <si>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</si>
  <si>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</si>
  <si>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</si>
  <si>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</si>
  <si>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</si>
  <si>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</si>
  <si>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</si>
  <si>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</si>
  <si>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</si>
  <si>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</si>
  <si>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</si>
  <si>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</si>
  <si>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</si>
  <si>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</si>
  <si>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</si>
  <si>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</si>
  <si>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</si>
  <si>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</si>
  <si>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</si>
  <si>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</si>
  <si>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</si>
  <si>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</si>
  <si>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</si>
  <si>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</si>
  <si>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</si>
  <si>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</si>
  <si>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</si>
  <si>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</si>
  <si>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</si>
  <si>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</si>
  <si>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</si>
  <si>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</si>
  <si>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</si>
  <si>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</si>
  <si>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</si>
  <si>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</si>
  <si>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</si>
  <si>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</si>
  <si>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</si>
  <si>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</si>
  <si>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</si>
  <si>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</si>
  <si>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</si>
  <si>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</si>
  <si>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</si>
  <si>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</si>
  <si>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</si>
  <si>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</si>
  <si>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</si>
  <si>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</si>
  <si>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</si>
  <si>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</si>
  <si>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</si>
  <si>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</si>
  <si>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</si>
  <si>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</si>
  <si>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</si>
  <si>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</si>
  <si>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</si>
  <si>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</si>
  <si>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</si>
  <si>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</si>
  <si>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</si>
  <si>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</si>
  <si>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</si>
  <si>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</si>
  <si>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</si>
  <si>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</si>
  <si>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</si>
  <si>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</si>
  <si>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</si>
  <si>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</si>
  <si>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</si>
  <si>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</si>
  <si>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</si>
  <si>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</si>
  <si>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</si>
  <si>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</si>
  <si>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</si>
  <si>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</si>
  <si>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</si>
  <si>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</si>
  <si>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</si>
  <si>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</si>
  <si>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</si>
  <si>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</si>
  <si>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</si>
  <si>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</si>
  <si>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</si>
  <si>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</si>
  <si>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</si>
  <si>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</si>
  <si>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</si>
  <si>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</si>
  <si>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</si>
  <si>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</si>
  <si>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</si>
  <si>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</si>
  <si>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</si>
  <si>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</si>
  <si>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</si>
  <si>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</si>
  <si>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</si>
  <si>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</si>
  <si>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</si>
  <si>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</si>
  <si>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</si>
  <si>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</si>
  <si>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</si>
  <si>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</si>
  <si>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</si>
  <si>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</si>
  <si>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</si>
  <si>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</si>
  <si>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</si>
  <si>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</si>
  <si>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</si>
  <si>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</si>
  <si>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</si>
  <si>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</si>
  <si>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</si>
  <si>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</si>
  <si>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</si>
  <si>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</si>
  <si>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</si>
  <si>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</si>
  <si>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</si>
  <si>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</si>
  <si>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</si>
  <si>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</si>
  <si>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</si>
  <si>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</si>
  <si>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</si>
  <si>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</si>
  <si>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</si>
  <si>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</si>
  <si>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</si>
  <si>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</si>
  <si>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</si>
  <si>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</si>
  <si>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</si>
  <si>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</si>
  <si>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</si>
  <si>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</si>
  <si>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</si>
  <si>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</si>
  <si>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</si>
  <si>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</si>
  <si>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</si>
  <si>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</si>
  <si>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</si>
  <si>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</si>
  <si>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</si>
  <si>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</si>
  <si>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</si>
  <si>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</si>
  <si>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</si>
  <si>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</si>
  <si>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</si>
  <si>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</si>
  <si>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</si>
  <si>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</si>
  <si>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</si>
  <si>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</si>
  <si>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</si>
  <si>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</si>
  <si>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</si>
  <si>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</si>
  <si>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</si>
  <si>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</si>
  <si>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</si>
  <si>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</si>
  <si>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</si>
  <si>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</si>
  <si>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</si>
  <si>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</si>
  <si>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</si>
  <si>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</si>
  <si>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</si>
  <si>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</si>
  <si>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</si>
  <si>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</si>
  <si>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</si>
  <si>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</si>
  <si>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</si>
  <si>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</si>
  <si>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</si>
  <si>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</si>
  <si>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</si>
  <si>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</si>
  <si>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</si>
  <si>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</si>
  <si>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</si>
  <si>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</si>
  <si>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</si>
  <si>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</si>
  <si>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</si>
  <si>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</si>
  <si>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</si>
  <si>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</si>
  <si>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</si>
  <si>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</si>
  <si>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</si>
  <si>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</si>
  <si>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</si>
  <si>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</si>
  <si>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</si>
  <si>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</si>
  <si>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</si>
  <si>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</si>
  <si>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</si>
  <si>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</si>
  <si>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</si>
  <si>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</si>
  <si>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</si>
  <si>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</si>
  <si>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</si>
  <si>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</si>
  <si>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</si>
  <si>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</si>
  <si>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</si>
  <si>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</si>
  <si>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</si>
  <si>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</si>
  <si>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</si>
  <si>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</si>
  <si>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</si>
  <si>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</si>
  <si>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</si>
  <si>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</si>
  <si>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</si>
  <si>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</si>
  <si>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</si>
  <si>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</si>
  <si>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</si>
  <si>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</si>
  <si>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</si>
  <si>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</si>
  <si>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</si>
  <si>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</si>
  <si>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</si>
  <si>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</si>
  <si>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</si>
  <si>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</si>
  <si>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</si>
  <si>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</si>
  <si>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</si>
  <si>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</si>
  <si>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</si>
  <si>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</si>
  <si>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</si>
  <si>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</si>
  <si>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</si>
  <si>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</si>
  <si>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</si>
  <si>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</si>
  <si>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</si>
  <si>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</si>
  <si>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</si>
  <si>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</si>
  <si>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</si>
  <si>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</si>
  <si>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</si>
  <si>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</si>
  <si>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</si>
  <si>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</si>
  <si>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</si>
  <si>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</si>
  <si>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</si>
  <si>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</si>
  <si>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</si>
  <si>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</si>
  <si>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</si>
  <si>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</si>
  <si>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</si>
  <si>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</si>
  <si>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</si>
  <si>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</si>
  <si>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</si>
  <si>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</si>
  <si>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</si>
  <si>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</si>
  <si>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</si>
  <si>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</si>
  <si>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</si>
  <si>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</si>
  <si>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</si>
  <si>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</si>
  <si>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</si>
  <si>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</si>
  <si>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</si>
  <si>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</si>
  <si>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</si>
  <si>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</si>
  <si>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</si>
  <si>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</si>
  <si>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</si>
  <si>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</si>
  <si>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</si>
  <si>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</si>
  <si>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</si>
  <si>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</si>
  <si>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</si>
  <si>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</si>
  <si>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</si>
  <si>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</si>
  <si>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</si>
  <si>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</si>
  <si>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</si>
  <si>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</si>
  <si>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</si>
  <si>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</si>
  <si>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</si>
  <si>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</si>
  <si>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</si>
  <si>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</si>
  <si>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</si>
  <si>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</si>
  <si>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</si>
  <si>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</si>
  <si>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</si>
  <si>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</si>
  <si>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</si>
  <si>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</si>
  <si>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</si>
  <si>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</si>
  <si>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</si>
  <si>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</si>
  <si>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</si>
  <si>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</si>
  <si>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</si>
  <si>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</si>
  <si>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</si>
  <si>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</si>
  <si>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</si>
  <si>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</si>
  <si>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</si>
  <si>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</si>
  <si>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</si>
  <si>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</si>
  <si>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</si>
  <si>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</si>
  <si>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</si>
  <si>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</si>
  <si>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</si>
  <si>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</si>
  <si>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</si>
  <si>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</si>
  <si>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</si>
  <si>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</si>
  <si>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</si>
  <si>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</si>
  <si>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</si>
  <si>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</si>
  <si>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</si>
  <si>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</si>
  <si>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</si>
  <si>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</si>
  <si>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</si>
  <si>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</si>
  <si>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</si>
  <si>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</si>
  <si>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</si>
  <si>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</si>
  <si>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</si>
  <si>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</si>
  <si>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</si>
  <si>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</si>
  <si>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</si>
  <si>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</si>
  <si>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</si>
  <si>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</si>
  <si>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</si>
  <si>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</si>
  <si>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</si>
  <si>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</si>
  <si>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</si>
  <si>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</si>
  <si>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</si>
  <si>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</si>
  <si>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</si>
  <si>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</si>
  <si>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</si>
  <si>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</si>
  <si>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</si>
  <si>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</si>
  <si>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</si>
  <si>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</si>
  <si>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</si>
  <si>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</si>
  <si>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</si>
  <si>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</si>
  <si>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</si>
  <si>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</si>
  <si>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</si>
  <si>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</si>
  <si>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</si>
  <si>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</si>
  <si>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</si>
  <si>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</si>
  <si>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</si>
  <si>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</si>
  <si>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</si>
  <si>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</si>
  <si>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</si>
  <si>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</si>
  <si>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</si>
  <si>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</si>
  <si>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</si>
  <si>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</si>
  <si>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</si>
  <si>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</si>
  <si>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</si>
  <si>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</si>
  <si>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</si>
  <si>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</si>
  <si>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</si>
  <si>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</si>
  <si>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</si>
  <si>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</si>
  <si>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</si>
  <si>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</si>
  <si>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</si>
  <si>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</si>
  <si>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</si>
  <si>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</si>
  <si>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</si>
  <si>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</si>
  <si>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</si>
  <si>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</si>
  <si>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</si>
  <si>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</si>
  <si>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</si>
  <si>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</si>
  <si>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</si>
  <si>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</si>
  <si>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</si>
  <si>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</si>
  <si>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</si>
  <si>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</si>
  <si>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</si>
  <si>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</si>
  <si>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</si>
  <si>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</si>
  <si>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</si>
  <si>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</si>
  <si>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</si>
  <si>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</si>
  <si>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</si>
  <si>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</si>
  <si>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</si>
  <si>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</si>
  <si>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</si>
  <si>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</si>
  <si>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</si>
  <si>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</si>
  <si>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</si>
  <si>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</si>
  <si>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</si>
  <si>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</si>
  <si>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</si>
  <si>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</si>
  <si>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</si>
  <si>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</si>
  <si>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</si>
  <si>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</si>
  <si>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</si>
  <si>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</si>
  <si>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</si>
  <si>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</si>
  <si>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</si>
  <si>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</si>
  <si>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</si>
  <si>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</si>
  <si>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</si>
  <si>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</si>
  <si>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</si>
  <si>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</si>
  <si>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</si>
  <si>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</si>
  <si>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</si>
  <si>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</si>
  <si>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</si>
  <si>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</si>
  <si>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</si>
  <si>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</si>
  <si>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</si>
  <si>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</si>
  <si>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</si>
  <si>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</si>
  <si>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</si>
  <si>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</si>
  <si>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</si>
  <si>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</si>
  <si>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</si>
  <si>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</si>
  <si>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</si>
  <si>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</si>
  <si>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</si>
  <si>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</si>
  <si>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</si>
  <si>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</si>
  <si>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</si>
  <si>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</si>
  <si>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</si>
  <si>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</si>
  <si>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</si>
  <si>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</si>
  <si>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</si>
  <si>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</si>
  <si>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</si>
  <si>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</si>
  <si>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</si>
  <si>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</si>
  <si>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</si>
  <si>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</si>
  <si>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</si>
  <si>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</si>
  <si>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</si>
  <si>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</si>
  <si>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</si>
  <si>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</si>
  <si>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</si>
  <si>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</si>
  <si>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</si>
  <si>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</si>
  <si>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</si>
  <si>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</si>
  <si>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</si>
  <si>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</si>
  <si>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</si>
  <si>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</si>
  <si>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</si>
  <si>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</si>
  <si>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</si>
  <si>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</si>
  <si>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</si>
  <si>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</si>
  <si>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</si>
  <si>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</si>
  <si>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</si>
  <si>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</si>
  <si>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</si>
  <si>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</si>
  <si>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</si>
  <si>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</si>
  <si>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</si>
  <si>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</si>
  <si>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</si>
  <si>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</si>
  <si>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</si>
  <si>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</si>
  <si>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</si>
  <si>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</si>
  <si>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</si>
  <si>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</si>
  <si>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</si>
  <si>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</si>
  <si>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</si>
  <si>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</si>
  <si>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</si>
  <si>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</si>
  <si>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</si>
  <si>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</si>
  <si>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</si>
  <si>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</si>
  <si>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</si>
  <si>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</si>
  <si>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</si>
  <si>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</si>
  <si>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</si>
  <si>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</si>
  <si>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</si>
  <si>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</si>
  <si>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</si>
  <si>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</si>
  <si>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</si>
  <si>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</si>
  <si>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</si>
  <si>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</si>
  <si>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</si>
  <si>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</si>
  <si>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</si>
  <si>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</si>
  <si>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</si>
  <si>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</si>
  <si>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</si>
  <si>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</si>
  <si>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</si>
  <si>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</si>
  <si>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</si>
  <si>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</si>
  <si>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</si>
  <si>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</si>
  <si>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</si>
  <si>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</si>
  <si>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</si>
  <si>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</si>
  <si>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</si>
  <si>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</si>
  <si>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</si>
  <si>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</si>
  <si>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</si>
  <si>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</si>
  <si>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</si>
  <si>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</si>
  <si>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</si>
  <si>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</si>
  <si>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</si>
  <si>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</si>
  <si>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</si>
  <si>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</si>
  <si>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</si>
  <si>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</si>
  <si>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</si>
  <si>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</si>
  <si>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</si>
  <si>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</si>
  <si>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</si>
  <si>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</si>
  <si>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</si>
  <si>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</si>
  <si>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</si>
  <si>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</si>
  <si>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</si>
  <si>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</si>
  <si>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</si>
  <si>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</si>
  <si>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</si>
  <si>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</si>
  <si>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</si>
  <si>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</si>
  <si>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</si>
  <si>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</si>
  <si>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</si>
  <si>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</si>
  <si>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</si>
  <si>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</si>
  <si>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</si>
  <si>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</si>
  <si>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</si>
  <si>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</si>
  <si>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</si>
  <si>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</si>
  <si>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</si>
  <si>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</si>
  <si>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</si>
  <si>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</si>
  <si>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</si>
  <si>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</si>
  <si>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</si>
  <si>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</si>
  <si>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</si>
  <si>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</si>
  <si>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</si>
  <si>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</si>
  <si>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</si>
  <si>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</si>
  <si>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</si>
  <si>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</si>
  <si>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</si>
  <si>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</si>
  <si>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</si>
  <si>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</si>
  <si>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</si>
  <si>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</si>
  <si>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</si>
  <si>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</si>
  <si>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</si>
  <si>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</si>
  <si>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</si>
  <si>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</si>
  <si>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</si>
  <si>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</si>
  <si>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</si>
  <si>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</si>
  <si>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</si>
  <si>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</si>
  <si>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</si>
  <si>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</si>
  <si>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</si>
  <si>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</si>
  <si>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</si>
  <si>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</si>
  <si>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</si>
  <si>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</si>
  <si>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</si>
  <si>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</si>
  <si>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</si>
  <si>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</si>
  <si>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</si>
  <si>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</si>
  <si>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</si>
  <si>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</si>
  <si>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</si>
  <si>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</si>
  <si>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</si>
  <si>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</si>
  <si>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</si>
  <si>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</si>
  <si>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</si>
  <si>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</si>
  <si>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</si>
  <si>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</si>
  <si>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</si>
  <si>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</si>
  <si>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</si>
  <si>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</si>
  <si>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</si>
  <si>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</si>
  <si>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</si>
  <si>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</si>
  <si>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</si>
  <si>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</si>
  <si>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</si>
  <si>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</si>
  <si>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</si>
  <si>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</si>
  <si>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</si>
  <si>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</si>
  <si>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</si>
  <si>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</si>
  <si>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</si>
  <si>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</si>
  <si>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</si>
  <si>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</si>
  <si>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</si>
  <si>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</si>
  <si>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</si>
  <si>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</si>
  <si>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</si>
  <si>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</si>
  <si>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</si>
  <si>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</si>
  <si>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</si>
  <si>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</si>
  <si>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</si>
  <si>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</si>
  <si>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</si>
  <si>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</si>
  <si>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</si>
  <si>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</si>
  <si>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</si>
  <si>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</si>
  <si>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</si>
  <si>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</si>
  <si>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</si>
  <si>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</si>
  <si>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</si>
  <si>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</si>
  <si>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</si>
  <si>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</si>
  <si>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</si>
  <si>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</si>
  <si>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</si>
  <si>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</si>
  <si>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</si>
  <si>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</si>
  <si>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</si>
  <si>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</si>
  <si>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</si>
  <si>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</si>
  <si>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</si>
  <si>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</si>
  <si>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</si>
  <si>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</si>
  <si>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</si>
  <si>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</si>
  <si>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</si>
  <si>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</si>
  <si>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</si>
  <si>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</si>
  <si>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</si>
  <si>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</si>
  <si>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</si>
  <si>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</si>
  <si>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</si>
  <si>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</si>
  <si>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</si>
  <si>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</si>
  <si>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</si>
  <si>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</si>
  <si>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</si>
  <si>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</si>
  <si>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</si>
  <si>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</si>
  <si>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</si>
  <si>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</si>
  <si>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</si>
  <si>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</si>
  <si>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</si>
  <si>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</si>
  <si>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</si>
  <si>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</si>
  <si>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</si>
  <si>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</si>
  <si>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</si>
  <si>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</si>
  <si>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</si>
  <si>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</si>
  <si>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</si>
  <si>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</si>
  <si>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</si>
  <si>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</si>
  <si>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</si>
  <si>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</si>
  <si>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</si>
  <si>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</si>
  <si>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</si>
  <si>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</si>
  <si>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</si>
  <si>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</si>
  <si>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</si>
  <si>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</si>
  <si>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</si>
  <si>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</si>
  <si>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</si>
  <si>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</si>
  <si>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</si>
  <si>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</si>
  <si>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</si>
  <si>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</si>
  <si>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</si>
  <si>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</si>
  <si>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</si>
  <si>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</si>
  <si>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</si>
  <si>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</si>
  <si>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</si>
  <si>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</si>
  <si>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</si>
  <si>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</si>
  <si>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</si>
  <si>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</si>
  <si>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</si>
  <si>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</si>
  <si>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</si>
  <si>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</si>
  <si>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</si>
  <si>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</si>
  <si>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</si>
  <si>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</si>
  <si>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</si>
  <si>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</si>
  <si>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</si>
  <si>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</si>
  <si>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</si>
  <si>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</si>
  <si>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</si>
  <si>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</si>
  <si>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</si>
  <si>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</si>
  <si>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</si>
  <si>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</si>
  <si>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</si>
  <si>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</si>
  <si>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</si>
  <si>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</si>
  <si>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</si>
  <si>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</si>
  <si>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</si>
  <si>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</si>
  <si>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</si>
  <si>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</si>
  <si>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</si>
  <si>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</si>
  <si>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</si>
  <si>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</si>
  <si>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</si>
  <si>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</si>
  <si>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</si>
  <si>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</si>
  <si>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</si>
  <si>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</si>
  <si>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</si>
  <si>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</si>
  <si>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</si>
  <si>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</si>
  <si>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</si>
  <si>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</si>
  <si>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</si>
  <si>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</si>
  <si>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</si>
  <si>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</si>
  <si>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</si>
  <si>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</si>
  <si>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</si>
  <si>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</si>
  <si>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</si>
  <si>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</si>
  <si>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</si>
  <si>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</si>
  <si>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</si>
  <si>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</si>
  <si>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</si>
  <si>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</si>
  <si>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</si>
  <si>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</si>
  <si>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</si>
  <si>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</si>
  <si>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</si>
  <si>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</si>
  <si>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</si>
  <si>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</si>
  <si>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</si>
  <si>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</si>
  <si>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</si>
  <si>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</si>
  <si>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</si>
  <si>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</si>
  <si>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</si>
  <si>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</si>
  <si>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</si>
  <si>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</si>
  <si>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</si>
  <si>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</si>
  <si>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</si>
  <si>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</si>
  <si>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</si>
  <si>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</si>
  <si>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</si>
  <si>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</si>
  <si>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</si>
  <si>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</si>
  <si>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</si>
  <si>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</si>
  <si>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</si>
  <si>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</si>
  <si>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</si>
  <si>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</si>
  <si>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</si>
  <si>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</si>
  <si>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</si>
  <si>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</si>
  <si>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</si>
  <si>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</si>
  <si>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</si>
  <si>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</si>
  <si>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</si>
  <si>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</si>
  <si>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</si>
  <si>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</si>
  <si>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</si>
  <si>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</si>
  <si>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</si>
  <si>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</si>
  <si>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</si>
  <si>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</si>
  <si>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</si>
  <si>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</si>
  <si>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</si>
  <si>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</si>
  <si>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</si>
  <si>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</si>
  <si>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</si>
  <si>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</si>
  <si>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</si>
  <si>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</si>
  <si>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</si>
  <si>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</si>
  <si>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</si>
  <si>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</si>
  <si>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</si>
  <si>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</si>
  <si>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</si>
  <si>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</si>
  <si>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</si>
  <si>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</si>
  <si>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</si>
  <si>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</si>
  <si>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</si>
  <si>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</si>
  <si>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</si>
  <si>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</si>
  <si>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</si>
  <si>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</si>
  <si>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</si>
  <si>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</si>
  <si>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</si>
  <si>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</si>
  <si>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</si>
  <si>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</si>
  <si>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</si>
  <si>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</si>
  <si>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</si>
  <si>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</si>
  <si>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</si>
  <si>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</si>
  <si>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</si>
  <si>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</si>
  <si>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</si>
  <si>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</si>
  <si>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</si>
  <si>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</si>
  <si>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</si>
  <si>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</si>
  <si>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</si>
  <si>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</si>
  <si>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</si>
  <si>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</si>
  <si>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</si>
  <si>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</si>
  <si>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</si>
  <si>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</si>
  <si>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</si>
  <si>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</si>
  <si>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</si>
  <si>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</si>
  <si>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</si>
  <si>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</si>
  <si>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</si>
  <si>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</si>
  <si>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</si>
  <si>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</si>
  <si>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</si>
  <si>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</si>
  <si>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</si>
  <si>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</si>
  <si>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</si>
  <si>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</si>
  <si>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</si>
  <si>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</si>
  <si>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</si>
  <si>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</si>
  <si>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</si>
  <si>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</si>
  <si>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</si>
  <si>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</si>
  <si>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</si>
  <si>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</si>
  <si>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</si>
  <si>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</si>
  <si>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</si>
  <si>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</si>
  <si>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</si>
  <si>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</si>
  <si>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</si>
  <si>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</si>
  <si>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</si>
  <si>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</si>
  <si>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</si>
  <si>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</si>
  <si>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</si>
  <si>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</si>
  <si>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</si>
  <si>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</si>
  <si>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</si>
  <si>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</si>
  <si>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</si>
  <si>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</si>
  <si>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</si>
  <si>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</si>
  <si>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</si>
  <si>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</si>
  <si>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</si>
  <si>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</si>
  <si>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</si>
  <si>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</si>
  <si>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</si>
  <si>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</si>
  <si>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</si>
  <si>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</si>
  <si>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</si>
  <si>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</si>
  <si>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</si>
  <si>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</si>
  <si>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</si>
  <si>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</si>
  <si>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</si>
  <si>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</si>
  <si>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</si>
  <si>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</si>
  <si>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</si>
  <si>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</si>
  <si>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</si>
  <si>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</si>
  <si>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</si>
  <si>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</si>
  <si>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</si>
  <si>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</si>
  <si>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</si>
  <si>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</si>
  <si>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</si>
  <si>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</si>
  <si>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</si>
  <si>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</si>
  <si>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</si>
  <si>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</si>
  <si>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</si>
  <si>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</si>
  <si>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</si>
  <si>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</si>
  <si>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</si>
  <si>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</si>
  <si>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</si>
  <si>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</si>
  <si>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</si>
  <si>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</si>
  <si>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</si>
  <si>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</si>
  <si>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</si>
  <si>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</si>
  <si>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</si>
  <si>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</si>
  <si>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</si>
  <si>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</si>
  <si>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</si>
  <si>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</si>
  <si>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</si>
  <si>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</si>
  <si>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</si>
  <si>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</si>
  <si>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</si>
  <si>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</si>
  <si>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</si>
  <si>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</si>
  <si>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</si>
  <si>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</si>
  <si>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</si>
  <si>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</si>
  <si>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</si>
  <si>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</si>
  <si>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</si>
  <si>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</si>
  <si>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</si>
  <si>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</si>
  <si>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</si>
  <si>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</si>
  <si>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</si>
  <si>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</si>
  <si>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</si>
  <si>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</si>
  <si>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</si>
  <si>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</si>
  <si>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</si>
  <si>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</si>
  <si>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</si>
  <si>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</si>
  <si>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</si>
  <si>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</si>
  <si>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</si>
  <si>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</si>
  <si>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</si>
  <si>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</si>
  <si>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</si>
  <si>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</si>
  <si>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</si>
  <si>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</si>
  <si>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</si>
  <si>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</si>
  <si>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</si>
  <si>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</si>
  <si>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</si>
  <si>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</si>
  <si>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</si>
  <si>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</si>
  <si>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</si>
  <si>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</si>
  <si>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</si>
  <si>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</si>
  <si>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</si>
  <si>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</si>
  <si>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</si>
  <si>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</si>
  <si>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</si>
  <si>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</si>
  <si>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</si>
  <si>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</si>
  <si>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</si>
  <si>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</si>
  <si>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</si>
  <si>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</si>
  <si>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</si>
  <si>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</si>
  <si>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</si>
  <si>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</si>
  <si>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</si>
  <si>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</si>
  <si>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</si>
  <si>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</si>
  <si>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</si>
  <si>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</si>
  <si>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</si>
  <si>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</si>
  <si>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</si>
  <si>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</si>
  <si>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</si>
  <si>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</si>
  <si>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</si>
  <si>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</si>
  <si>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</si>
  <si>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</si>
  <si>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</si>
  <si>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</si>
  <si>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</si>
  <si>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</si>
  <si>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</si>
  <si>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</si>
  <si>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</si>
  <si>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</si>
  <si>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</si>
  <si>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</si>
  <si>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</si>
  <si>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</si>
  <si>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</si>
  <si>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</si>
  <si>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</si>
  <si>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</si>
  <si>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</si>
  <si>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</si>
  <si>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</si>
  <si>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</si>
  <si>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</si>
  <si>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</si>
  <si>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</si>
  <si>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</si>
  <si>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</si>
  <si>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</si>
  <si>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</si>
  <si>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</si>
  <si>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</si>
  <si>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</si>
  <si>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</si>
  <si>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</si>
  <si>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</si>
  <si>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</si>
  <si>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</si>
  <si>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</si>
  <si>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</si>
  <si>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</si>
  <si>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</si>
  <si>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</si>
  <si>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</si>
  <si>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</si>
  <si>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</si>
  <si>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</si>
  <si>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</si>
  <si>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</si>
  <si>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</si>
  <si>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</si>
  <si>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</si>
  <si>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</si>
  <si>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</si>
  <si>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</si>
  <si>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</si>
  <si>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</si>
  <si>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</si>
  <si>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</si>
  <si>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</si>
  <si>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</si>
  <si>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</si>
  <si>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</si>
  <si>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</si>
  <si>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</si>
  <si>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</si>
  <si>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</si>
  <si>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</si>
  <si>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</si>
  <si>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</si>
  <si>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</si>
  <si>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</si>
  <si>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</si>
  <si>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</si>
  <si>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</si>
  <si>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</si>
  <si>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</si>
  <si>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</si>
  <si>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</si>
  <si>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</si>
  <si>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</si>
  <si>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</si>
  <si>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</si>
  <si>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</si>
  <si>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</si>
  <si>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</si>
  <si>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</si>
  <si>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</si>
  <si>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</si>
  <si>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</si>
  <si>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</si>
  <si>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</si>
  <si>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</si>
  <si>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</si>
  <si>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</si>
  <si>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</si>
  <si>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</si>
  <si>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</si>
  <si>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</si>
  <si>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</si>
  <si>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</si>
  <si>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</si>
  <si>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</si>
  <si>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</si>
  <si>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</si>
  <si>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</si>
  <si>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</si>
  <si>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</si>
  <si>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</si>
  <si>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</si>
  <si>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</si>
  <si>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</si>
  <si>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</si>
  <si>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</si>
  <si>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</si>
  <si>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</si>
  <si>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</si>
  <si>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</si>
  <si>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</si>
  <si>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</si>
  <si>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</si>
  <si>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</si>
  <si>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</si>
  <si>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</si>
  <si>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</si>
  <si>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</si>
  <si>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</si>
  <si>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</si>
  <si>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</si>
  <si>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</si>
  <si>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</si>
  <si>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</si>
  <si>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</si>
  <si>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</si>
  <si>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</si>
  <si>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</si>
  <si>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</si>
  <si>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</si>
  <si>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</si>
  <si>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</si>
  <si>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</si>
  <si>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</si>
  <si>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</si>
  <si>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</si>
  <si>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</si>
  <si>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</si>
  <si>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</si>
  <si>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</si>
  <si>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</si>
  <si>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</si>
  <si>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</si>
  <si>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</si>
  <si>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</si>
  <si>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</si>
  <si>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</si>
  <si>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</si>
  <si>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</si>
  <si>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</si>
  <si>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</si>
  <si>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</si>
  <si>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</si>
  <si>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</si>
  <si>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</si>
  <si>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</si>
  <si>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</si>
  <si>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</si>
  <si>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</si>
  <si>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</si>
  <si>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</si>
  <si>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</si>
  <si>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</si>
  <si>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</si>
  <si>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</si>
  <si>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</si>
  <si>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</si>
  <si>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</si>
  <si>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</si>
  <si>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</si>
  <si>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</si>
  <si>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</si>
  <si>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</si>
  <si>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</si>
  <si>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</si>
  <si>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</si>
  <si>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</si>
  <si>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</si>
  <si>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</si>
  <si>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</si>
  <si>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</si>
  <si>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</si>
  <si>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</si>
  <si>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</si>
  <si>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</si>
  <si>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</si>
  <si>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</si>
  <si>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</si>
  <si>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</si>
  <si>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</si>
  <si>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</si>
  <si>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2009</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</si>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</sst>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22700.402000000002</v>
      </c>
      <c r="F22" s="3419" t="str">
        <f t="shared" si="0"/>
        <v>NA</v>
      </c>
      <c r="G22" s="3395">
        <v>349.7925580909091</v>
      </c>
      <c r="H22" s="3374">
        <f t="shared" si="1"/>
        <v>1282.572713</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35595.9</v>
      </c>
      <c r="F24" s="3419" t="str">
        <f t="shared" si="0"/>
        <v>NA</v>
      </c>
      <c r="G24" s="3395">
        <v>783.43339909090912</v>
      </c>
      <c r="H24" s="3374">
        <f t="shared" si="1"/>
        <v>2872.5891300000003</v>
      </c>
      <c r="I24" s="2579" t="s">
        <v>2147</v>
      </c>
      <c r="J24" s="2580"/>
      <c r="M24" s="125"/>
    </row>
    <row r="25" spans="2:13" ht="18" customHeight="1" x14ac:dyDescent="0.2">
      <c r="B25" s="165"/>
      <c r="C25" s="1563"/>
      <c r="D25" s="1452" t="s">
        <v>1789</v>
      </c>
      <c r="E25" s="3414">
        <v>17019.300000000003</v>
      </c>
      <c r="F25" s="3419" t="str">
        <f t="shared" si="0"/>
        <v>NA</v>
      </c>
      <c r="G25" s="3395">
        <v>323.21971513636367</v>
      </c>
      <c r="H25" s="3374">
        <f t="shared" si="1"/>
        <v>1185.1389555000003</v>
      </c>
      <c r="I25" s="2579" t="s">
        <v>2147</v>
      </c>
      <c r="J25" s="2580"/>
      <c r="M25" s="125"/>
    </row>
    <row r="26" spans="2:13" ht="18" customHeight="1" x14ac:dyDescent="0.2">
      <c r="B26" s="165"/>
      <c r="C26" s="1563"/>
      <c r="D26" s="1452" t="s">
        <v>1790</v>
      </c>
      <c r="E26" s="3418">
        <v>27743.36288610824</v>
      </c>
      <c r="F26" s="3419">
        <f t="shared" si="0"/>
        <v>25.261363636363633</v>
      </c>
      <c r="G26" s="3395">
        <v>700.83517836157512</v>
      </c>
      <c r="H26" s="3374">
        <f t="shared" si="1"/>
        <v>2569.7289873257755</v>
      </c>
      <c r="I26" s="3395">
        <v>2569.7289873257755</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26667.230811864403</v>
      </c>
      <c r="F28" s="3419">
        <f>IF(I28="NA","NA",I28/(44/12)*1000/E28)</f>
        <v>1.338234291603615</v>
      </c>
      <c r="G28" s="3395">
        <v>468.91028502545453</v>
      </c>
      <c r="H28" s="3374">
        <f>IF(G28="NA","NA",IF(G28="NO","NO",G28*44/12))</f>
        <v>1719.33771176</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129726.19569797265</v>
      </c>
      <c r="F31" s="3359">
        <f t="shared" ref="F31" si="3">IF(I31="NA","NA",I31/(44/12)*1000/E31)</f>
        <v>5.6775131432273307</v>
      </c>
      <c r="G31" s="3423">
        <f>SUM(G11:G29)</f>
        <v>2626.1911357052113</v>
      </c>
      <c r="H31" s="3371">
        <f t="shared" ref="H31" si="4">IF(G31="NA","NA",IF(G31="NO","NO",G31*44/12))</f>
        <v>9629.3674975857739</v>
      </c>
      <c r="I31" s="3423">
        <f>SUM(I11:I29)</f>
        <v>2700.5813306857754</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26279.964</v>
      </c>
      <c r="F35" s="3419">
        <f>IF(I35="NA","NA",I35/(44/12)*1000/E35)</f>
        <v>24.567079232611658</v>
      </c>
      <c r="G35" s="3399">
        <v>645.62195781818184</v>
      </c>
      <c r="H35" s="3396">
        <f t="shared" si="5"/>
        <v>2367.2805119999998</v>
      </c>
      <c r="I35" s="3395">
        <v>2367.2805120000003</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60000.744331165966</v>
      </c>
      <c r="F41" s="3419">
        <f t="shared" ref="F41" si="8">IF(I41="NA","NA",I41/(44/12)*1000/E41)</f>
        <v>28.992733382751378</v>
      </c>
      <c r="G41" s="3395">
        <v>1770.7478802204926</v>
      </c>
      <c r="H41" s="3396">
        <f t="shared" si="5"/>
        <v>6492.7422274751398</v>
      </c>
      <c r="I41" s="3395">
        <v>6378.4804715871287</v>
      </c>
      <c r="J41" s="3416" t="s">
        <v>2274</v>
      </c>
      <c r="M41" s="125"/>
    </row>
    <row r="42" spans="2:13" ht="18" customHeight="1" x14ac:dyDescent="0.2">
      <c r="B42" s="1434"/>
      <c r="C42" s="1564"/>
      <c r="D42" s="1452" t="s">
        <v>1792</v>
      </c>
      <c r="E42" s="3414">
        <v>7920.4532020737988</v>
      </c>
      <c r="F42" s="3419">
        <f>IF(I42="NA","NA",I42/(44/12)*1000/E42)</f>
        <v>14.263631180089215</v>
      </c>
      <c r="G42" s="3395">
        <v>167.34989234444637</v>
      </c>
      <c r="H42" s="3396">
        <f t="shared" si="5"/>
        <v>613.6162719296367</v>
      </c>
      <c r="I42" s="3395">
        <v>414.23955192963672</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94201.161533239763</v>
      </c>
      <c r="F45" s="3343">
        <f>IF(I45="NA","NA",I45/(44/12)*1000/E45)</f>
        <v>26.519651388272305</v>
      </c>
      <c r="G45" s="3423">
        <f>SUM(G33:G43)</f>
        <v>2583.7197303831208</v>
      </c>
      <c r="H45" s="3371">
        <f t="shared" ref="H45" si="9">IF(G45="NA","NA",IF(G45="NO","NO",G45*44/12))</f>
        <v>9473.6390114047772</v>
      </c>
      <c r="I45" s="3423">
        <f>SUM(I33:I43)</f>
        <v>9160.0005355167668</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39040.097640500011</v>
      </c>
      <c r="F47" s="3419">
        <f t="shared" ref="F47" si="10">IF(I47="NA","NA",I47/(44/12)*1000/E47)</f>
        <v>14.021432274344992</v>
      </c>
      <c r="G47" s="3395">
        <v>547.39808505008659</v>
      </c>
      <c r="H47" s="3374">
        <f t="shared" ref="H47" si="11">IF(G47="NA","NA",IF(G47="NO","NO",G47*44/12))</f>
        <v>2007.1263118503175</v>
      </c>
      <c r="I47" s="3395">
        <v>2007.1263118503175</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39040.097640500011</v>
      </c>
      <c r="F50" s="3343">
        <f>IF(I50="NA","NA",I50/(44/12)*1000/E50)</f>
        <v>14.021432274344992</v>
      </c>
      <c r="G50" s="3423">
        <f>SUM(G47:G48)</f>
        <v>547.39808505008659</v>
      </c>
      <c r="H50" s="3397">
        <f t="shared" ref="H50" si="13">IF(G50="NA","NA",IF(G50="NO","NO",G50*44/12))</f>
        <v>2007.1263118503175</v>
      </c>
      <c r="I50" s="3423">
        <f>SUM(I47:I48)</f>
        <v>2007.1263118503175</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262967.45487171243</v>
      </c>
      <c r="F55" s="3354">
        <f t="shared" si="14"/>
        <v>14.382396605782017</v>
      </c>
      <c r="G55" s="3423">
        <f>SUM(G31,G45,G50,G54)</f>
        <v>5757.3089511384187</v>
      </c>
      <c r="H55" s="3398">
        <f t="shared" si="15"/>
        <v>21110.13282084087</v>
      </c>
      <c r="I55" s="3423">
        <f>SUM(I31,I45,I50,I54)</f>
        <v>13867.708178052859</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510.12567100000001</v>
      </c>
      <c r="D10" s="3127"/>
      <c r="E10" s="3127"/>
      <c r="F10" s="3078">
        <f>SUM(F11,F18)</f>
        <v>1203.4546215324419</v>
      </c>
      <c r="G10" s="3078">
        <f>SUM(G11,G18)</f>
        <v>1308.4125121797349</v>
      </c>
      <c r="H10" s="3078">
        <f>H11</f>
        <v>-64.238405117079992</v>
      </c>
      <c r="I10" s="3128" t="s">
        <v>2146</v>
      </c>
      <c r="L10" s="3750"/>
    </row>
    <row r="11" spans="2:12" ht="18" customHeight="1" x14ac:dyDescent="0.2">
      <c r="B11" s="1252" t="s">
        <v>334</v>
      </c>
      <c r="C11" s="3033">
        <v>104.10941200000001</v>
      </c>
      <c r="D11" s="3078">
        <f>IFERROR(SUM(F11,H11)/$C$11,"NA")</f>
        <v>8.3413197442064604</v>
      </c>
      <c r="E11" s="3078">
        <f>IFERROR(SUM(G11,I11)/$C$11,"NA")</f>
        <v>11.605934327151811</v>
      </c>
      <c r="F11" s="3078">
        <f>SUM(F12:F16)</f>
        <v>932.64829899040501</v>
      </c>
      <c r="G11" s="3078">
        <f>SUM(G12:G16)</f>
        <v>1208.2869985103907</v>
      </c>
      <c r="H11" s="3078">
        <f>H12</f>
        <v>-64.238405117079992</v>
      </c>
      <c r="I11" s="3128" t="s">
        <v>2146</v>
      </c>
    </row>
    <row r="12" spans="2:12" ht="18" customHeight="1" x14ac:dyDescent="0.2">
      <c r="B12" s="160" t="s">
        <v>335</v>
      </c>
      <c r="C12" s="3046"/>
      <c r="D12" s="3078">
        <f t="shared" ref="D12:D14" si="0">IFERROR(SUM(F12,H12)/$C$11,"NA")</f>
        <v>7.4161439178750292</v>
      </c>
      <c r="E12" s="3078">
        <f>IFERROR(SUM(G12,I12)/$C$11,"NA")</f>
        <v>9.864470704079082</v>
      </c>
      <c r="F12" s="3126">
        <v>836.32878771442563</v>
      </c>
      <c r="G12" s="3126">
        <v>1026.9842446928992</v>
      </c>
      <c r="H12" s="3126">
        <v>-64.238405117079992</v>
      </c>
      <c r="I12" s="3034" t="s">
        <v>2146</v>
      </c>
    </row>
    <row r="13" spans="2:12" ht="18" customHeight="1" x14ac:dyDescent="0.2">
      <c r="B13" s="160" t="s">
        <v>336</v>
      </c>
      <c r="C13" s="3046"/>
      <c r="D13" s="3078">
        <f t="shared" si="0"/>
        <v>0.35835807197120184</v>
      </c>
      <c r="E13" s="3078" t="s">
        <v>2147</v>
      </c>
      <c r="F13" s="3126">
        <v>37.308448158375505</v>
      </c>
      <c r="G13" s="3126" t="s">
        <v>2154</v>
      </c>
      <c r="H13" s="3126" t="s">
        <v>2146</v>
      </c>
      <c r="I13" s="3034" t="s">
        <v>2146</v>
      </c>
    </row>
    <row r="14" spans="2:12" ht="18" customHeight="1" x14ac:dyDescent="0.2">
      <c r="B14" s="160" t="s">
        <v>337</v>
      </c>
      <c r="C14" s="3046"/>
      <c r="D14" s="3078">
        <f t="shared" si="0"/>
        <v>0.56128286997681909</v>
      </c>
      <c r="E14" s="3078" t="s">
        <v>2147</v>
      </c>
      <c r="F14" s="3126">
        <v>58.434829558959088</v>
      </c>
      <c r="G14" s="3126" t="s">
        <v>2147</v>
      </c>
      <c r="H14" s="3126" t="s">
        <v>2146</v>
      </c>
      <c r="I14" s="3034" t="s">
        <v>2146</v>
      </c>
    </row>
    <row r="15" spans="2:12" ht="18" customHeight="1" x14ac:dyDescent="0.2">
      <c r="B15" s="160" t="s">
        <v>338</v>
      </c>
      <c r="C15" s="3033">
        <v>6.4238405117079997E-2</v>
      </c>
      <c r="D15" s="3078">
        <f>IFERROR(SUM(F15,H15)/$C15,"NA")</f>
        <v>8.9702345130534482</v>
      </c>
      <c r="E15" s="3078">
        <f>IFERROR(SUM(G15,I15)/$C15,"NA")</f>
        <v>2822.342078497305</v>
      </c>
      <c r="F15" s="3126">
        <v>0.57623355864474024</v>
      </c>
      <c r="G15" s="3126">
        <v>181.30275381749146</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406.01625899999999</v>
      </c>
      <c r="D18" s="3078">
        <f>IFERROR(SUM(F18,H18)/$C$18,"NA")</f>
        <v>0.66698393608428619</v>
      </c>
      <c r="E18" s="3078">
        <f>IFERROR(SUM(G18,I18)/$C$18,"NA")</f>
        <v>0.24660468995982768</v>
      </c>
      <c r="F18" s="3078">
        <f>SUM(F19:F21)</f>
        <v>270.80632254203698</v>
      </c>
      <c r="G18" s="3131">
        <f t="shared" ref="G18" si="2">SUM(G19:G21)</f>
        <v>100.12551366934409</v>
      </c>
      <c r="H18" s="3078" t="s">
        <v>2146</v>
      </c>
      <c r="I18" s="3128" t="s">
        <v>2146</v>
      </c>
    </row>
    <row r="19" spans="2:9" ht="18" customHeight="1" x14ac:dyDescent="0.2">
      <c r="B19" s="160" t="s">
        <v>341</v>
      </c>
      <c r="C19" s="3046"/>
      <c r="D19" s="3078">
        <f>IFERROR(SUM(F19,H19)/$C$18,"NA")</f>
        <v>0.66698393608428619</v>
      </c>
      <c r="E19" s="3078">
        <f>IFERROR(SUM(G19,I19)/$C$18,"NA")</f>
        <v>0.24660468995982768</v>
      </c>
      <c r="F19" s="3126">
        <v>270.80632254203698</v>
      </c>
      <c r="G19" s="3126">
        <v>100.12551366934409</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291.858230005</v>
      </c>
      <c r="J10" s="3145">
        <f>IF(SUM(J11:J16)=0,"NO",SUM(J11:J16))</f>
        <v>3.8451879054070752</v>
      </c>
      <c r="K10" s="1913">
        <f>IF(SUM(K11:K16)=0,"NO",SUM(K11:K16))</f>
        <v>8.9261885790000006E-3</v>
      </c>
      <c r="L10" s="3146" t="s">
        <v>2146</v>
      </c>
    </row>
    <row r="11" spans="2:12" ht="18" customHeight="1" x14ac:dyDescent="0.2">
      <c r="B11" s="1252" t="s">
        <v>363</v>
      </c>
      <c r="C11" s="2165" t="s">
        <v>2159</v>
      </c>
      <c r="D11" s="2165" t="s">
        <v>2275</v>
      </c>
      <c r="E11" s="691" t="s">
        <v>2146</v>
      </c>
      <c r="F11" s="1913" t="e">
        <f>I11*1000000/$E11</f>
        <v>#VALUE!</v>
      </c>
      <c r="G11" s="1913" t="e">
        <f>J11*1000000/$E11</f>
        <v>#VALUE!</v>
      </c>
      <c r="H11" s="1913" t="e">
        <f>K11*1000000/$E11</f>
        <v>#VALUE!</v>
      </c>
      <c r="I11" s="3141" t="s">
        <v>2146</v>
      </c>
      <c r="J11" s="691" t="s">
        <v>2146</v>
      </c>
      <c r="K11" s="3142" t="s">
        <v>2146</v>
      </c>
      <c r="L11" s="3093" t="s">
        <v>2146</v>
      </c>
    </row>
    <row r="12" spans="2:12" ht="18" customHeight="1" x14ac:dyDescent="0.2">
      <c r="B12" s="1252" t="s">
        <v>364</v>
      </c>
      <c r="C12" s="2165" t="s">
        <v>2160</v>
      </c>
      <c r="D12" s="2165" t="s">
        <v>2161</v>
      </c>
      <c r="E12" s="691">
        <v>938.80514800671801</v>
      </c>
      <c r="F12" s="1913" t="s">
        <v>2147</v>
      </c>
      <c r="G12" s="1913">
        <f>J12*1000000/$E12</f>
        <v>1807.9953513057321</v>
      </c>
      <c r="H12" s="3096"/>
      <c r="I12" s="3147" t="s">
        <v>2147</v>
      </c>
      <c r="J12" s="691">
        <v>1.697355343378036</v>
      </c>
      <c r="K12" s="3046"/>
      <c r="L12" s="3093" t="s">
        <v>2146</v>
      </c>
    </row>
    <row r="13" spans="2:12" ht="18" customHeight="1" x14ac:dyDescent="0.2">
      <c r="B13" s="1252" t="s">
        <v>365</v>
      </c>
      <c r="C13" s="2165" t="s">
        <v>2162</v>
      </c>
      <c r="D13" s="2165" t="s">
        <v>2161</v>
      </c>
      <c r="E13" s="691">
        <v>593.75202079999997</v>
      </c>
      <c r="F13" s="1913" t="s">
        <v>2147</v>
      </c>
      <c r="G13" s="1913">
        <f>J13*1000000/$E13</f>
        <v>305.64133937799983</v>
      </c>
      <c r="H13" s="3096"/>
      <c r="I13" s="3147" t="s">
        <v>2147</v>
      </c>
      <c r="J13" s="691">
        <v>0.181475162895706</v>
      </c>
      <c r="K13" s="3046"/>
      <c r="L13" s="3093" t="s">
        <v>2146</v>
      </c>
    </row>
    <row r="14" spans="2:12" ht="18" customHeight="1" x14ac:dyDescent="0.2">
      <c r="B14" s="1252" t="s">
        <v>366</v>
      </c>
      <c r="C14" s="2165" t="s">
        <v>2163</v>
      </c>
      <c r="D14" s="2165" t="s">
        <v>2161</v>
      </c>
      <c r="E14" s="691">
        <v>1149.54141133188</v>
      </c>
      <c r="F14" s="1913">
        <f>I14*1000000/$E14</f>
        <v>253891.01003925351</v>
      </c>
      <c r="G14" s="1913">
        <f>J14*1000000/$E14</f>
        <v>1644.8138833838432</v>
      </c>
      <c r="H14" s="1913">
        <f>K14*1000000/$E14</f>
        <v>7.7649995824491018</v>
      </c>
      <c r="I14" s="3147">
        <v>291.858230005</v>
      </c>
      <c r="J14" s="691">
        <v>1.8907816728833333</v>
      </c>
      <c r="K14" s="3142">
        <v>8.9261885790000006E-3</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7.5575726249999989E-2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2879</v>
      </c>
      <c r="F18" s="1913" t="s">
        <v>2147</v>
      </c>
      <c r="G18" s="1913">
        <f>J18*1000000/$E18</f>
        <v>26.250686436262587</v>
      </c>
      <c r="H18" s="3148"/>
      <c r="I18" s="3150" t="s">
        <v>2147</v>
      </c>
      <c r="J18" s="2190">
        <v>7.5575726249999989E-2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44.827856879532739</v>
      </c>
      <c r="J21" s="3155">
        <f>IF(SUM(J22:J27)=0,"NO",SUM(J22:J27))</f>
        <v>147.3107406446299</v>
      </c>
      <c r="K21" s="3067">
        <f>IF(SUM(K22:K27)=0,"NO",SUM(K22:K27))</f>
        <v>1.0490113169999999E-3</v>
      </c>
      <c r="L21" s="3068" t="str">
        <f>IF(SUM(L22:L27)=0,"NO",SUM(L22:L27))</f>
        <v>NO</v>
      </c>
    </row>
    <row r="22" spans="2:12" ht="18" customHeight="1" x14ac:dyDescent="0.2">
      <c r="B22" s="1469" t="s">
        <v>371</v>
      </c>
      <c r="C22" s="2165" t="s">
        <v>2164</v>
      </c>
      <c r="D22" s="2165" t="s">
        <v>2147</v>
      </c>
      <c r="E22" s="691">
        <v>637.65763663375742</v>
      </c>
      <c r="F22" s="1913">
        <f>I22*1000000/$E22</f>
        <v>55874.776338828735</v>
      </c>
      <c r="G22" s="1913">
        <f>J22*1000000/$E22</f>
        <v>2589.9563964695299</v>
      </c>
      <c r="H22" s="1913">
        <f>K22*1000000/$E22</f>
        <v>1.6451011588880351</v>
      </c>
      <c r="I22" s="3141">
        <v>35.628977827657316</v>
      </c>
      <c r="J22" s="692">
        <v>1.6515054747572431</v>
      </c>
      <c r="K22" s="4141">
        <v>1.0490113169999999E-3</v>
      </c>
      <c r="L22" s="3156" t="s">
        <v>2146</v>
      </c>
    </row>
    <row r="23" spans="2:12" ht="18" customHeight="1" x14ac:dyDescent="0.2">
      <c r="B23" s="1252" t="s">
        <v>372</v>
      </c>
      <c r="C23" s="2165" t="s">
        <v>2165</v>
      </c>
      <c r="D23" s="2165" t="s">
        <v>2161</v>
      </c>
      <c r="E23" s="691">
        <v>3265.3335655332903</v>
      </c>
      <c r="F23" s="1913">
        <f>I23*1000000/$E23</f>
        <v>181.31428169097026</v>
      </c>
      <c r="G23" s="1913">
        <f>J23*1000000/$E23</f>
        <v>5271.4174612991965</v>
      </c>
      <c r="H23" s="3096"/>
      <c r="I23" s="3147">
        <v>0.5920516099160833</v>
      </c>
      <c r="J23" s="691">
        <v>17.212936374318552</v>
      </c>
      <c r="K23" s="3046"/>
      <c r="L23" s="3156" t="s">
        <v>2146</v>
      </c>
    </row>
    <row r="24" spans="2:12" ht="18" customHeight="1" x14ac:dyDescent="0.2">
      <c r="B24" s="1252" t="s">
        <v>373</v>
      </c>
      <c r="C24" s="2165" t="s">
        <v>2165</v>
      </c>
      <c r="D24" s="2165" t="s">
        <v>2161</v>
      </c>
      <c r="E24" s="691">
        <v>3265.3335655332903</v>
      </c>
      <c r="F24" s="1913">
        <f t="shared" ref="F24:F26" si="0">I24*1000000/$E24</f>
        <v>940.93379995549913</v>
      </c>
      <c r="G24" s="1913">
        <f t="shared" ref="G24:G26" si="1">J24*1000000/$E24</f>
        <v>5377.7970563794488</v>
      </c>
      <c r="H24" s="1879"/>
      <c r="I24" s="691">
        <v>3.0724627199394776</v>
      </c>
      <c r="J24" s="691">
        <v>17.560301236821939</v>
      </c>
      <c r="K24" s="1914"/>
      <c r="L24" s="3093" t="str">
        <f>IF(Table1.C!E21="NO","NO",-Table1.C!E21)</f>
        <v>NO</v>
      </c>
    </row>
    <row r="25" spans="2:12" ht="18" customHeight="1" x14ac:dyDescent="0.2">
      <c r="B25" s="1252" t="s">
        <v>374</v>
      </c>
      <c r="C25" s="2165" t="s">
        <v>2276</v>
      </c>
      <c r="D25" s="2165" t="s">
        <v>2171</v>
      </c>
      <c r="E25" s="691">
        <v>25812.000000000004</v>
      </c>
      <c r="F25" s="1913">
        <f t="shared" si="0"/>
        <v>20.666356733302337</v>
      </c>
      <c r="G25" s="1913">
        <f t="shared" si="1"/>
        <v>428.08881804697694</v>
      </c>
      <c r="H25" s="3096"/>
      <c r="I25" s="3147">
        <v>0.53344000000000003</v>
      </c>
      <c r="J25" s="691">
        <v>11.049828571428572</v>
      </c>
      <c r="K25" s="3046"/>
      <c r="L25" s="3093" t="s">
        <v>2146</v>
      </c>
    </row>
    <row r="26" spans="2:12" ht="18" customHeight="1" x14ac:dyDescent="0.2">
      <c r="B26" s="1252" t="s">
        <v>375</v>
      </c>
      <c r="C26" s="2165" t="s">
        <v>2166</v>
      </c>
      <c r="D26" s="2165" t="s">
        <v>2161</v>
      </c>
      <c r="E26" s="691">
        <v>402.79480371007702</v>
      </c>
      <c r="F26" s="1913">
        <f t="shared" si="0"/>
        <v>11098.752910471469</v>
      </c>
      <c r="G26" s="1913">
        <f t="shared" si="1"/>
        <v>198461.29906268232</v>
      </c>
      <c r="H26" s="3096"/>
      <c r="I26" s="3147">
        <v>4.4705200000000005</v>
      </c>
      <c r="J26" s="691">
        <v>79.939180000000022</v>
      </c>
      <c r="K26" s="3046"/>
      <c r="L26" s="3093" t="s">
        <v>2146</v>
      </c>
    </row>
    <row r="27" spans="2:12" ht="18" customHeight="1" x14ac:dyDescent="0.2">
      <c r="B27" s="2414" t="s">
        <v>376</v>
      </c>
      <c r="C27" s="621"/>
      <c r="D27" s="621"/>
      <c r="E27" s="628"/>
      <c r="F27" s="628"/>
      <c r="G27" s="628"/>
      <c r="H27" s="3148"/>
      <c r="I27" s="1913">
        <f>IF(SUM(I29:I31)=0,"NO",SUM(I29:I31))</f>
        <v>0.53040472201985867</v>
      </c>
      <c r="J27" s="1913">
        <f>IF(SUM(J29:J31)=0,"NO",SUM(J29:J31))</f>
        <v>19.896988987303583</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0.53040472201985867</v>
      </c>
      <c r="J29" s="3150">
        <v>12.482260604703583</v>
      </c>
      <c r="K29" s="3132"/>
      <c r="L29" s="3102" t="s">
        <v>2146</v>
      </c>
    </row>
    <row r="30" spans="2:12" ht="18" customHeight="1" x14ac:dyDescent="0.2">
      <c r="B30" s="2415" t="s">
        <v>378</v>
      </c>
      <c r="C30" s="2165" t="s">
        <v>2156</v>
      </c>
      <c r="D30" s="2165" t="s">
        <v>2155</v>
      </c>
      <c r="E30" s="691">
        <v>10197</v>
      </c>
      <c r="F30" s="1913" t="s">
        <v>2147</v>
      </c>
      <c r="G30" s="1913">
        <f t="shared" ref="G30" si="2">J30*1000000/$E30</f>
        <v>20.959927684613124</v>
      </c>
      <c r="H30" s="3148"/>
      <c r="I30" s="3150" t="s">
        <v>2147</v>
      </c>
      <c r="J30" s="3150">
        <v>0.21372838260000002</v>
      </c>
      <c r="K30" s="3132"/>
      <c r="L30" s="3102" t="s">
        <v>2146</v>
      </c>
    </row>
    <row r="31" spans="2:12" ht="18" customHeight="1" x14ac:dyDescent="0.2">
      <c r="B31" s="1242" t="s">
        <v>379</v>
      </c>
      <c r="C31" s="621"/>
      <c r="D31" s="621"/>
      <c r="E31" s="628"/>
      <c r="F31" s="628"/>
      <c r="G31" s="628"/>
      <c r="H31" s="3148"/>
      <c r="I31" s="1913" t="s">
        <v>2147</v>
      </c>
      <c r="J31" s="1913">
        <f>IF(SUM(J32:J34)=0,"NO",SUM(J32:J34))</f>
        <v>7.2009999999999996</v>
      </c>
      <c r="K31" s="3132"/>
      <c r="L31" s="3149" t="str">
        <f>IF(SUM(L32:L34)=0,"NO",SUM(L32:L34))</f>
        <v>NO</v>
      </c>
    </row>
    <row r="32" spans="2:12" ht="18" customHeight="1" x14ac:dyDescent="0.2">
      <c r="B32" s="2592" t="s">
        <v>2173</v>
      </c>
      <c r="C32" s="310" t="s">
        <v>2172</v>
      </c>
      <c r="D32" s="310" t="s">
        <v>2172</v>
      </c>
      <c r="E32" s="2190">
        <v>6</v>
      </c>
      <c r="F32" s="3095" t="s">
        <v>2147</v>
      </c>
      <c r="G32" s="3095">
        <f t="shared" ref="G32:G33" si="3">J32*1000000/$E32</f>
        <v>369666.66666666669</v>
      </c>
      <c r="H32" s="3148"/>
      <c r="I32" s="3150" t="s">
        <v>2147</v>
      </c>
      <c r="J32" s="3150">
        <v>2.218</v>
      </c>
      <c r="K32" s="3132"/>
      <c r="L32" s="3102" t="s">
        <v>2146</v>
      </c>
    </row>
    <row r="33" spans="2:12" ht="18" customHeight="1" x14ac:dyDescent="0.2">
      <c r="B33" s="2592" t="s">
        <v>2174</v>
      </c>
      <c r="C33" s="277" t="s">
        <v>2172</v>
      </c>
      <c r="D33" s="277" t="s">
        <v>2172</v>
      </c>
      <c r="E33" s="691">
        <v>3</v>
      </c>
      <c r="F33" s="1913" t="s">
        <v>2147</v>
      </c>
      <c r="G33" s="1913">
        <f t="shared" si="3"/>
        <v>921000</v>
      </c>
      <c r="H33" s="3096"/>
      <c r="I33" s="3147" t="s">
        <v>2147</v>
      </c>
      <c r="J33" s="3147">
        <v>2.7629999999999999</v>
      </c>
      <c r="K33" s="3046"/>
      <c r="L33" s="3093" t="s">
        <v>2146</v>
      </c>
    </row>
    <row r="34" spans="2:12" ht="18" customHeight="1" thickBot="1" x14ac:dyDescent="0.25">
      <c r="B34" s="2590" t="s">
        <v>2175</v>
      </c>
      <c r="C34" s="2591" t="s">
        <v>2172</v>
      </c>
      <c r="D34" s="2591" t="s">
        <v>2172</v>
      </c>
      <c r="E34" s="2912">
        <v>2</v>
      </c>
      <c r="F34" s="3157" t="s">
        <v>2147</v>
      </c>
      <c r="G34" s="3157">
        <f t="shared" ref="G34" si="4">J34*1000000/$E34</f>
        <v>1109999.9999999998</v>
      </c>
      <c r="H34" s="3158"/>
      <c r="I34" s="3159" t="s">
        <v>2147</v>
      </c>
      <c r="J34" s="3159">
        <v>2.2199999999999998</v>
      </c>
      <c r="K34" s="3160"/>
      <c r="L34" s="3161" t="s">
        <v>2146</v>
      </c>
    </row>
    <row r="35" spans="2:12" ht="18" customHeight="1" x14ac:dyDescent="0.2">
      <c r="B35" s="1255" t="s">
        <v>380</v>
      </c>
      <c r="C35" s="2167"/>
      <c r="D35" s="2167"/>
      <c r="E35" s="3216"/>
      <c r="F35" s="3216"/>
      <c r="G35" s="3216"/>
      <c r="H35" s="3216"/>
      <c r="I35" s="3155">
        <f>IF(SUM(I36,I40)=0,"NO",SUM(I36,I40))</f>
        <v>6320.9999509060035</v>
      </c>
      <c r="J35" s="3067">
        <f>IF(SUM(J36,J40)=0,"NO",SUM(J36,J40))</f>
        <v>52.504648204739226</v>
      </c>
      <c r="K35" s="3067">
        <f>IF(SUM(K36,K40)=0,"NO",SUM(K36,K40))</f>
        <v>8.725969095794428E-2</v>
      </c>
      <c r="L35" s="3068" t="str">
        <f>IF(SUM(L36,L40)=0,"NO",SUM(L36,L40))</f>
        <v>NO</v>
      </c>
    </row>
    <row r="36" spans="2:12" ht="18" customHeight="1" x14ac:dyDescent="0.2">
      <c r="B36" s="1468" t="s">
        <v>381</v>
      </c>
      <c r="C36" s="2170"/>
      <c r="D36" s="2170"/>
      <c r="E36" s="3025"/>
      <c r="F36" s="3025"/>
      <c r="G36" s="3025"/>
      <c r="H36" s="3025"/>
      <c r="I36" s="3162">
        <f>IF(SUM(I37:I39)=0,"NO",SUM(I37:I39))</f>
        <v>3663.9275704311181</v>
      </c>
      <c r="J36" s="1913">
        <f>IF(SUM(J37:J39)=0,"NO",SUM(J37:J39))</f>
        <v>37.428983240818788</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4204.1387135400082</v>
      </c>
      <c r="F39" s="1913">
        <f t="shared" ref="F39" si="5">SUM(I39,L39)*1000000/$E39</f>
        <v>871504.91933839722</v>
      </c>
      <c r="G39" s="1913">
        <f t="shared" ref="G39" si="6">J39*1000000/$E39</f>
        <v>8902.8896977812819</v>
      </c>
      <c r="H39" s="1913">
        <f t="shared" ref="H39" si="7">K39*1000000/$E39</f>
        <v>0</v>
      </c>
      <c r="I39" s="691">
        <v>3663.9275704311181</v>
      </c>
      <c r="J39" s="691">
        <v>37.428983240818788</v>
      </c>
      <c r="K39" s="3132"/>
      <c r="L39" s="3093" t="s">
        <v>2146</v>
      </c>
    </row>
    <row r="40" spans="2:12" ht="18" customHeight="1" x14ac:dyDescent="0.2">
      <c r="B40" s="1468" t="s">
        <v>385</v>
      </c>
      <c r="C40" s="2170"/>
      <c r="D40" s="2170"/>
      <c r="E40" s="3025"/>
      <c r="F40" s="3025"/>
      <c r="G40" s="3025"/>
      <c r="H40" s="3025"/>
      <c r="I40" s="3162">
        <f>IF(SUM(I41:I43)=0,"NO",SUM(I41:I43))</f>
        <v>2657.0723804748854</v>
      </c>
      <c r="J40" s="3162">
        <f>IF(SUM(J41:J43)=0,"NO",SUM(J41:J43))</f>
        <v>15.075664963920437</v>
      </c>
      <c r="K40" s="1913">
        <f>IF(SUM(K41:K43)=0,"NO",SUM(K41:K43))</f>
        <v>8.725969095794428E-2</v>
      </c>
      <c r="L40" s="3065" t="str">
        <f>IF(SUM(L41:L43)=0,"NO",SUM(L41:L43))</f>
        <v>NO</v>
      </c>
    </row>
    <row r="41" spans="2:12" ht="18" customHeight="1" x14ac:dyDescent="0.2">
      <c r="B41" s="1470" t="s">
        <v>386</v>
      </c>
      <c r="C41" s="277" t="s">
        <v>2169</v>
      </c>
      <c r="D41" s="277" t="s">
        <v>2170</v>
      </c>
      <c r="E41" s="691">
        <v>347.64412240000001</v>
      </c>
      <c r="F41" s="1913">
        <f t="shared" ref="F41:F42" si="8">SUM(I41,L41)*1000000/$E41</f>
        <v>2899999.9999999995</v>
      </c>
      <c r="G41" s="1913">
        <f t="shared" ref="G41:H42" si="9">J41*1000000/$E41</f>
        <v>35000.000000000007</v>
      </c>
      <c r="H41" s="1913">
        <f t="shared" si="9"/>
        <v>81</v>
      </c>
      <c r="I41" s="692">
        <v>1008.16795496</v>
      </c>
      <c r="J41" s="692">
        <v>12.167544284000003</v>
      </c>
      <c r="K41" s="692">
        <v>2.8159173914400003E-2</v>
      </c>
      <c r="L41" s="3156" t="s">
        <v>2146</v>
      </c>
    </row>
    <row r="42" spans="2:12" ht="18" customHeight="1" x14ac:dyDescent="0.2">
      <c r="B42" s="1470" t="s">
        <v>387</v>
      </c>
      <c r="C42" s="277" t="s">
        <v>2169</v>
      </c>
      <c r="D42" s="277" t="s">
        <v>2170</v>
      </c>
      <c r="E42" s="691">
        <v>35378.4197691382</v>
      </c>
      <c r="F42" s="1913">
        <f t="shared" si="8"/>
        <v>46607.633587786222</v>
      </c>
      <c r="G42" s="1913">
        <f t="shared" si="9"/>
        <v>82.200411971404264</v>
      </c>
      <c r="H42" s="1913">
        <f t="shared" si="9"/>
        <v>1.6705245013543446</v>
      </c>
      <c r="I42" s="691">
        <v>1648.9044255148856</v>
      </c>
      <c r="J42" s="691">
        <v>2.9081206799204331</v>
      </c>
      <c r="K42" s="691">
        <v>5.9100517043544278E-2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41.278834020777275</v>
      </c>
      <c r="M9" s="3358">
        <f>100*C10/SUM(C10,'Table1.A(a)s3'!C16)</f>
        <v>58.721165979222725</v>
      </c>
    </row>
    <row r="10" spans="1:13" ht="18" customHeight="1" thickTop="1" thickBot="1" x14ac:dyDescent="0.25">
      <c r="B10" s="223" t="s">
        <v>430</v>
      </c>
      <c r="C10" s="3338">
        <f>IF(SUM(C11:C13)=0,"NO",SUM(C11:C13))</f>
        <v>136121.0288</v>
      </c>
      <c r="D10" s="3339"/>
      <c r="E10" s="3340"/>
      <c r="F10" s="3340"/>
      <c r="G10" s="3338">
        <f>IF(SUM(G11:G13)=0,"NO",SUM(G11:G13))</f>
        <v>9474.0236044799985</v>
      </c>
      <c r="H10" s="3338">
        <f>IF(SUM(H11:H13)=0,"NO",SUM(H11:H13))</f>
        <v>1.6632725365853661E-2</v>
      </c>
      <c r="I10" s="1154">
        <f>IF(SUM(I11:I13)=0,"NO",SUM(I11:I13))</f>
        <v>4.8814811796200265E-2</v>
      </c>
      <c r="J10" s="4"/>
      <c r="K10" s="68" t="s">
        <v>431</v>
      </c>
      <c r="L10" s="3359">
        <f>100-M10</f>
        <v>44.174159195480641</v>
      </c>
      <c r="M10" s="3360">
        <f>100*C14/SUM(C14,'Table1.A(a)s3'!C88)</f>
        <v>55.825840804519359</v>
      </c>
    </row>
    <row r="11" spans="1:13" ht="18" customHeight="1" x14ac:dyDescent="0.2">
      <c r="B11" s="1258" t="s">
        <v>178</v>
      </c>
      <c r="C11" s="3341">
        <v>136121.0288</v>
      </c>
      <c r="D11" s="116">
        <f>IF(G11="NO","NA",G11*1000/$C11)</f>
        <v>69.599999999999994</v>
      </c>
      <c r="E11" s="116">
        <f t="shared" ref="E11:F13" si="0">IF(H11="NO","NA",H11*1000000/$C11)</f>
        <v>0.12219071154899809</v>
      </c>
      <c r="F11" s="116">
        <f t="shared" si="0"/>
        <v>0.35861330337080338</v>
      </c>
      <c r="G11" s="3062">
        <v>9474.0236044799985</v>
      </c>
      <c r="H11" s="3062">
        <v>1.6632725365853661E-2</v>
      </c>
      <c r="I11" s="3063">
        <v>4.8814811796200265E-2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37000</v>
      </c>
      <c r="D14" s="3348"/>
      <c r="E14" s="3349"/>
      <c r="F14" s="3350"/>
      <c r="G14" s="3347">
        <f>IF(SUM(G15:G18,G20:G22)=0,"NO",SUM(G15:G18,G20:G22))</f>
        <v>2714.0239999999994</v>
      </c>
      <c r="H14" s="3347">
        <f>IF(SUM(H15:H18,H20:H22)=0,"NO",SUM(H15:H18,H20:H22))</f>
        <v>0.25900000000000001</v>
      </c>
      <c r="I14" s="1155">
        <f>IF(SUM(I15:I18,I20:I22)=0,"NO",SUM(I15:I18,I20:I22))</f>
        <v>7.3999999999999996E-2</v>
      </c>
      <c r="J14" s="4"/>
      <c r="K14" s="1047"/>
      <c r="L14" s="1047"/>
      <c r="M14" s="1047"/>
    </row>
    <row r="15" spans="1:13" ht="18" customHeight="1" x14ac:dyDescent="0.2">
      <c r="B15" s="1260" t="s">
        <v>190</v>
      </c>
      <c r="C15" s="143">
        <v>34520</v>
      </c>
      <c r="D15" s="116">
        <f>IF(G15="NO","NA",G15*1000/$C15)</f>
        <v>73.59999999999998</v>
      </c>
      <c r="E15" s="116">
        <f t="shared" ref="E15:F17" si="1">IF(H15="NO","NA",H15*1000000/$C15)</f>
        <v>7</v>
      </c>
      <c r="F15" s="116">
        <f t="shared" si="1"/>
        <v>1.9999999999999996</v>
      </c>
      <c r="G15" s="3064">
        <v>2540.6719999999996</v>
      </c>
      <c r="H15" s="3064">
        <v>0.24163999999999999</v>
      </c>
      <c r="I15" s="135">
        <v>6.903999999999999E-2</v>
      </c>
      <c r="J15" s="4"/>
      <c r="K15" s="1047"/>
      <c r="L15" s="1047"/>
      <c r="M15" s="1047"/>
    </row>
    <row r="16" spans="1:13" ht="18" customHeight="1" x14ac:dyDescent="0.2">
      <c r="B16" s="1260" t="s">
        <v>191</v>
      </c>
      <c r="C16" s="3351">
        <v>2480</v>
      </c>
      <c r="D16" s="116">
        <f>IF(G16="NO","NA",G16*1000/$C16)</f>
        <v>69.90000000000002</v>
      </c>
      <c r="E16" s="116">
        <f t="shared" si="1"/>
        <v>7.0000000000000018</v>
      </c>
      <c r="F16" s="116">
        <f t="shared" si="1"/>
        <v>2.0000000000000004</v>
      </c>
      <c r="G16" s="3064">
        <v>173.35200000000006</v>
      </c>
      <c r="H16" s="3064">
        <v>1.7360000000000004E-2</v>
      </c>
      <c r="I16" s="135">
        <v>4.9600000000000009E-3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21120.996965749539</v>
      </c>
      <c r="D10" s="2913">
        <f t="shared" ref="D10:N10" si="0">IF(SUM(D11,D16,D27,D35,D39,D45,D52,D57)=0,"NO",SUM(D11,D16,D27,D35,D39,D45,D52,D57))</f>
        <v>3.0859087494495152</v>
      </c>
      <c r="E10" s="2913">
        <f t="shared" si="0"/>
        <v>10.119455349594618</v>
      </c>
      <c r="F10" s="2913">
        <f t="shared" si="0"/>
        <v>6141.5462216641918</v>
      </c>
      <c r="G10" s="2913">
        <f t="shared" si="0"/>
        <v>322.43408328130437</v>
      </c>
      <c r="H10" s="2913" t="str">
        <f t="shared" si="0"/>
        <v>NO</v>
      </c>
      <c r="I10" s="2913">
        <f t="shared" si="0"/>
        <v>6.4470614816006036E-3</v>
      </c>
      <c r="J10" s="2913" t="str">
        <f t="shared" si="0"/>
        <v>NO</v>
      </c>
      <c r="K10" s="2913">
        <f t="shared" si="0"/>
        <v>31.904864230377285</v>
      </c>
      <c r="L10" s="2914">
        <f t="shared" si="0"/>
        <v>8.5449682393755673</v>
      </c>
      <c r="M10" s="2915">
        <f t="shared" si="0"/>
        <v>236.79496569904211</v>
      </c>
      <c r="N10" s="2916">
        <f t="shared" si="0"/>
        <v>1820.1968561298688</v>
      </c>
      <c r="O10" s="3020">
        <f t="shared" ref="O10:O58" si="1">IF(SUM(C10:J10)=0,"NO",SUM(C10,F10:H10)+28*SUM(D10)+265*SUM(E10)+23500*SUM(I10)+16100*SUM(J10))</f>
        <v>30504.544328139807</v>
      </c>
    </row>
    <row r="11" spans="1:15" ht="18" customHeight="1" x14ac:dyDescent="0.2">
      <c r="B11" s="1263" t="s">
        <v>444</v>
      </c>
      <c r="C11" s="2137">
        <f>IF(SUM(C12:C15)=0,"NO",SUM(C12:C15))</f>
        <v>6408.1365207979152</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6408.1365207979152</v>
      </c>
    </row>
    <row r="12" spans="1:15" ht="18" customHeight="1" x14ac:dyDescent="0.2">
      <c r="B12" s="1264" t="s">
        <v>445</v>
      </c>
      <c r="C12" s="2920">
        <f>'Table2(I).A-H'!H11</f>
        <v>3829.0168960000005</v>
      </c>
      <c r="D12" s="2136"/>
      <c r="E12" s="2136"/>
      <c r="F12" s="628"/>
      <c r="G12" s="628"/>
      <c r="H12" s="2135"/>
      <c r="I12" s="628"/>
      <c r="J12" s="2135"/>
      <c r="K12" s="2135"/>
      <c r="L12" s="2135"/>
      <c r="M12" s="2135"/>
      <c r="N12" s="2919" t="s">
        <v>2146</v>
      </c>
      <c r="O12" s="2934">
        <f t="shared" si="1"/>
        <v>3829.0168960000005</v>
      </c>
    </row>
    <row r="13" spans="1:15" ht="18" customHeight="1" x14ac:dyDescent="0.2">
      <c r="B13" s="1264" t="s">
        <v>446</v>
      </c>
      <c r="C13" s="1878">
        <f>'Table2(I).A-H'!H12</f>
        <v>1152.1349440305462</v>
      </c>
      <c r="D13" s="2108"/>
      <c r="E13" s="2108"/>
      <c r="F13" s="628"/>
      <c r="G13" s="628"/>
      <c r="H13" s="2135"/>
      <c r="I13" s="628"/>
      <c r="J13" s="2135"/>
      <c r="K13" s="628"/>
      <c r="L13" s="628"/>
      <c r="M13" s="628"/>
      <c r="N13" s="1838"/>
      <c r="O13" s="1880">
        <f t="shared" si="1"/>
        <v>1152.1349440305462</v>
      </c>
    </row>
    <row r="14" spans="1:15" ht="18" customHeight="1" x14ac:dyDescent="0.2">
      <c r="B14" s="1264" t="s">
        <v>447</v>
      </c>
      <c r="C14" s="1878">
        <f>'Table2(I).A-H'!H13</f>
        <v>116.95587291567</v>
      </c>
      <c r="D14" s="2108"/>
      <c r="E14" s="2108"/>
      <c r="F14" s="628"/>
      <c r="G14" s="628"/>
      <c r="H14" s="2135"/>
      <c r="I14" s="628"/>
      <c r="J14" s="2135"/>
      <c r="K14" s="628"/>
      <c r="L14" s="628"/>
      <c r="M14" s="628"/>
      <c r="N14" s="1838"/>
      <c r="O14" s="1880">
        <f t="shared" si="1"/>
        <v>116.95587291567</v>
      </c>
    </row>
    <row r="15" spans="1:15" ht="18" customHeight="1" thickBot="1" x14ac:dyDescent="0.25">
      <c r="B15" s="1264" t="s">
        <v>448</v>
      </c>
      <c r="C15" s="1878">
        <f>'Table2(I).A-H'!H14</f>
        <v>1310.028807851699</v>
      </c>
      <c r="D15" s="1879"/>
      <c r="E15" s="1879"/>
      <c r="F15" s="3021"/>
      <c r="G15" s="3021"/>
      <c r="H15" s="3021"/>
      <c r="I15" s="3021"/>
      <c r="J15" s="3021"/>
      <c r="K15" s="2606" t="s">
        <v>2146</v>
      </c>
      <c r="L15" s="2606" t="s">
        <v>2146</v>
      </c>
      <c r="M15" s="2606" t="s">
        <v>2146</v>
      </c>
      <c r="N15" s="2607" t="s">
        <v>2146</v>
      </c>
      <c r="O15" s="1880">
        <f t="shared" si="1"/>
        <v>1310.028807851699</v>
      </c>
    </row>
    <row r="16" spans="1:15" ht="18" customHeight="1" x14ac:dyDescent="0.2">
      <c r="B16" s="1265" t="s">
        <v>449</v>
      </c>
      <c r="C16" s="2137">
        <f>IF(SUM(C17:C26)=0,"NO",SUM(C17:C26))</f>
        <v>3186.7659698427397</v>
      </c>
      <c r="D16" s="2137">
        <f t="shared" ref="D16:N16" si="3">IF(SUM(D17:D26)=0,"NO",SUM(D17:D26))</f>
        <v>0.57776359999999993</v>
      </c>
      <c r="E16" s="2137">
        <f t="shared" si="3"/>
        <v>10.056942740141993</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5868.0331767803673</v>
      </c>
    </row>
    <row r="17" spans="2:15" ht="18" customHeight="1" x14ac:dyDescent="0.2">
      <c r="B17" s="1266" t="s">
        <v>450</v>
      </c>
      <c r="C17" s="2920">
        <f>SUM('Table2(I).A-H'!H23,'Table2(I).A-H'!K23:L23)</f>
        <v>1726.8526839085869</v>
      </c>
      <c r="D17" s="2139" t="str">
        <f>'Table2(I).A-H'!I23</f>
        <v>NO</v>
      </c>
      <c r="E17" s="2139" t="str">
        <f>'Table2(I).A-H'!J23</f>
        <v>NO</v>
      </c>
      <c r="F17" s="2135"/>
      <c r="G17" s="2135"/>
      <c r="H17" s="2135"/>
      <c r="I17" s="2135"/>
      <c r="J17" s="2135"/>
      <c r="K17" s="692" t="s">
        <v>2146</v>
      </c>
      <c r="L17" s="692" t="s">
        <v>2146</v>
      </c>
      <c r="M17" s="692" t="s">
        <v>2146</v>
      </c>
      <c r="N17" s="692" t="s">
        <v>2146</v>
      </c>
      <c r="O17" s="2934">
        <f t="shared" si="1"/>
        <v>1726.8526839085869</v>
      </c>
    </row>
    <row r="18" spans="2:15" ht="18" customHeight="1" x14ac:dyDescent="0.2">
      <c r="B18" s="1264" t="s">
        <v>451</v>
      </c>
      <c r="C18" s="1910"/>
      <c r="D18" s="2136"/>
      <c r="E18" s="2139">
        <f>'Table2(I).A-H'!J24</f>
        <v>10.056942740141993</v>
      </c>
      <c r="F18" s="628"/>
      <c r="G18" s="628"/>
      <c r="H18" s="2135"/>
      <c r="I18" s="628"/>
      <c r="J18" s="2135"/>
      <c r="K18" s="692" t="s">
        <v>2146</v>
      </c>
      <c r="L18" s="628"/>
      <c r="M18" s="628"/>
      <c r="N18" s="1838"/>
      <c r="O18" s="2934">
        <f t="shared" si="1"/>
        <v>2665.0898261376283</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1281.891396645</v>
      </c>
      <c r="D22" s="1914"/>
      <c r="E22" s="628"/>
      <c r="F22" s="628"/>
      <c r="G22" s="628"/>
      <c r="H22" s="2135"/>
      <c r="I22" s="628"/>
      <c r="J22" s="2135"/>
      <c r="K22" s="1914"/>
      <c r="L22" s="1914"/>
      <c r="M22" s="1914"/>
      <c r="N22" s="2921"/>
      <c r="O22" s="1880">
        <f t="shared" si="1"/>
        <v>1281.891396645</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48.294806000000001</v>
      </c>
      <c r="D24" s="1878">
        <f>'Table2(I).A-H'!I35</f>
        <v>0.57776359999999993</v>
      </c>
      <c r="E24" s="628"/>
      <c r="F24" s="628"/>
      <c r="G24" s="628"/>
      <c r="H24" s="2135"/>
      <c r="I24" s="628"/>
      <c r="J24" s="2135"/>
      <c r="K24" s="692" t="s">
        <v>2146</v>
      </c>
      <c r="L24" s="692" t="s">
        <v>2146</v>
      </c>
      <c r="M24" s="691">
        <v>2.8425606806999988</v>
      </c>
      <c r="N24" s="692" t="s">
        <v>2146</v>
      </c>
      <c r="O24" s="1880">
        <f t="shared" si="1"/>
        <v>64.472186800000003</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129.72708328915283</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129.72708328915283</v>
      </c>
    </row>
    <row r="27" spans="2:15" ht="18" customHeight="1" x14ac:dyDescent="0.2">
      <c r="B27" s="1263" t="s">
        <v>459</v>
      </c>
      <c r="C27" s="2137">
        <f>IF(SUM(C28:C34)=0,"NO",SUM(C28:C34))</f>
        <v>11125.923167063165</v>
      </c>
      <c r="D27" s="2137">
        <f t="shared" ref="D27:N27" si="4">IF(SUM(D28:D34)=0,"NO",SUM(D28:D34))</f>
        <v>2.5081451494495153</v>
      </c>
      <c r="E27" s="2137">
        <f t="shared" si="4"/>
        <v>6.2512609452625476E-2</v>
      </c>
      <c r="F27" s="2138" t="str">
        <f t="shared" si="4"/>
        <v>NO</v>
      </c>
      <c r="G27" s="2138">
        <f t="shared" si="4"/>
        <v>322.43408328130437</v>
      </c>
      <c r="H27" s="2138" t="str">
        <f t="shared" si="4"/>
        <v>NO</v>
      </c>
      <c r="I27" s="2138" t="str">
        <f t="shared" si="4"/>
        <v>NO</v>
      </c>
      <c r="J27" s="2138" t="str">
        <f t="shared" si="4"/>
        <v>NO</v>
      </c>
      <c r="K27" s="2137">
        <f t="shared" si="4"/>
        <v>31.904864230377285</v>
      </c>
      <c r="L27" s="2137">
        <f t="shared" si="4"/>
        <v>8.5449682393755673</v>
      </c>
      <c r="M27" s="2917">
        <f t="shared" si="4"/>
        <v>7.787612484880499E-2</v>
      </c>
      <c r="N27" s="2918">
        <f t="shared" si="4"/>
        <v>1820.1968561298688</v>
      </c>
      <c r="O27" s="2941">
        <f t="shared" si="1"/>
        <v>11535.151156034002</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3136.2559285130451</v>
      </c>
      <c r="D30" s="1879"/>
      <c r="E30" s="628"/>
      <c r="F30" s="628"/>
      <c r="G30" s="2140">
        <f>SUM('Table2(II)'!X41:Y41)</f>
        <v>322.43408328130437</v>
      </c>
      <c r="H30" s="2136"/>
      <c r="I30" s="2142" t="s">
        <v>2146</v>
      </c>
      <c r="J30" s="2135"/>
      <c r="K30" s="691" t="s">
        <v>2147</v>
      </c>
      <c r="L30" s="691" t="s">
        <v>2147</v>
      </c>
      <c r="M30" s="691" t="s">
        <v>2147</v>
      </c>
      <c r="N30" s="2911">
        <v>50.580733975043479</v>
      </c>
      <c r="O30" s="1880">
        <f t="shared" si="1"/>
        <v>3458.6900117943496</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7989.6672385501197</v>
      </c>
      <c r="D34" s="1881">
        <f>'Table2(I).A-H'!I67</f>
        <v>2.5081451494495153</v>
      </c>
      <c r="E34" s="1881">
        <f>'Table2(I).A-H'!J67</f>
        <v>6.2512609452625476E-2</v>
      </c>
      <c r="F34" s="2146" t="s">
        <v>2146</v>
      </c>
      <c r="G34" s="2146" t="s">
        <v>2146</v>
      </c>
      <c r="H34" s="2146" t="s">
        <v>2146</v>
      </c>
      <c r="I34" s="2146" t="s">
        <v>2146</v>
      </c>
      <c r="J34" s="2146" t="s">
        <v>2146</v>
      </c>
      <c r="K34" s="2606">
        <v>31.904864230377285</v>
      </c>
      <c r="L34" s="2606">
        <v>8.5449682393755673</v>
      </c>
      <c r="M34" s="2606">
        <v>7.787612484880499E-2</v>
      </c>
      <c r="N34" s="2607">
        <v>1769.6161221548252</v>
      </c>
      <c r="O34" s="1882">
        <f t="shared" si="1"/>
        <v>8076.4611442396517</v>
      </c>
    </row>
    <row r="35" spans="2:15" ht="18" customHeight="1" x14ac:dyDescent="0.2">
      <c r="B35" s="2470" t="s">
        <v>2014</v>
      </c>
      <c r="C35" s="2920">
        <f>IF(SUM(C36:C38)=0,"NO",SUM(C36:C38))</f>
        <v>238.76239894999998</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183.16643948194661</v>
      </c>
      <c r="N35" s="2048" t="str">
        <f t="shared" ref="N35" si="7">IF(SUM(N36:N38)=0,"NO",SUM(N36:N38))</f>
        <v>NO</v>
      </c>
      <c r="O35" s="2934">
        <f t="shared" si="1"/>
        <v>238.76239894999998</v>
      </c>
    </row>
    <row r="36" spans="2:15" ht="18" customHeight="1" x14ac:dyDescent="0.2">
      <c r="B36" s="1270" t="s">
        <v>466</v>
      </c>
      <c r="C36" s="1878">
        <f>'Table2(I).A-H'!H73</f>
        <v>238.76239894999998</v>
      </c>
      <c r="D36" s="2140" t="str">
        <f>'Table2(I).A-H'!I73</f>
        <v>NO</v>
      </c>
      <c r="E36" s="2140" t="str">
        <f>'Table2(I).A-H'!J73</f>
        <v>NO</v>
      </c>
      <c r="F36" s="628"/>
      <c r="G36" s="628"/>
      <c r="H36" s="2135"/>
      <c r="I36" s="628"/>
      <c r="J36" s="2135"/>
      <c r="K36" s="2147" t="s">
        <v>2147</v>
      </c>
      <c r="L36" s="2147" t="s">
        <v>2147</v>
      </c>
      <c r="M36" s="691" t="s">
        <v>2147</v>
      </c>
      <c r="N36" s="2141" t="s">
        <v>2147</v>
      </c>
      <c r="O36" s="1880">
        <f t="shared" si="1"/>
        <v>238.76239894999998</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183.16643948194661</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6141.5462216641918</v>
      </c>
      <c r="G45" s="2137" t="str">
        <f t="shared" ref="G45:J45" si="9">IF(SUM(G46:G51)=0,"NO",SUM(G46:G51))</f>
        <v>NO</v>
      </c>
      <c r="H45" s="2920" t="str">
        <f t="shared" si="9"/>
        <v>NO</v>
      </c>
      <c r="I45" s="2920" t="str">
        <f t="shared" si="9"/>
        <v>NO</v>
      </c>
      <c r="J45" s="2139" t="str">
        <f t="shared" si="9"/>
        <v>NO</v>
      </c>
      <c r="K45" s="1929"/>
      <c r="L45" s="1929"/>
      <c r="M45" s="1929"/>
      <c r="N45" s="2153"/>
      <c r="O45" s="2941">
        <f t="shared" si="1"/>
        <v>6141.5462216641918</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5735.1178756254203</v>
      </c>
      <c r="G46" s="1878" t="s">
        <v>2146</v>
      </c>
      <c r="H46" s="1878" t="s">
        <v>2146</v>
      </c>
      <c r="I46" s="1878" t="s">
        <v>2146</v>
      </c>
      <c r="J46" s="2139" t="str">
        <f t="shared" ref="J46" si="10">IF(SUM(J47:J52)=0,"NO",SUM(J47:J52))</f>
        <v>NO</v>
      </c>
      <c r="K46" s="628"/>
      <c r="L46" s="628"/>
      <c r="M46" s="628"/>
      <c r="N46" s="1838"/>
      <c r="O46" s="1880">
        <f t="shared" si="1"/>
        <v>5735.1178756254203</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81.300990333414148</v>
      </c>
      <c r="G47" s="1878" t="s">
        <v>2146</v>
      </c>
      <c r="H47" s="1878" t="s">
        <v>2146</v>
      </c>
      <c r="I47" s="1878" t="s">
        <v>2146</v>
      </c>
      <c r="J47" s="2139" t="str">
        <f t="shared" ref="J47" si="11">IF(SUM(J48:J53)=0,"NO",SUM(J48:J53))</f>
        <v>NO</v>
      </c>
      <c r="K47" s="628"/>
      <c r="L47" s="628"/>
      <c r="M47" s="628"/>
      <c r="N47" s="1838"/>
      <c r="O47" s="1880">
        <f t="shared" si="1"/>
        <v>81.300990333414148</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40.057429483412257</v>
      </c>
      <c r="G48" s="1878" t="s">
        <v>2146</v>
      </c>
      <c r="H48" s="1878" t="s">
        <v>2146</v>
      </c>
      <c r="I48" s="1878" t="s">
        <v>2146</v>
      </c>
      <c r="J48" s="2139" t="str">
        <f t="shared" ref="J48" si="12">IF(SUM(J49:J54)=0,"NO",SUM(J49:J54))</f>
        <v>NO</v>
      </c>
      <c r="K48" s="628"/>
      <c r="L48" s="628"/>
      <c r="M48" s="628"/>
      <c r="N48" s="1838"/>
      <c r="O48" s="1880">
        <f t="shared" si="1"/>
        <v>40.057429483412257</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177.06744096099177</v>
      </c>
      <c r="G49" s="1878" t="s">
        <v>2146</v>
      </c>
      <c r="H49" s="1878" t="s">
        <v>2146</v>
      </c>
      <c r="I49" s="1878" t="s">
        <v>2146</v>
      </c>
      <c r="J49" s="2139" t="str">
        <f t="shared" ref="J49" si="13">IF(SUM(J50:J55)=0,"NO",SUM(J50:J55))</f>
        <v>NO</v>
      </c>
      <c r="K49" s="628"/>
      <c r="L49" s="628"/>
      <c r="M49" s="628"/>
      <c r="N49" s="1838"/>
      <c r="O49" s="1880">
        <f t="shared" si="1"/>
        <v>177.06744096099177</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108.00248526095267</v>
      </c>
      <c r="G50" s="1878" t="s">
        <v>2146</v>
      </c>
      <c r="H50" s="1878" t="s">
        <v>2146</v>
      </c>
      <c r="I50" s="1878" t="s">
        <v>2146</v>
      </c>
      <c r="J50" s="2139" t="str">
        <f t="shared" ref="J50" si="14">IF(SUM(J51:J56)=0,"NO",SUM(J51:J56))</f>
        <v>NO</v>
      </c>
      <c r="K50" s="628"/>
      <c r="L50" s="628"/>
      <c r="M50" s="628"/>
      <c r="N50" s="1838"/>
      <c r="O50" s="1880">
        <f t="shared" si="1"/>
        <v>108.00248526095267</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6.4470614816006036E-3</v>
      </c>
      <c r="J52" s="2139" t="str">
        <f t="shared" si="16"/>
        <v>NO</v>
      </c>
      <c r="K52" s="2139" t="str">
        <f t="shared" si="16"/>
        <v>NO</v>
      </c>
      <c r="L52" s="2139" t="str">
        <f t="shared" si="16"/>
        <v>NO</v>
      </c>
      <c r="M52" s="2139" t="str">
        <f t="shared" si="16"/>
        <v>NO</v>
      </c>
      <c r="N52" s="2048" t="str">
        <f t="shared" si="16"/>
        <v>NO</v>
      </c>
      <c r="O52" s="2934">
        <f t="shared" si="1"/>
        <v>151.50594481761419</v>
      </c>
    </row>
    <row r="53" spans="2:15" ht="18" customHeight="1" x14ac:dyDescent="0.2">
      <c r="B53" s="1270" t="s">
        <v>481</v>
      </c>
      <c r="C53" s="2135"/>
      <c r="D53" s="2135"/>
      <c r="E53" s="2135"/>
      <c r="F53" s="2920" t="s">
        <v>2146</v>
      </c>
      <c r="G53" s="2920" t="s">
        <v>2146</v>
      </c>
      <c r="H53" s="2920" t="s">
        <v>2146</v>
      </c>
      <c r="I53" s="2920">
        <f>SUM('Table2(II).B-Hs2'!J163:M163)/1000</f>
        <v>5.6966393514970674E-3</v>
      </c>
      <c r="J53" s="2920" t="s">
        <v>2146</v>
      </c>
      <c r="K53" s="2135"/>
      <c r="L53" s="2135"/>
      <c r="M53" s="2135"/>
      <c r="N53" s="2149"/>
      <c r="O53" s="2934">
        <f t="shared" si="1"/>
        <v>133.87102476018109</v>
      </c>
    </row>
    <row r="54" spans="2:15" ht="18" customHeight="1" x14ac:dyDescent="0.2">
      <c r="B54" s="1270" t="s">
        <v>482</v>
      </c>
      <c r="C54" s="2135"/>
      <c r="D54" s="2135"/>
      <c r="E54" s="2135"/>
      <c r="F54" s="2135"/>
      <c r="G54" s="2920" t="s">
        <v>2146</v>
      </c>
      <c r="H54" s="3025"/>
      <c r="I54" s="2920">
        <f>SUM('Table2(II).B-Hs2'!J165:M165)/1000</f>
        <v>7.5042213010353628E-4</v>
      </c>
      <c r="J54" s="2135"/>
      <c r="K54" s="2135"/>
      <c r="L54" s="2135"/>
      <c r="M54" s="2135"/>
      <c r="N54" s="2149"/>
      <c r="O54" s="2934">
        <f t="shared" si="1"/>
        <v>17.634920057433103</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161.40890909572053</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50.708089411546709</v>
      </c>
      <c r="N57" s="2073" t="str">
        <f>N58</f>
        <v>NA</v>
      </c>
      <c r="O57" s="2941">
        <f t="shared" si="1"/>
        <v>161.40890909572053</v>
      </c>
    </row>
    <row r="58" spans="2:15" ht="18" customHeight="1" thickBot="1" x14ac:dyDescent="0.25">
      <c r="B58" s="2596" t="s">
        <v>2180</v>
      </c>
      <c r="C58" s="2500">
        <f>'Table2(I).A-H'!H97</f>
        <v>161.40890909572053</v>
      </c>
      <c r="D58" s="2500" t="str">
        <f>'Table2(I).A-H'!I97</f>
        <v>NO</v>
      </c>
      <c r="E58" s="2500" t="str">
        <f>'Table2(I).A-H'!J97</f>
        <v>NO</v>
      </c>
      <c r="F58" s="2500" t="s">
        <v>2146</v>
      </c>
      <c r="G58" s="2500" t="s">
        <v>2146</v>
      </c>
      <c r="H58" s="2500" t="s">
        <v>2146</v>
      </c>
      <c r="I58" s="2500" t="s">
        <v>2146</v>
      </c>
      <c r="J58" s="2500" t="s">
        <v>2146</v>
      </c>
      <c r="K58" s="2912" t="s">
        <v>2147</v>
      </c>
      <c r="L58" s="2912" t="s">
        <v>2147</v>
      </c>
      <c r="M58" s="2912">
        <v>50.708089411546709</v>
      </c>
      <c r="N58" s="2922" t="s">
        <v>2147</v>
      </c>
      <c r="O58" s="2925">
        <f t="shared" si="1"/>
        <v>161.40890909572053</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38.361730192143895</v>
      </c>
      <c r="D10" s="2044">
        <f t="shared" ref="D10:X10" si="0">IF(SUM(D11,D16,D20,D26,D33,D37)=0,"NO",SUM(D11,D16,D20,D26,D33,D37))</f>
        <v>114.5004014884299</v>
      </c>
      <c r="E10" s="2044" t="str">
        <f t="shared" si="0"/>
        <v>NO</v>
      </c>
      <c r="F10" s="2044" t="str">
        <f t="shared" si="0"/>
        <v>NO</v>
      </c>
      <c r="G10" s="2044">
        <f t="shared" si="0"/>
        <v>469.73445690455242</v>
      </c>
      <c r="H10" s="2044">
        <f t="shared" si="0"/>
        <v>0.84606332248263572</v>
      </c>
      <c r="I10" s="2044">
        <f t="shared" si="0"/>
        <v>1453.6457139739014</v>
      </c>
      <c r="J10" s="2044" t="str">
        <f t="shared" si="0"/>
        <v>NO</v>
      </c>
      <c r="K10" s="2044">
        <f t="shared" si="0"/>
        <v>420.64264257898884</v>
      </c>
      <c r="L10" s="2044" t="str">
        <f t="shared" si="0"/>
        <v>NO</v>
      </c>
      <c r="M10" s="2044">
        <f t="shared" si="0"/>
        <v>34.616295318989891</v>
      </c>
      <c r="N10" s="2044" t="str">
        <f t="shared" si="0"/>
        <v>NO</v>
      </c>
      <c r="O10" s="2044">
        <f t="shared" si="0"/>
        <v>27.042200718707594</v>
      </c>
      <c r="P10" s="2044" t="str">
        <f t="shared" si="0"/>
        <v>NO</v>
      </c>
      <c r="Q10" s="2044" t="str">
        <f t="shared" si="0"/>
        <v>NO</v>
      </c>
      <c r="R10" s="2044">
        <f t="shared" si="0"/>
        <v>4.6284953280879924</v>
      </c>
      <c r="S10" s="2044" t="str">
        <f t="shared" si="0"/>
        <v>NO</v>
      </c>
      <c r="T10" s="2044">
        <f t="shared" si="0"/>
        <v>23.27375582346076</v>
      </c>
      <c r="U10" s="2044">
        <f t="shared" si="0"/>
        <v>45.859561713309077</v>
      </c>
      <c r="V10" s="2045" t="str">
        <f t="shared" si="0"/>
        <v>NO</v>
      </c>
      <c r="W10" s="2046"/>
      <c r="X10" s="2044">
        <f t="shared" si="0"/>
        <v>40.447221979933111</v>
      </c>
      <c r="Y10" s="2044">
        <f t="shared" ref="Y10" si="1">IF(SUM(Y11,Y16,Y20,Y26,Y33,Y37)=0,"NO",SUM(Y11,Y16,Y20,Y26,Y33,Y37))</f>
        <v>4.8890992391304335</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6.4470614816006035</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40.447221979933111</v>
      </c>
      <c r="Y16" s="2050">
        <f t="shared" ref="Y16" si="35">IF(SUM(Y17:Y19)=0,"NO",SUM(Y17:Y19))</f>
        <v>4.8890992391304335</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40.447221979933111</v>
      </c>
      <c r="Y17" s="2050">
        <f>'Table2(II).B-Hs1'!G26</f>
        <v>4.8890992391304335</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38.361730192143895</v>
      </c>
      <c r="D26" s="2069">
        <f t="shared" ref="D26:AK26" si="58">IF(SUM(D27:D32)=0,"NO",SUM(D27:D32))</f>
        <v>114.5004014884299</v>
      </c>
      <c r="E26" s="2069" t="str">
        <f t="shared" si="58"/>
        <v>NO</v>
      </c>
      <c r="F26" s="2069" t="str">
        <f t="shared" si="58"/>
        <v>NO</v>
      </c>
      <c r="G26" s="2069">
        <f t="shared" si="58"/>
        <v>469.73445690455242</v>
      </c>
      <c r="H26" s="2069">
        <f t="shared" si="58"/>
        <v>0.84606332248263572</v>
      </c>
      <c r="I26" s="2069">
        <f t="shared" si="58"/>
        <v>1453.6457139739014</v>
      </c>
      <c r="J26" s="2069" t="str">
        <f t="shared" si="58"/>
        <v>NO</v>
      </c>
      <c r="K26" s="2069">
        <f t="shared" si="58"/>
        <v>420.64264257898884</v>
      </c>
      <c r="L26" s="2069" t="str">
        <f t="shared" si="58"/>
        <v>NO</v>
      </c>
      <c r="M26" s="2069">
        <f t="shared" si="58"/>
        <v>34.616295318989891</v>
      </c>
      <c r="N26" s="2069" t="str">
        <f t="shared" si="58"/>
        <v>NO</v>
      </c>
      <c r="O26" s="2069">
        <f t="shared" si="58"/>
        <v>27.042200718707594</v>
      </c>
      <c r="P26" s="2069" t="str">
        <f t="shared" si="58"/>
        <v>NO</v>
      </c>
      <c r="Q26" s="2069" t="str">
        <f t="shared" si="58"/>
        <v>NO</v>
      </c>
      <c r="R26" s="2069">
        <f t="shared" si="58"/>
        <v>4.6284953280879924</v>
      </c>
      <c r="S26" s="2069" t="str">
        <f t="shared" si="58"/>
        <v>NO</v>
      </c>
      <c r="T26" s="2069">
        <f t="shared" si="58"/>
        <v>23.27375582346076</v>
      </c>
      <c r="U26" s="2069">
        <f t="shared" si="58"/>
        <v>45.859561713309077</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35.823070709588734</v>
      </c>
      <c r="D27" s="2044">
        <f>IF(SUM('Table2(II).B-Hs2'!J14:M14,'Table2(II).B-Hs2'!J27:M27,'Table2(II).B-Hs2'!J40:M40,'Table2(II).B-Hs2'!J53:M53,'Table2(II).B-Hs2'!J66:M66,'Table2(II).B-Hs2'!J79:M79)=0,"NO",SUM('Table2(II).B-Hs2'!J14:M14,'Table2(II).B-Hs2'!J27:M27,'Table2(II).B-Hs2'!J40:M40,'Table2(II).B-Hs2'!J53:M53,'Table2(II).B-Hs2'!J66:M66,'Table2(II).B-Hs2'!J79:M79))</f>
        <v>106.92312255603953</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438.64889774622617</v>
      </c>
      <c r="H27" s="2044">
        <f>IF(SUM('Table2(II).B-Hs2'!J17:M17,'Table2(II).B-Hs2'!J30:M30,'Table2(II).B-Hs2'!J43:M43,'Table2(II).B-Hs2'!J56:M56,'Table2(II).B-Hs2'!J69:M69,'Table2(II).B-Hs2'!J82:M82)=0,"NO",SUM('Table2(II).B-Hs2'!J17:M17,'Table2(II).B-Hs2'!J30:M30,'Table2(II).B-Hs2'!J43:M43,'Table2(II).B-Hs2'!J56:M56,'Table2(II).B-Hs2'!J69:M69,'Table2(II).B-Hs2'!J82:M82))</f>
        <v>0.79007349445077779</v>
      </c>
      <c r="I27" s="2044">
        <f>IF(SUM('Table2(II).B-Hs2'!J18:M18,'Table2(II).B-Hs2'!J31:M31,'Table2(II).B-Hs2'!J44:M44,'Table2(II).B-Hs2'!J57:M57,'Table2(II).B-Hs2'!J70:M70,'Table2(II).B-Hs2'!J83:M83)=0,"NO",SUM('Table2(II).B-Hs2'!J18:M18,'Table2(II).B-Hs2'!J31:M31,'Table2(II).B-Hs2'!J44:M44,'Table2(II).B-Hs2'!J57:M57,'Table2(II).B-Hs2'!J70:M70,'Table2(II).B-Hs2'!J83:M83))</f>
        <v>1357.4479810361088</v>
      </c>
      <c r="J27" s="2044" t="s">
        <v>2146</v>
      </c>
      <c r="K27" s="2044">
        <f>IF(SUM('Table2(II).B-Hs2'!J19:M19,'Table2(II).B-Hs2'!J32:M32,'Table2(II).B-Hs2'!J45:M45,'Table2(II).B-Hs2'!J58:M58,'Table2(II).B-Hs2'!J71:M71,'Table2(II).B-Hs2'!J84:M84)=0,"NO",SUM('Table2(II).B-Hs2'!J19:M19,'Table2(II).B-Hs2'!J32:M32,'Table2(II).B-Hs2'!J45:M45,'Table2(II).B-Hs2'!J58:M58,'Table2(II).B-Hs2'!J71:M71,'Table2(II).B-Hs2'!J84:M84))</f>
        <v>392.80582635611421</v>
      </c>
      <c r="L27" s="2044" t="s">
        <v>2146</v>
      </c>
      <c r="M27" s="2044">
        <f>IF(SUM('Table2(II).B-Hs2'!J20:M20,'Table2(II).B-Hs2'!J33:M33,'Table2(II).B-Hs2'!J46:M46,'Table2(II).B-Hs2'!J59:M59,'Table2(II).B-Hs2'!J72:M72,'Table2(II).B-Hs2'!J85:M85)=0,"NO",SUM('Table2(II).B-Hs2'!J20:M20,'Table2(II).B-Hs2'!J33:M33,'Table2(II).B-Hs2'!J46:M46,'Table2(II).B-Hs2'!J59:M59,'Table2(II).B-Hs2'!J72:M72,'Table2(II).B-Hs2'!J85:M85))</f>
        <v>32.325497017601485</v>
      </c>
      <c r="N27" s="2044" t="s">
        <v>2146</v>
      </c>
      <c r="O27" s="2044">
        <f>IF(SUM('Table2(II).B-Hs2'!J21:M21,'Table2(II).B-Hs2'!J34:M34,'Table2(II).B-Hs2'!J47:M47,'Table2(II).B-Hs2'!J60:M60,'Table2(II).B-Hs2'!J73:M73,'Table2(II).B-Hs2'!J86:M86)=0,"NO",SUM('Table2(II).B-Hs2'!J21:M21,'Table2(II).B-Hs2'!J34:M34,'Table2(II).B-Hs2'!J47:M47,'Table2(II).B-Hs2'!J60:M60,'Table2(II).B-Hs2'!J73:M73,'Table2(II).B-Hs2'!J86:M86))</f>
        <v>25.252632340538717</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4.3221959642230345</v>
      </c>
      <c r="S27" s="2044" t="s">
        <v>2146</v>
      </c>
      <c r="T27" s="2044">
        <f>IF(SUM('Table2(II).B-Hs2'!J23:M23,'Table2(II).B-Hs2'!J36:M36,'Table2(II).B-Hs2'!J49:M49,'Table2(II).B-Hs2'!J62:M62,'Table2(II).B-Hs2'!J75:M75,'Table2(II).B-Hs2'!J88:M88)=0,"NO",SUM('Table2(II).B-Hs2'!J23:M23,'Table2(II).B-Hs2'!J36:M36,'Table2(II).B-Hs2'!J49:M49,'Table2(II).B-Hs2'!J62:M62,'Table2(II).B-Hs2'!J75:M75,'Table2(II).B-Hs2'!J88:M88))</f>
        <v>21.733571357849719</v>
      </c>
      <c r="U27" s="2044">
        <f>IF(SUM('Table2(II).B-Hs2'!J24:M24,'Table2(II).B-Hs2'!J37:M37,'Table2(II).B-Hs2'!J50:M50,'Table2(II).B-Hs2'!J63:M63,'Table2(II).B-Hs2'!J76:M76,'Table2(II).B-Hs2'!J89:M89)=0,"NO",SUM('Table2(II).B-Hs2'!J24:M24,'Table2(II).B-Hs2'!J37:M37,'Table2(II).B-Hs2'!J50:M50,'Table2(II).B-Hs2'!J63:M63,'Table2(II).B-Hs2'!J76:M76,'Table2(II).B-Hs2'!J89:M89))</f>
        <v>42.824719159905214</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0.50782759633443086</v>
      </c>
      <c r="D28" s="2044">
        <f>IF(SUM('Table2(II).B-Hs2'!J93:M93,'Table2(II).B-Hs2'!J106:M106)=0,"NO",SUM('Table2(II).B-Hs2'!J93:M93,'Table2(II).B-Hs2'!J106:M106))</f>
        <v>1.5157414270929961</v>
      </c>
      <c r="E28" s="2044" t="s">
        <v>2146</v>
      </c>
      <c r="F28" s="2044" t="str">
        <f>IF(SUM('Table2(II).B-Hs2'!J94:M94,'Table2(II).B-Hs2'!J107:M107)=0,"NO",SUM('Table2(II).B-Hs2'!J94:M94,'Table2(II).B-Hs2'!J107:M107))</f>
        <v>NO</v>
      </c>
      <c r="G28" s="2044">
        <f>IF(SUM('Table2(II).B-Hs2'!J95:M95,'Table2(II).B-Hs2'!J108:M108)=0,"NO",SUM('Table2(II).B-Hs2'!J95:M95,'Table2(II).B-Hs2'!J108:M108))</f>
        <v>6.2182836637058063</v>
      </c>
      <c r="H28" s="2044">
        <f>IF(SUM('Table2(II).B-Hs2'!J96:M96,'Table2(II).B-Hs2'!J109:M109)=0,"NO",SUM('Table2(II).B-Hs2'!J96:M96,'Table2(II).B-Hs2'!J109:M109))</f>
        <v>1.1200076254409096E-2</v>
      </c>
      <c r="I28" s="2044">
        <f>IF(SUM('Table2(II).B-Hs2'!J97:M97,'Table2(II).B-Hs2'!J110:M110)=0,"NO",SUM('Table2(II).B-Hs2'!J97:M97,'Table2(II).B-Hs2'!J110:M110))</f>
        <v>19.243172952621158</v>
      </c>
      <c r="J28" s="2044" t="s">
        <v>2146</v>
      </c>
      <c r="K28" s="2044">
        <f>IF(SUM('Table2(II).B-Hs2'!J98:M98,'Table2(II).B-Hs2'!J111:M111)=0,"NO",SUM('Table2(II).B-Hs2'!J98:M98,'Table2(II).B-Hs2'!J111:M111))</f>
        <v>5.5684126087826211</v>
      </c>
      <c r="L28" s="2044" t="s">
        <v>2146</v>
      </c>
      <c r="M28" s="2044">
        <f>IF(SUM('Table2(II).B-Hs2'!J99:M99,'Table2(II).B-Hs2'!J112:M112)=0,"NO",SUM('Table2(II).B-Hs2'!J99:M99,'Table2(II).B-Hs2'!J112:M112))</f>
        <v>0.45824601648039004</v>
      </c>
      <c r="N28" s="2044" t="s">
        <v>2146</v>
      </c>
      <c r="O28" s="2044">
        <f>IF(SUM('Table2(II).B-Hs2'!J100:M100,'Table2(II).B-Hs2'!J113:M113)=0,"NO",SUM('Table2(II).B-Hs2'!J100:M100,'Table2(II).B-Hs2'!J113:M113))</f>
        <v>0.35798113697663286</v>
      </c>
      <c r="P28" s="2044" t="s">
        <v>2146</v>
      </c>
      <c r="Q28" s="2044" t="s">
        <v>2146</v>
      </c>
      <c r="R28" s="2044">
        <f>IF(SUM('Table2(II).B-Hs2'!J101:M101,'Table2(II).B-Hs2'!J114:M114)=0,"NO",SUM('Table2(II).B-Hs2'!J101:M101,'Table2(II).B-Hs2'!J114:M114))</f>
        <v>6.1271419337322344E-2</v>
      </c>
      <c r="S28" s="2044" t="s">
        <v>2146</v>
      </c>
      <c r="T28" s="2044">
        <f>IF(SUM('Table2(II).B-Hs2'!J102:M102,'Table2(II).B-Hs2'!J115:M115)=0,"NO",SUM('Table2(II).B-Hs2'!J102:M102,'Table2(II).B-Hs2'!J115:M115))</f>
        <v>0.3080949534419844</v>
      </c>
      <c r="U28" s="2044">
        <f>IF(SUM('Table2(II).B-Hs2'!J103:M103,'Table2(II).B-Hs2'!J116:M116)=0,"NO",SUM('Table2(II).B-Hs2'!J103:M103,'Table2(II).B-Hs2'!J116:M116))</f>
        <v>0.60708291511287327</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0.25020935226586871</v>
      </c>
      <c r="D29" s="2044">
        <f>IF(SUM('Table2(II).B-Hs2'!J119:M119)=0,"NO",SUM('Table2(II).B-Hs2'!J119:M119))</f>
        <v>0.74681384669320816</v>
      </c>
      <c r="E29" s="2044" t="s">
        <v>2146</v>
      </c>
      <c r="F29" s="2044" t="str">
        <f>IF(SUM('Table2(II).B-Hs2'!J120:M120)=0,"NO",SUM('Table2(II).B-Hs2'!J120:M120))</f>
        <v>NO</v>
      </c>
      <c r="G29" s="2044">
        <f>IF(SUM('Table2(II).B-Hs2'!J121:M121)=0,"NO",SUM('Table2(II).B-Hs2'!J121:M121))</f>
        <v>3.063781367794435</v>
      </c>
      <c r="H29" s="2044">
        <f>IF(SUM('Table2(II).B-Hs2'!J122:M122)=0,"NO",SUM('Table2(II).B-Hs2'!J122:M122))</f>
        <v>5.5183370206185779E-3</v>
      </c>
      <c r="I29" s="2044">
        <f>IF(SUM('Table2(II).B-Hs2'!J123:M123)=0,"NO",SUM('Table2(II).B-Hs2'!J123:M123))</f>
        <v>9.4812134566326591</v>
      </c>
      <c r="J29" s="2044" t="s">
        <v>2146</v>
      </c>
      <c r="K29" s="2044">
        <f>IF(SUM('Table2(II).B-Hs2'!J124:M124)=0,"NO",SUM('Table2(II).B-Hs2'!J124:M124))</f>
        <v>2.7435864495143667</v>
      </c>
      <c r="L29" s="2044" t="s">
        <v>2146</v>
      </c>
      <c r="M29" s="2044">
        <f>IF(SUM('Table2(II).B-Hs2'!J125:M125)=0,"NO",SUM('Table2(II).B-Hs2'!J125:M125))</f>
        <v>0.22578024469246277</v>
      </c>
      <c r="N29" s="2044" t="s">
        <v>2146</v>
      </c>
      <c r="O29" s="2044">
        <f>IF(SUM('Table2(II).B-Hs2'!J126:M126)=0,"NO",SUM('Table2(II).B-Hs2'!J126:M126))</f>
        <v>0.17637920635438625</v>
      </c>
      <c r="P29" s="2044" t="s">
        <v>2146</v>
      </c>
      <c r="Q29" s="2044" t="s">
        <v>2146</v>
      </c>
      <c r="R29" s="2044">
        <f>IF(SUM('Table2(II).B-Hs2'!J127:M127)=0,"NO",SUM('Table2(II).B-Hs2'!J127:M127))</f>
        <v>3.0188753536556132E-2</v>
      </c>
      <c r="S29" s="2044" t="s">
        <v>2146</v>
      </c>
      <c r="T29" s="2044">
        <f>IF(SUM('Table2(II).B-Hs2'!J128:M128)=0,"NO",SUM('Table2(II).B-Hs2'!J128:M128))</f>
        <v>0.15180001893070671</v>
      </c>
      <c r="U29" s="2044">
        <f>IF(SUM('Table2(II).B-Hs2'!J129:M129)=0,"NO",SUM('Table2(II).B-Hs2'!J129:M129))</f>
        <v>0.29911297467582837</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1.1060103027472326</v>
      </c>
      <c r="D30" s="2044">
        <f>IF(SUM('Table2(II).B-Hs2'!J133:M133)=0,"NO",SUM('Table2(II).B-Hs2'!J133:M133))</f>
        <v>3.3011708043562753</v>
      </c>
      <c r="E30" s="2044" t="s">
        <v>2146</v>
      </c>
      <c r="F30" s="2044" t="str">
        <f>IF(SUM('Table2(II).B-Hs2'!J134:M134)=0,"NO",SUM('Table2(II).B-Hs2'!J134:M134))</f>
        <v>NO</v>
      </c>
      <c r="G30" s="2044">
        <f>IF(SUM('Table2(II).B-Hs2'!J135:M135)=0,"NO",SUM('Table2(II).B-Hs2'!J135:M135))</f>
        <v>13.54295404012319</v>
      </c>
      <c r="H30" s="2044">
        <f>IF(SUM('Table2(II).B-Hs2'!J136:M136)=0,"NO",SUM('Table2(II).B-Hs2'!J136:M136))</f>
        <v>2.4392923540085341E-2</v>
      </c>
      <c r="I30" s="2044">
        <f>IF(SUM('Table2(II).B-Hs2'!J137:M137)=0,"NO",SUM('Table2(II).B-Hs2'!J137:M137))</f>
        <v>41.910183095149925</v>
      </c>
      <c r="J30" s="2044" t="s">
        <v>2146</v>
      </c>
      <c r="K30" s="2044">
        <f>IF(SUM('Table2(II).B-Hs2'!J138:M138)=0,"NO",SUM('Table2(II).B-Hs2'!J138:M138))</f>
        <v>12.12758376999531</v>
      </c>
      <c r="L30" s="2044" t="s">
        <v>2146</v>
      </c>
      <c r="M30" s="2044">
        <f>IF(SUM('Table2(II).B-Hs2'!J139:M139)=0,"NO",SUM('Table2(II).B-Hs2'!J139:M139))</f>
        <v>0.99802535167155226</v>
      </c>
      <c r="N30" s="2044" t="s">
        <v>2146</v>
      </c>
      <c r="O30" s="2044">
        <f>IF(SUM('Table2(II).B-Hs2'!J140:M140)=0,"NO",SUM('Table2(II).B-Hs2'!J140:M140))</f>
        <v>0.77965598668368397</v>
      </c>
      <c r="P30" s="2044" t="s">
        <v>2146</v>
      </c>
      <c r="Q30" s="2044" t="s">
        <v>2146</v>
      </c>
      <c r="R30" s="2044">
        <f>IF(SUM('Table2(II).B-Hs2'!J141:M141)=0,"NO",SUM('Table2(II).B-Hs2'!J141:M141))</f>
        <v>0.13344454208509876</v>
      </c>
      <c r="S30" s="2044" t="s">
        <v>2146</v>
      </c>
      <c r="T30" s="2044">
        <f>IF(SUM('Table2(II).B-Hs2'!J142:M142)=0,"NO",SUM('Table2(II).B-Hs2'!J142:M142))</f>
        <v>0.67100763170589495</v>
      </c>
      <c r="U30" s="2044">
        <f>IF(SUM('Table2(II).B-Hs2'!J143:M143)=0,"NO",SUM('Table2(II).B-Hs2'!J143:M143))</f>
        <v>1.3221809204210389</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0.67461223120762903</v>
      </c>
      <c r="D31" s="2044">
        <f>IF(SUM('Table2(II).B-Hs2'!J148:M148)=0,"NO",SUM('Table2(II).B-Hs2'!J148:M148))</f>
        <v>2.0135528542478967</v>
      </c>
      <c r="E31" s="2044" t="s">
        <v>2146</v>
      </c>
      <c r="F31" s="2044" t="str">
        <f>IF(SUM('Table2(II).B-Hs2'!J149:M149)=0,"NO",SUM('Table2(II).B-Hs2'!J149:M149))</f>
        <v>NO</v>
      </c>
      <c r="G31" s="2044">
        <f>IF(SUM('Table2(II).B-Hs2'!J150:M150)=0,"NO",SUM('Table2(II).B-Hs2'!J150:M150))</f>
        <v>8.2605400867028607</v>
      </c>
      <c r="H31" s="2044">
        <f>IF(SUM('Table2(II).B-Hs2'!J151:M151)=0,"NO",SUM('Table2(II).B-Hs2'!J151:M151))</f>
        <v>1.4878491216744904E-2</v>
      </c>
      <c r="I31" s="2044">
        <f>IF(SUM('Table2(II).B-Hs2'!J152:M152)=0,"NO",SUM('Table2(II).B-Hs2'!J152:M152))</f>
        <v>25.563163433388816</v>
      </c>
      <c r="J31" s="2044" t="s">
        <v>2146</v>
      </c>
      <c r="K31" s="2044">
        <f>IF(SUM('Table2(II).B-Hs2'!J153:M153)=0,"NO",SUM('Table2(II).B-Hs2'!J153:M153))</f>
        <v>7.3972333945823534</v>
      </c>
      <c r="L31" s="2044" t="s">
        <v>2146</v>
      </c>
      <c r="M31" s="2044">
        <f>IF(SUM('Table2(II).B-Hs2'!J154:M154)=0,"NO",SUM('Table2(II).B-Hs2'!J154:M154))</f>
        <v>0.60874668854399983</v>
      </c>
      <c r="N31" s="2044" t="s">
        <v>2146</v>
      </c>
      <c r="O31" s="2044">
        <f>IF(SUM('Table2(II).B-Hs2'!J155:M155)=0,"NO",SUM('Table2(II).B-Hs2'!J155:M155))</f>
        <v>0.47555204815417501</v>
      </c>
      <c r="P31" s="2044" t="s">
        <v>2146</v>
      </c>
      <c r="Q31" s="2044" t="s">
        <v>2146</v>
      </c>
      <c r="R31" s="2044">
        <f>IF(SUM('Table2(II).B-Hs2'!J156:M156)=0,"NO",SUM('Table2(II).B-Hs2'!J156:M156))</f>
        <v>8.1394648905981082E-2</v>
      </c>
      <c r="S31" s="2044" t="s">
        <v>2146</v>
      </c>
      <c r="T31" s="2044">
        <f>IF(SUM('Table2(II).B-Hs2'!J157:M157)=0,"NO",SUM('Table2(II).B-Hs2'!J157:M157))</f>
        <v>0.40928186153245444</v>
      </c>
      <c r="U31" s="2044">
        <f>IF(SUM('Table2(II).B-Hs2'!J158:M158)=0,"NO",SUM('Table2(II).B-Hs2'!J158:M158))</f>
        <v>0.80646574319411368</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6.4470614816006035</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5.6966393514970672</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0.75042213010353631</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475.68545438258434</v>
      </c>
      <c r="D39" s="4196">
        <f t="shared" ref="D39:AK39" si="72">IF(SUM(D40:D45)=0,"NO",SUM(D40:D45))</f>
        <v>77.516771807667041</v>
      </c>
      <c r="E39" s="4196" t="str">
        <f t="shared" si="72"/>
        <v>NO</v>
      </c>
      <c r="F39" s="4196" t="str">
        <f t="shared" si="72"/>
        <v>NO</v>
      </c>
      <c r="G39" s="4196">
        <f t="shared" si="72"/>
        <v>1489.0582283874312</v>
      </c>
      <c r="H39" s="4196">
        <f t="shared" si="72"/>
        <v>0.94759092118055199</v>
      </c>
      <c r="I39" s="4196">
        <f t="shared" si="72"/>
        <v>1889.7394281660718</v>
      </c>
      <c r="J39" s="4196" t="str">
        <f t="shared" si="72"/>
        <v>NO</v>
      </c>
      <c r="K39" s="4196">
        <f t="shared" si="72"/>
        <v>2019.0846843791464</v>
      </c>
      <c r="L39" s="4196" t="str">
        <f t="shared" si="72"/>
        <v>NO</v>
      </c>
      <c r="M39" s="4196">
        <f t="shared" si="72"/>
        <v>4.7770487540206048</v>
      </c>
      <c r="N39" s="4196" t="str">
        <f t="shared" si="72"/>
        <v>NO</v>
      </c>
      <c r="O39" s="4196">
        <f t="shared" si="72"/>
        <v>90.591372407670434</v>
      </c>
      <c r="P39" s="4196" t="str">
        <f t="shared" si="72"/>
        <v>NO</v>
      </c>
      <c r="Q39" s="4196" t="str">
        <f t="shared" si="72"/>
        <v>NO</v>
      </c>
      <c r="R39" s="4196">
        <f t="shared" si="72"/>
        <v>37.305672344389215</v>
      </c>
      <c r="S39" s="4196" t="str">
        <f t="shared" si="72"/>
        <v>NO</v>
      </c>
      <c r="T39" s="4196">
        <f t="shared" si="72"/>
        <v>19.968882496529332</v>
      </c>
      <c r="U39" s="4196">
        <f t="shared" si="72"/>
        <v>36.871087617500493</v>
      </c>
      <c r="V39" s="4196" t="str">
        <f t="shared" si="72"/>
        <v>NO</v>
      </c>
      <c r="W39" s="4196">
        <f t="shared" si="72"/>
        <v>6141.5462216641918</v>
      </c>
      <c r="X39" s="4196">
        <f t="shared" si="72"/>
        <v>268.16508172695654</v>
      </c>
      <c r="Y39" s="4196">
        <f t="shared" si="72"/>
        <v>54.269001554347817</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322.43408328130437</v>
      </c>
      <c r="AI39" s="4197" t="str">
        <f t="shared" si="72"/>
        <v>NO</v>
      </c>
      <c r="AJ39" s="4197">
        <f t="shared" si="72"/>
        <v>151.50594481761419</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268.16508172695654</v>
      </c>
      <c r="Y41" s="4199">
        <f>IF(SUM(Y16)=0,"NO",Y16*11100/1000)</f>
        <v>54.269001554347817</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322.43408328130437</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475.68545438258434</v>
      </c>
      <c r="D43" s="4199">
        <f>IF(SUM(D26)=0,"NO",D26*677/1000)</f>
        <v>77.516771807667041</v>
      </c>
      <c r="E43" s="4199" t="str">
        <f>IF(SUM(E26)=0,"NO",E26*116/1000)</f>
        <v>NO</v>
      </c>
      <c r="F43" s="4199" t="str">
        <f>IF(SUM(F26)=0,"NO",F26*1650/1000)</f>
        <v>NO</v>
      </c>
      <c r="G43" s="4199">
        <f>IF(SUM(G26)=0,"NO",G26*3170/1000)</f>
        <v>1489.0582283874312</v>
      </c>
      <c r="H43" s="4199">
        <f>IF(SUM(H26)=0,"NO",H26*1120/1000)</f>
        <v>0.94759092118055199</v>
      </c>
      <c r="I43" s="4199">
        <f>IF(SUM(I26)=0,"NO",I26*1300/1000)</f>
        <v>1889.7394281660718</v>
      </c>
      <c r="J43" s="4199" t="str">
        <f>IF(SUM(J26)=0,"NO",J26*328/1000)</f>
        <v>NO</v>
      </c>
      <c r="K43" s="4199">
        <f>IF(SUM(K26)=0,"NO",K26*4800/1000)</f>
        <v>2019.0846843791464</v>
      </c>
      <c r="L43" s="4199" t="str">
        <f>IF(SUM(L26)=0,"NO",L26*16/1000)</f>
        <v>NO</v>
      </c>
      <c r="M43" s="4199">
        <f>IF(SUM(M26)=0,"NO",M26*138/1000)</f>
        <v>4.7770487540206048</v>
      </c>
      <c r="N43" s="4199" t="str">
        <f>IF(SUM(N26)=0,"NO",N26*4/1000)</f>
        <v>NO</v>
      </c>
      <c r="O43" s="4199">
        <f>IF(SUM(O26)=0,"NO",O26*3350/1000)</f>
        <v>90.591372407670434</v>
      </c>
      <c r="P43" s="4199" t="str">
        <f>IF(SUM(P26)=0,"NO",P26*1210/1000)</f>
        <v>NO</v>
      </c>
      <c r="Q43" s="4199" t="str">
        <f>IF(SUM(Q26)=0,"NO",Q26*1330/1000)</f>
        <v>NO</v>
      </c>
      <c r="R43" s="4199">
        <f>IF(SUM(R26)=0,"NO",R26*8060/1000)</f>
        <v>37.305672344389215</v>
      </c>
      <c r="S43" s="4199" t="str">
        <f>IF(SUM(S26)=0,"NO",S26*716/1000)</f>
        <v>NO</v>
      </c>
      <c r="T43" s="4199">
        <f>IF(SUM(T26)=0,"NO",T26*858/1000)</f>
        <v>19.968882496529332</v>
      </c>
      <c r="U43" s="4199">
        <f>IF(SUM(U26)=0,"NO",U26*804/1000)</f>
        <v>36.871087617500493</v>
      </c>
      <c r="V43" s="4199" t="str">
        <f>IF(SUM(V26)=0,"NO",V26*1/1000)</f>
        <v>NO</v>
      </c>
      <c r="W43" s="4199">
        <f t="shared" si="73"/>
        <v>6141.5462216641918</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151.50594481761419</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6408.1365207979152</v>
      </c>
      <c r="I10" s="628"/>
      <c r="J10" s="628"/>
      <c r="K10" s="3192" t="str">
        <f>IF(SUM(K11:K14)=0,"NO",SUM(K11:K14))</f>
        <v>NO</v>
      </c>
      <c r="L10" s="3192" t="str">
        <f>IF(SUM(L11:L14)=0,"NO",SUM(L11:L14))</f>
        <v>NO</v>
      </c>
      <c r="M10" s="628"/>
      <c r="N10" s="1838"/>
    </row>
    <row r="11" spans="2:14" ht="18" customHeight="1" x14ac:dyDescent="0.2">
      <c r="B11" s="287" t="s">
        <v>491</v>
      </c>
      <c r="C11" s="2099" t="s">
        <v>2181</v>
      </c>
      <c r="D11" s="691">
        <v>6986.2420000000002</v>
      </c>
      <c r="E11" s="1913">
        <f>IF(SUM($D11)=0,"NA",H11/$D11)</f>
        <v>0.54807962506881391</v>
      </c>
      <c r="F11" s="628"/>
      <c r="G11" s="628"/>
      <c r="H11" s="3180">
        <v>3829.0168960000005</v>
      </c>
      <c r="I11" s="628"/>
      <c r="J11" s="628"/>
      <c r="K11" s="3180" t="s">
        <v>2146</v>
      </c>
      <c r="L11" s="691" t="s">
        <v>2146</v>
      </c>
      <c r="M11" s="628"/>
      <c r="N11" s="1838"/>
    </row>
    <row r="12" spans="2:14" ht="18" customHeight="1" x14ac:dyDescent="0.2">
      <c r="B12" s="287" t="s">
        <v>492</v>
      </c>
      <c r="C12" s="2100" t="s">
        <v>2182</v>
      </c>
      <c r="D12" s="691">
        <v>1531.0042409999999</v>
      </c>
      <c r="E12" s="1913">
        <f>IF(SUM($D12)=0,"NA",H12/$D12)</f>
        <v>0.75253543600768269</v>
      </c>
      <c r="F12" s="628"/>
      <c r="G12" s="628"/>
      <c r="H12" s="3180">
        <v>1152.1349440305462</v>
      </c>
      <c r="I12" s="628"/>
      <c r="J12" s="628"/>
      <c r="K12" s="3180" t="s">
        <v>2146</v>
      </c>
      <c r="L12" s="691" t="s">
        <v>2146</v>
      </c>
      <c r="M12" s="628"/>
      <c r="N12" s="1838"/>
    </row>
    <row r="13" spans="2:14" ht="18" customHeight="1" x14ac:dyDescent="0.2">
      <c r="B13" s="287" t="s">
        <v>493</v>
      </c>
      <c r="C13" s="2100" t="s">
        <v>2267</v>
      </c>
      <c r="D13" s="691">
        <v>268.94852521811595</v>
      </c>
      <c r="E13" s="1913">
        <f>IF(SUM($D13)=0,"NA",H13/$D13)</f>
        <v>0.4348634104642119</v>
      </c>
      <c r="F13" s="628"/>
      <c r="G13" s="628"/>
      <c r="H13" s="3180">
        <v>116.95587291567</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1310.028807851699</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29.503350666781337</v>
      </c>
      <c r="I15" s="628"/>
      <c r="J15" s="628"/>
      <c r="K15" s="3180" t="s">
        <v>2146</v>
      </c>
      <c r="L15" s="691" t="s">
        <v>2146</v>
      </c>
      <c r="M15" s="628"/>
      <c r="N15" s="1838"/>
    </row>
    <row r="16" spans="2:14" ht="18" customHeight="1" x14ac:dyDescent="0.2">
      <c r="B16" s="160" t="s">
        <v>496</v>
      </c>
      <c r="C16" s="484" t="s">
        <v>2316</v>
      </c>
      <c r="D16" s="2905">
        <v>412.57667580202349</v>
      </c>
      <c r="E16" s="1913">
        <f>IF(SUM($D16)=0,"NA",H16/$D16)</f>
        <v>0.41491999999999996</v>
      </c>
      <c r="F16" s="628"/>
      <c r="G16" s="628"/>
      <c r="H16" s="3180">
        <v>171.18631432377558</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1109.3391428611421</v>
      </c>
      <c r="I18" s="628"/>
      <c r="J18" s="628"/>
      <c r="K18" s="3181" t="str">
        <f>K19</f>
        <v>NO</v>
      </c>
      <c r="L18" s="3193" t="str">
        <f>L19</f>
        <v>NO</v>
      </c>
      <c r="M18" s="628"/>
      <c r="N18" s="1838"/>
    </row>
    <row r="19" spans="2:14" ht="18" customHeight="1" x14ac:dyDescent="0.2">
      <c r="B19" s="3182" t="s">
        <v>2265</v>
      </c>
      <c r="C19" s="484" t="s">
        <v>2267</v>
      </c>
      <c r="D19" s="2905">
        <v>1355.7620000000002</v>
      </c>
      <c r="E19" s="1913">
        <f>IF(SUM($D19)=0,"NA",H19/$D19)</f>
        <v>0.41126706042653494</v>
      </c>
      <c r="F19" s="628"/>
      <c r="G19" s="628"/>
      <c r="H19" s="3180">
        <v>557.58025237799995</v>
      </c>
      <c r="I19" s="628"/>
      <c r="J19" s="628"/>
      <c r="K19" s="3180" t="s">
        <v>2146</v>
      </c>
      <c r="L19" s="3180" t="s">
        <v>2146</v>
      </c>
      <c r="M19" s="628"/>
      <c r="N19" s="1838"/>
    </row>
    <row r="20" spans="2:14" ht="18" customHeight="1" x14ac:dyDescent="0.2">
      <c r="B20" s="3183" t="s">
        <v>2264</v>
      </c>
      <c r="C20" s="484" t="s">
        <v>2267</v>
      </c>
      <c r="D20" s="2905">
        <v>399.89164988993707</v>
      </c>
      <c r="E20" s="1913">
        <f>IF(SUM($D20)=0,"NA",H20/$D20)</f>
        <v>0.49148083082363336</v>
      </c>
      <c r="F20" s="628"/>
      <c r="G20" s="628"/>
      <c r="H20" s="3180">
        <v>196.53908032733978</v>
      </c>
      <c r="I20" s="628"/>
      <c r="J20" s="628"/>
      <c r="K20" s="3180" t="s">
        <v>2146</v>
      </c>
      <c r="L20" s="3180" t="s">
        <v>2146</v>
      </c>
      <c r="M20" s="2135"/>
      <c r="N20" s="2149"/>
    </row>
    <row r="21" spans="2:14" ht="18" customHeight="1" thickBot="1" x14ac:dyDescent="0.25">
      <c r="B21" s="3183" t="s">
        <v>2266</v>
      </c>
      <c r="C21" s="484" t="s">
        <v>2267</v>
      </c>
      <c r="D21" s="2905">
        <v>1342.0729584931</v>
      </c>
      <c r="E21" s="1913">
        <f>IF(SUM($D21)=0,"NA",H21/$D21)</f>
        <v>0.26467995492186114</v>
      </c>
      <c r="F21" s="628"/>
      <c r="G21" s="628"/>
      <c r="H21" s="3180">
        <v>355.21981015580252</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3462.4612798427397</v>
      </c>
      <c r="I22" s="3067">
        <f>IF(SUM(I23:I26,I30,I33:I35,I47)=0,"IE",SUM(I23:I26,I30,I33:I35,I47))</f>
        <v>0.57776359999999993</v>
      </c>
      <c r="J22" s="3067">
        <f>IF(SUM(J23:J26,J30,J33:J35,J47)=0,"IE",SUM(J23:J26,J30,J33:J35,J47))</f>
        <v>10.056942740141993</v>
      </c>
      <c r="K22" s="3067">
        <f>IF(SUM(K23:K26,K30,K33:K35,K47)=0,"NO",SUM(K23:K26,K30,K33:K35,K47))</f>
        <v>-275.69531000000001</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1364.2522900000001</v>
      </c>
      <c r="E23" s="1913">
        <f>IF(SUM($D23)=0,"NA",H23/$D23)</f>
        <v>1.4678721880016685</v>
      </c>
      <c r="F23" s="1913" t="str">
        <f>IFERROR(IF(SUM($D23)=0,"NA",I23/$D23),"NA")</f>
        <v>NA</v>
      </c>
      <c r="G23" s="1913" t="str">
        <f>IFERROR(IF(SUM($D23)=0,"NA",J23/$D23),"NA")</f>
        <v>NA</v>
      </c>
      <c r="H23" s="691">
        <v>2002.5479939085869</v>
      </c>
      <c r="I23" s="691" t="s">
        <v>2146</v>
      </c>
      <c r="J23" s="691" t="s">
        <v>2146</v>
      </c>
      <c r="K23" s="3180">
        <v>-275.69531000000001</v>
      </c>
      <c r="L23" s="691" t="s">
        <v>2146</v>
      </c>
      <c r="M23" s="691" t="s">
        <v>2146</v>
      </c>
      <c r="N23" s="2911" t="s">
        <v>2146</v>
      </c>
    </row>
    <row r="24" spans="2:14" ht="18" customHeight="1" x14ac:dyDescent="0.2">
      <c r="B24" s="287" t="s">
        <v>500</v>
      </c>
      <c r="C24" s="484" t="s">
        <v>220</v>
      </c>
      <c r="D24" s="691">
        <v>1221.9144199999998</v>
      </c>
      <c r="E24" s="2108"/>
      <c r="F24" s="2108"/>
      <c r="G24" s="1913">
        <f>IF(SUM($D24)=0,"NA",J24/$D24)</f>
        <v>8.2304804457107514E-3</v>
      </c>
      <c r="H24" s="2108"/>
      <c r="I24" s="2108"/>
      <c r="J24" s="691">
        <v>10.056942740141993</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1281.891396645</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48.294806000000001</v>
      </c>
      <c r="I35" s="3196">
        <f>I46</f>
        <v>0.57776359999999993</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48.294806000000001</v>
      </c>
      <c r="I42" s="3198">
        <f>IF(SUM(I44:I45)=0,"NO",SUM(I44:I45))</f>
        <v>0.57776359999999993</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48.294806000000001</v>
      </c>
      <c r="I45" s="3198">
        <f>I46</f>
        <v>0.57776359999999993</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48.294806000000001</v>
      </c>
      <c r="I46" s="691">
        <v>0.57776359999999993</v>
      </c>
      <c r="J46" s="628"/>
      <c r="K46" s="691" t="s">
        <v>2146</v>
      </c>
      <c r="L46" s="691" t="s">
        <v>2146</v>
      </c>
      <c r="M46" s="691" t="s">
        <v>2146</v>
      </c>
      <c r="N46" s="1838"/>
    </row>
    <row r="47" spans="2:16" ht="18" customHeight="1" x14ac:dyDescent="0.2">
      <c r="B47" s="287" t="s">
        <v>520</v>
      </c>
      <c r="C47" s="2104"/>
      <c r="D47" s="628"/>
      <c r="E47" s="628"/>
      <c r="F47" s="628"/>
      <c r="G47" s="628"/>
      <c r="H47" s="3198">
        <f>H50</f>
        <v>129.72708328915283</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129.72708328915283</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129.72708328915283</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11125.923167063165</v>
      </c>
      <c r="I52" s="3192">
        <f>IF(SUM(I53,I62:I67)=0,"IE",SUM(I53,I62:I67))</f>
        <v>2.5081451494495153</v>
      </c>
      <c r="J52" s="1909">
        <f>J67</f>
        <v>6.2512609452625476E-2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1980.4516043478261</v>
      </c>
      <c r="E63" s="4130">
        <f>IF(SUM($D63)=0,"NA",H63/$D63)</f>
        <v>1.5836064469476556</v>
      </c>
      <c r="F63" s="1892"/>
      <c r="G63" s="2107"/>
      <c r="H63" s="691">
        <v>3136.2559285130451</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7989.6672385501197</v>
      </c>
      <c r="I67" s="3199">
        <f t="shared" ref="I67:N67" si="8">IF(SUM(I69:I70)=0,I70,SUM(I69:I70))</f>
        <v>2.5081451494495153</v>
      </c>
      <c r="J67" s="3199">
        <f t="shared" si="8"/>
        <v>6.2512609452625476E-2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7989.6672385501197</v>
      </c>
      <c r="I70" s="3095">
        <f t="shared" si="9"/>
        <v>2.5081451494495153</v>
      </c>
      <c r="J70" s="3095">
        <f t="shared" si="9"/>
        <v>6.2512609452625476E-2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7989.6672385501197</v>
      </c>
      <c r="I71" s="3123">
        <v>2.5081451494495153</v>
      </c>
      <c r="J71" s="3123">
        <v>6.2512609452625476E-2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238.76239894999998</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438.64432989690721</v>
      </c>
      <c r="E73" s="4130">
        <f t="shared" ref="E73:G74" si="11">IF(SUM($D73)=0,"NA",H73/$D73)</f>
        <v>0.54431889956520207</v>
      </c>
      <c r="F73" s="276" t="s">
        <v>2147</v>
      </c>
      <c r="G73" s="276" t="s">
        <v>2147</v>
      </c>
      <c r="H73" s="3122">
        <v>238.76239894999998</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350.01272727272698</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161.40890909572053</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161.40890909572053</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45.336321219063542</v>
      </c>
      <c r="H22" s="2611" t="str">
        <f>H23</f>
        <v>NO</v>
      </c>
    </row>
    <row r="23" spans="2:8" ht="18" customHeight="1" x14ac:dyDescent="0.2">
      <c r="B23" s="169" t="s">
        <v>636</v>
      </c>
      <c r="C23" s="2507"/>
      <c r="D23" s="76"/>
      <c r="E23" s="76"/>
      <c r="F23" s="4322"/>
      <c r="G23" s="3188">
        <f>IF(SUM(G24,G27)=0,"NO",SUM(G24,G27))</f>
        <v>45.336321219063542</v>
      </c>
      <c r="H23" s="2611" t="str">
        <f>H24</f>
        <v>NO</v>
      </c>
    </row>
    <row r="24" spans="2:8" ht="18" customHeight="1" x14ac:dyDescent="0.2">
      <c r="B24" s="171" t="s">
        <v>637</v>
      </c>
      <c r="C24" s="2507"/>
      <c r="D24" s="76"/>
      <c r="E24" s="76"/>
      <c r="F24" s="4322"/>
      <c r="G24" s="3188">
        <f>IF(SUM(G25:G26)=0,"NO",SUM(G25:G26))</f>
        <v>45.336321219063542</v>
      </c>
      <c r="H24" s="2611" t="str">
        <f>H25</f>
        <v>NO</v>
      </c>
    </row>
    <row r="25" spans="2:8" ht="18" customHeight="1" x14ac:dyDescent="0.25">
      <c r="B25" s="2609" t="s">
        <v>1741</v>
      </c>
      <c r="C25" s="2620" t="s">
        <v>1741</v>
      </c>
      <c r="D25" s="73" t="s">
        <v>638</v>
      </c>
      <c r="E25" s="691">
        <v>1980451.6043478262</v>
      </c>
      <c r="F25" s="4320">
        <f t="shared" ref="F25:F28" si="2">IF(SUM(E25)=0,"NA",G25*1000/E25)</f>
        <v>2.0423231696819276E-2</v>
      </c>
      <c r="G25" s="691">
        <v>40.447221979933111</v>
      </c>
      <c r="H25" s="2610" t="s">
        <v>2146</v>
      </c>
    </row>
    <row r="26" spans="2:8" ht="18" customHeight="1" x14ac:dyDescent="0.25">
      <c r="B26" s="2609" t="s">
        <v>1742</v>
      </c>
      <c r="C26" s="2620" t="s">
        <v>1742</v>
      </c>
      <c r="D26" s="73" t="s">
        <v>638</v>
      </c>
      <c r="E26" s="691">
        <v>1980451.6043478262</v>
      </c>
      <c r="F26" s="4320">
        <f t="shared" si="2"/>
        <v>2.468678976248168E-3</v>
      </c>
      <c r="G26" s="691">
        <v>4.8890992391304335</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65.314248088740868</v>
      </c>
      <c r="K10" s="3224">
        <f>IF(SUM(K11,K90,K117,K130,K146,K159)=0,"NO",SUM(K11,K90,K117,K130,K146,K159))</f>
        <v>2141.1431007402662</v>
      </c>
      <c r="L10" s="3225">
        <f>IF(SUM(L11,L90,L117,L130,L146,L159)=0,"NO",SUM(L11,L90,L117,L130,L146,L159))</f>
        <v>641.01402206339867</v>
      </c>
      <c r="M10" s="3498">
        <f>IF(SUM(M11,M90,M117,M130,M146,M159)=0,"NO",SUM(M11,M90,M117,M130,M146,M159))</f>
        <v>-214.32005352935113</v>
      </c>
    </row>
    <row r="11" spans="1:13" ht="18" customHeight="1" x14ac:dyDescent="0.2">
      <c r="B11" s="147" t="s">
        <v>667</v>
      </c>
      <c r="C11" s="2508"/>
      <c r="D11" s="2108"/>
      <c r="E11" s="2108"/>
      <c r="F11" s="2108"/>
      <c r="G11" s="2108"/>
      <c r="H11" s="2108"/>
      <c r="I11" s="2108"/>
      <c r="J11" s="3103">
        <f>IF(SUM(J12,J25,J38,J51,J64,J77)=0,"NO",SUM(J12,J25,J38,J51,J64,J77))</f>
        <v>34.539342172036235</v>
      </c>
      <c r="K11" s="3103">
        <f t="shared" ref="K11:M11" si="0">IF(SUM(K12,K25,K38,K51,K64,K77)=0,"NO",SUM(K12,K25,K38,K51,K64,K77))</f>
        <v>2014.8361738721333</v>
      </c>
      <c r="L11" s="3103">
        <f t="shared" si="0"/>
        <v>617.08897139693158</v>
      </c>
      <c r="M11" s="3226">
        <f t="shared" si="0"/>
        <v>-207.56689970245466</v>
      </c>
    </row>
    <row r="12" spans="1:13" ht="18" customHeight="1" x14ac:dyDescent="0.2">
      <c r="B12" s="104" t="s">
        <v>668</v>
      </c>
      <c r="C12" s="2508"/>
      <c r="D12" s="2108"/>
      <c r="E12" s="2108"/>
      <c r="F12" s="2108"/>
      <c r="G12" s="2108"/>
      <c r="H12" s="2108"/>
      <c r="I12" s="2108"/>
      <c r="J12" s="3103">
        <f>IF(SUM(J13:J24)=0,"NO",SUM(J13:J24))</f>
        <v>25.663833122289251</v>
      </c>
      <c r="K12" s="3103">
        <f>IF(SUM(K13:K24)=0,"NO",SUM(K13:K24))</f>
        <v>1174.0728200888084</v>
      </c>
      <c r="L12" s="3103">
        <f>IF(SUM(L13:L24)=0,"NO",SUM(L13:L24))</f>
        <v>195.0661857607638</v>
      </c>
      <c r="M12" s="3226">
        <f>IF(SUM(M13:M24)=0,"NO",SUM(M13:M24))</f>
        <v>-53.291407631326294</v>
      </c>
    </row>
    <row r="13" spans="1:13" ht="18" customHeight="1" x14ac:dyDescent="0.2">
      <c r="B13" s="2616" t="s">
        <v>559</v>
      </c>
      <c r="C13" s="2618" t="s">
        <v>559</v>
      </c>
      <c r="D13" s="3227">
        <v>21.365144937965024</v>
      </c>
      <c r="E13" s="3227">
        <v>122.92490322802408</v>
      </c>
      <c r="F13" s="3227">
        <v>3.6245102832589193</v>
      </c>
      <c r="G13" s="3103">
        <f>IF(SUM(D13)=0,"NA",J13/D13)</f>
        <v>1.7500000000000002E-2</v>
      </c>
      <c r="H13" s="3103">
        <f>IF(SUM(E13)=0,"NA",K13/E13)</f>
        <v>0.13914817943079116</v>
      </c>
      <c r="I13" s="3103">
        <f>IF(SUM(F13)=0,"NA",(SUM(L13:M13))/F13)</f>
        <v>0.56986503305944303</v>
      </c>
      <c r="J13" s="3227">
        <v>0.37389003641438795</v>
      </c>
      <c r="K13" s="3227">
        <v>17.104776490885733</v>
      </c>
      <c r="L13" s="3227">
        <v>2.8449959778262794</v>
      </c>
      <c r="M13" s="3497">
        <v>-0.77951430543264433</v>
      </c>
    </row>
    <row r="14" spans="1:13" ht="18" customHeight="1" x14ac:dyDescent="0.2">
      <c r="B14" s="2616" t="s">
        <v>560</v>
      </c>
      <c r="C14" s="2618" t="s">
        <v>560</v>
      </c>
      <c r="D14" s="3227">
        <v>63.76974294440123</v>
      </c>
      <c r="E14" s="3227">
        <v>366.90083325328135</v>
      </c>
      <c r="F14" s="3227">
        <v>10.818278543575145</v>
      </c>
      <c r="G14" s="3103">
        <f t="shared" ref="G14:G24" si="1">IF(SUM(D14)=0,"NA",J14/D14)</f>
        <v>1.7500000000000002E-2</v>
      </c>
      <c r="H14" s="3103">
        <f t="shared" ref="H14:H24" si="2">IF(SUM(E14)=0,"NA",K14/E14)</f>
        <v>0.13914817943079116</v>
      </c>
      <c r="I14" s="3103">
        <f t="shared" ref="I14:I78" si="3">IF(SUM(F14)=0,"NA",(SUM(L14:M14))/F14)</f>
        <v>0.56986503305944092</v>
      </c>
      <c r="J14" s="3227">
        <v>1.1159705015270216</v>
      </c>
      <c r="K14" s="3227">
        <v>51.053582978834385</v>
      </c>
      <c r="L14" s="3227">
        <v>8.4916186017279145</v>
      </c>
      <c r="M14" s="3497">
        <v>-2.3266599418472231</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261.61345444677863</v>
      </c>
      <c r="E16" s="3227">
        <v>1505.1996447669499</v>
      </c>
      <c r="F16" s="3227">
        <v>44.381662686326408</v>
      </c>
      <c r="G16" s="3103">
        <f t="shared" si="1"/>
        <v>1.7500000000000002E-2</v>
      </c>
      <c r="H16" s="3103">
        <f t="shared" si="2"/>
        <v>0.13914817943079114</v>
      </c>
      <c r="I16" s="3103">
        <f t="shared" si="3"/>
        <v>0.56986503305944258</v>
      </c>
      <c r="J16" s="3227">
        <v>4.5782354528186264</v>
      </c>
      <c r="K16" s="3227">
        <v>209.44579024919463</v>
      </c>
      <c r="L16" s="3227">
        <v>34.836610180151439</v>
      </c>
      <c r="M16" s="3497">
        <v>-9.5450525061750096</v>
      </c>
    </row>
    <row r="17" spans="2:13" ht="18" customHeight="1" x14ac:dyDescent="0.2">
      <c r="B17" s="2616" t="s">
        <v>564</v>
      </c>
      <c r="C17" s="2618" t="s">
        <v>564</v>
      </c>
      <c r="D17" s="3227">
        <v>0.47120568913337479</v>
      </c>
      <c r="E17" s="3227">
        <v>2.7110938823676198</v>
      </c>
      <c r="F17" s="3227">
        <v>7.9938136191117948E-2</v>
      </c>
      <c r="G17" s="3103">
        <f t="shared" si="1"/>
        <v>1.7500000000000002E-2</v>
      </c>
      <c r="H17" s="3103">
        <f t="shared" si="2"/>
        <v>0.13914817943079116</v>
      </c>
      <c r="I17" s="3103">
        <f t="shared" si="3"/>
        <v>0.56986503305944258</v>
      </c>
      <c r="J17" s="3227">
        <v>8.2460995598340591E-3</v>
      </c>
      <c r="K17" s="3227">
        <v>0.37724377799740977</v>
      </c>
      <c r="L17" s="3227">
        <v>6.2746042407189839E-2</v>
      </c>
      <c r="M17" s="3497">
        <v>-1.7192093783928185E-2</v>
      </c>
    </row>
    <row r="18" spans="2:13" ht="18" customHeight="1" x14ac:dyDescent="0.2">
      <c r="B18" s="2616" t="s">
        <v>565</v>
      </c>
      <c r="C18" s="2618" t="s">
        <v>565</v>
      </c>
      <c r="D18" s="3227">
        <v>809.59203904375227</v>
      </c>
      <c r="E18" s="3227">
        <v>4658.0083281714851</v>
      </c>
      <c r="F18" s="3227">
        <v>137.34400956692636</v>
      </c>
      <c r="G18" s="3103">
        <f t="shared" si="1"/>
        <v>1.7500000000000002E-2</v>
      </c>
      <c r="H18" s="3103">
        <f t="shared" si="2"/>
        <v>0.13914817943079114</v>
      </c>
      <c r="I18" s="3103">
        <f t="shared" si="3"/>
        <v>0.56986503305944358</v>
      </c>
      <c r="J18" s="3227">
        <v>14.167860683265666</v>
      </c>
      <c r="K18" s="3227">
        <v>648.15337863852528</v>
      </c>
      <c r="L18" s="3227">
        <v>107.80577905964981</v>
      </c>
      <c r="M18" s="3497">
        <v>-29.538230507276786</v>
      </c>
    </row>
    <row r="19" spans="2:13" ht="18" customHeight="1" x14ac:dyDescent="0.2">
      <c r="B19" s="2616" t="s">
        <v>567</v>
      </c>
      <c r="C19" s="2618" t="s">
        <v>567</v>
      </c>
      <c r="D19" s="3227">
        <v>234.27230682179146</v>
      </c>
      <c r="E19" s="3227">
        <v>1347.8916585256552</v>
      </c>
      <c r="F19" s="3227">
        <v>39.743347757473643</v>
      </c>
      <c r="G19" s="3103">
        <f t="shared" si="1"/>
        <v>1.7499999999999998E-2</v>
      </c>
      <c r="H19" s="3103">
        <f t="shared" si="2"/>
        <v>0.13914817943079116</v>
      </c>
      <c r="I19" s="3103">
        <f t="shared" si="3"/>
        <v>0.56986503305944181</v>
      </c>
      <c r="J19" s="3227">
        <v>4.0997653693813501</v>
      </c>
      <c r="K19" s="3227">
        <v>187.55667035379454</v>
      </c>
      <c r="L19" s="3227">
        <v>31.19584597058963</v>
      </c>
      <c r="M19" s="3497">
        <v>-8.547501786884018</v>
      </c>
    </row>
    <row r="20" spans="2:13" ht="18" customHeight="1" x14ac:dyDescent="0.2">
      <c r="B20" s="2616" t="s">
        <v>569</v>
      </c>
      <c r="C20" s="2618" t="s">
        <v>569</v>
      </c>
      <c r="D20" s="3227">
        <v>19.279166059540202</v>
      </c>
      <c r="E20" s="3227">
        <v>110.92317084986327</v>
      </c>
      <c r="F20" s="3227">
        <v>3.2706324173486019</v>
      </c>
      <c r="G20" s="3103">
        <f t="shared" si="1"/>
        <v>1.7500000000000002E-2</v>
      </c>
      <c r="H20" s="3103">
        <f t="shared" si="2"/>
        <v>0.13914817943079116</v>
      </c>
      <c r="I20" s="3103">
        <f t="shared" si="3"/>
        <v>0.56986503305944247</v>
      </c>
      <c r="J20" s="3227">
        <v>0.33738540604195355</v>
      </c>
      <c r="K20" s="3227">
        <v>15.434757280449077</v>
      </c>
      <c r="L20" s="3227">
        <v>2.4956579451174399</v>
      </c>
      <c r="M20" s="3497">
        <v>-0.63183889447979458</v>
      </c>
    </row>
    <row r="21" spans="2:13" ht="18" customHeight="1" x14ac:dyDescent="0.2">
      <c r="B21" s="2616" t="s">
        <v>571</v>
      </c>
      <c r="C21" s="2618" t="s">
        <v>571</v>
      </c>
      <c r="D21" s="3227">
        <v>15.06085713295198</v>
      </c>
      <c r="E21" s="3227">
        <v>86.653023462969088</v>
      </c>
      <c r="F21" s="3227">
        <v>2.5550133973618285</v>
      </c>
      <c r="G21" s="3103">
        <f t="shared" si="1"/>
        <v>1.7500000000000002E-2</v>
      </c>
      <c r="H21" s="3103">
        <f t="shared" si="2"/>
        <v>0.13914817943079116</v>
      </c>
      <c r="I21" s="3103">
        <f t="shared" si="3"/>
        <v>0.56986503305944269</v>
      </c>
      <c r="J21" s="3227">
        <v>0.26356499982665971</v>
      </c>
      <c r="K21" s="3227">
        <v>12.057610457045779</v>
      </c>
      <c r="L21" s="3227">
        <v>2.0055130957583742</v>
      </c>
      <c r="M21" s="3497">
        <v>-0.54950030160345675</v>
      </c>
    </row>
    <row r="22" spans="2:13" ht="18" customHeight="1" x14ac:dyDescent="0.2">
      <c r="B22" s="2616" t="s">
        <v>574</v>
      </c>
      <c r="C22" s="2618" t="s">
        <v>574</v>
      </c>
      <c r="D22" s="3227">
        <v>2.5777897147492395</v>
      </c>
      <c r="E22" s="3227">
        <v>12.639861694400796</v>
      </c>
      <c r="F22" s="3227">
        <v>0.4373115818458666</v>
      </c>
      <c r="G22" s="3103">
        <f t="shared" si="1"/>
        <v>1.7500000000000005E-2</v>
      </c>
      <c r="H22" s="3103">
        <f t="shared" si="2"/>
        <v>0.16327388434026624</v>
      </c>
      <c r="I22" s="3103">
        <f t="shared" si="3"/>
        <v>0.56986503305944147</v>
      </c>
      <c r="J22" s="3227">
        <v>4.5111320008111702E-2</v>
      </c>
      <c r="K22" s="3227">
        <v>2.0637593163685573</v>
      </c>
      <c r="L22" s="3227">
        <v>0.34326008044586898</v>
      </c>
      <c r="M22" s="3497">
        <v>-9.4051501399997545E-2</v>
      </c>
    </row>
    <row r="23" spans="2:13" ht="18" customHeight="1" x14ac:dyDescent="0.2">
      <c r="B23" s="2616" t="s">
        <v>576</v>
      </c>
      <c r="C23" s="2618" t="s">
        <v>576</v>
      </c>
      <c r="D23" s="3227">
        <v>12.962063075061145</v>
      </c>
      <c r="E23" s="3227">
        <v>74.577558624753195</v>
      </c>
      <c r="F23" s="3227">
        <v>2.1989614881725523</v>
      </c>
      <c r="G23" s="3103">
        <f t="shared" si="1"/>
        <v>1.7500000000000002E-2</v>
      </c>
      <c r="H23" s="3103">
        <f t="shared" si="2"/>
        <v>0.13914817943079114</v>
      </c>
      <c r="I23" s="3103">
        <f t="shared" si="3"/>
        <v>0.56986503305944303</v>
      </c>
      <c r="J23" s="3227">
        <v>0.22683610381357006</v>
      </c>
      <c r="K23" s="3227">
        <v>10.377331509027503</v>
      </c>
      <c r="L23" s="3227">
        <v>1.6779188269080798</v>
      </c>
      <c r="M23" s="3497">
        <v>-0.42480756575418632</v>
      </c>
    </row>
    <row r="24" spans="2:13" ht="18" customHeight="1" x14ac:dyDescent="0.2">
      <c r="B24" s="2616" t="s">
        <v>577</v>
      </c>
      <c r="C24" s="2618" t="s">
        <v>577</v>
      </c>
      <c r="D24" s="3227">
        <v>25.540979978975315</v>
      </c>
      <c r="E24" s="3227">
        <v>146.95067603709325</v>
      </c>
      <c r="F24" s="3227">
        <v>4.3329237806295726</v>
      </c>
      <c r="G24" s="3103">
        <f t="shared" si="1"/>
        <v>1.7500000000000002E-2</v>
      </c>
      <c r="H24" s="3103">
        <f t="shared" si="2"/>
        <v>0.13914817943079114</v>
      </c>
      <c r="I24" s="3103">
        <f t="shared" si="3"/>
        <v>0.56986503305944103</v>
      </c>
      <c r="J24" s="3227">
        <v>0.44696714963206802</v>
      </c>
      <c r="K24" s="3227">
        <v>20.447919036685512</v>
      </c>
      <c r="L24" s="3227">
        <v>3.3062399801817612</v>
      </c>
      <c r="M24" s="3497">
        <v>-0.83705822668925178</v>
      </c>
    </row>
    <row r="25" spans="2:13" ht="18" customHeight="1" x14ac:dyDescent="0.2">
      <c r="B25" s="105" t="s">
        <v>669</v>
      </c>
      <c r="C25" s="2508"/>
      <c r="D25" s="2108"/>
      <c r="E25" s="2108"/>
      <c r="F25" s="2108"/>
      <c r="G25" s="2108"/>
      <c r="H25" s="2108"/>
      <c r="I25" s="2108"/>
      <c r="J25" s="3103">
        <f>IF(SUM(J26:J37)=0,"NO",SUM(J26:J37))</f>
        <v>3.578360502959755E-2</v>
      </c>
      <c r="K25" s="3103">
        <f>IF(SUM(K26:K37)=0,"NO",SUM(K26:K37))</f>
        <v>11.726025032185925</v>
      </c>
      <c r="L25" s="3103">
        <f>IF(SUM(L26:L37)=0,"NO",SUM(L26:L37))</f>
        <v>24.192534523041871</v>
      </c>
      <c r="M25" s="3226">
        <f>IF(SUM(M26:M37)=0,"NO",SUM(M26:M37))</f>
        <v>-5.4386894761956359</v>
      </c>
    </row>
    <row r="26" spans="2:13" ht="18" customHeight="1" x14ac:dyDescent="0.2">
      <c r="B26" s="2616" t="s">
        <v>559</v>
      </c>
      <c r="C26" s="2618" t="s">
        <v>559</v>
      </c>
      <c r="D26" s="3227">
        <v>8.6887081675096151E-2</v>
      </c>
      <c r="E26" s="3227">
        <v>10.055774254092491</v>
      </c>
      <c r="F26" s="3227">
        <v>0.43168997270543163</v>
      </c>
      <c r="G26" s="3103">
        <f>IF(SUM(D26)=0,"NA",J26/D26)</f>
        <v>6.000000000000001E-3</v>
      </c>
      <c r="H26" s="3103">
        <f>IF(SUM(E26)=0,"NA",K26/E26)</f>
        <v>1.6988603141281245E-2</v>
      </c>
      <c r="I26" s="3103">
        <f t="shared" si="3"/>
        <v>0.63290821355637661</v>
      </c>
      <c r="J26" s="3227">
        <v>5.21322490050577E-4</v>
      </c>
      <c r="K26" s="3227">
        <v>0.17083355808109074</v>
      </c>
      <c r="L26" s="3227">
        <v>0.35245505107031372</v>
      </c>
      <c r="M26" s="3497">
        <v>-7.9234921635118041E-2</v>
      </c>
    </row>
    <row r="27" spans="2:13" ht="18" customHeight="1" x14ac:dyDescent="0.2">
      <c r="B27" s="2616" t="s">
        <v>560</v>
      </c>
      <c r="C27" s="2618" t="s">
        <v>560</v>
      </c>
      <c r="D27" s="3227">
        <v>0.25933673184516298</v>
      </c>
      <c r="E27" s="3227">
        <v>30.014031786459952</v>
      </c>
      <c r="F27" s="3227">
        <v>1.2884892038426305</v>
      </c>
      <c r="G27" s="3103">
        <f t="shared" ref="G27:G37" si="6">IF(SUM(D27)=0,"NA",J27/D27)</f>
        <v>6.0000000000000001E-3</v>
      </c>
      <c r="H27" s="3103">
        <f t="shared" ref="H27:H37" si="7">IF(SUM(E27)=0,"NA",K27/E27)</f>
        <v>1.6988603141281242E-2</v>
      </c>
      <c r="I27" s="3103">
        <f t="shared" si="3"/>
        <v>0.6329082135563765</v>
      </c>
      <c r="J27" s="3227">
        <v>1.5560203910709779E-3</v>
      </c>
      <c r="K27" s="3227">
        <v>0.50989647468996857</v>
      </c>
      <c r="L27" s="3227">
        <v>1.0519923020166739</v>
      </c>
      <c r="M27" s="3497">
        <v>-0.23649690182595684</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v>1.063921150538488</v>
      </c>
      <c r="E29" s="3227">
        <v>123.13166362262389</v>
      </c>
      <c r="F29" s="3227">
        <v>5.2859882456879985</v>
      </c>
      <c r="G29" s="3103">
        <f t="shared" si="6"/>
        <v>6.000000000000001E-3</v>
      </c>
      <c r="H29" s="3103">
        <f t="shared" si="7"/>
        <v>1.6988603141281242E-2</v>
      </c>
      <c r="I29" s="3103">
        <f t="shared" si="3"/>
        <v>0.63290821355637628</v>
      </c>
      <c r="J29" s="3227">
        <v>6.3835269032309289E-3</v>
      </c>
      <c r="K29" s="3227">
        <v>2.0918349674104935</v>
      </c>
      <c r="L29" s="3227">
        <v>4.3157668115731962</v>
      </c>
      <c r="M29" s="3497">
        <v>-0.97022143411480177</v>
      </c>
    </row>
    <row r="30" spans="2:13" ht="18" customHeight="1" x14ac:dyDescent="0.2">
      <c r="B30" s="2616" t="s">
        <v>564</v>
      </c>
      <c r="C30" s="2618" t="s">
        <v>564</v>
      </c>
      <c r="D30" s="3227">
        <v>1.9162840840246176E-3</v>
      </c>
      <c r="E30" s="3227">
        <v>0.22177888570039417</v>
      </c>
      <c r="F30" s="3227">
        <v>9.5208701682697513E-3</v>
      </c>
      <c r="G30" s="3103">
        <f t="shared" si="6"/>
        <v>6.000000000000001E-3</v>
      </c>
      <c r="H30" s="3103">
        <f t="shared" si="7"/>
        <v>1.6988603141281245E-2</v>
      </c>
      <c r="I30" s="3103">
        <f t="shared" si="3"/>
        <v>0.63290821355637616</v>
      </c>
      <c r="J30" s="3227">
        <v>1.1497704504147708E-5</v>
      </c>
      <c r="K30" s="3227">
        <v>3.7677134742795703E-3</v>
      </c>
      <c r="L30" s="3227">
        <v>7.7733535489857772E-3</v>
      </c>
      <c r="M30" s="3497">
        <v>-1.7475166192839737E-3</v>
      </c>
    </row>
    <row r="31" spans="2:13" ht="18" customHeight="1" x14ac:dyDescent="0.2">
      <c r="B31" s="2616" t="s">
        <v>565</v>
      </c>
      <c r="C31" s="2618" t="s">
        <v>565</v>
      </c>
      <c r="D31" s="3227">
        <v>3.2924227672757431</v>
      </c>
      <c r="E31" s="3227">
        <v>381.04467843174029</v>
      </c>
      <c r="F31" s="3227">
        <v>16.358080708186407</v>
      </c>
      <c r="G31" s="3103">
        <f t="shared" si="6"/>
        <v>6.0000000000000001E-3</v>
      </c>
      <c r="H31" s="3103">
        <f t="shared" si="7"/>
        <v>1.6988603141281242E-2</v>
      </c>
      <c r="I31" s="3103">
        <f t="shared" si="3"/>
        <v>0.63290821355637616</v>
      </c>
      <c r="J31" s="3227">
        <v>1.9754536603654459E-2</v>
      </c>
      <c r="K31" s="3227">
        <v>6.4734168209739638</v>
      </c>
      <c r="L31" s="3227">
        <v>13.355622173207843</v>
      </c>
      <c r="M31" s="3497">
        <v>-3.0024585349785626</v>
      </c>
    </row>
    <row r="32" spans="2:13" ht="18" customHeight="1" x14ac:dyDescent="0.2">
      <c r="B32" s="2616" t="s">
        <v>567</v>
      </c>
      <c r="C32" s="2618" t="s">
        <v>567</v>
      </c>
      <c r="D32" s="3227">
        <v>0.21267999835316151</v>
      </c>
      <c r="E32" s="3227">
        <v>110.2632085214307</v>
      </c>
      <c r="F32" s="3227">
        <v>4.7335511194135771</v>
      </c>
      <c r="G32" s="3103">
        <f t="shared" si="6"/>
        <v>2.6877874594059364E-2</v>
      </c>
      <c r="H32" s="3103">
        <f t="shared" si="7"/>
        <v>1.6988603141281242E-2</v>
      </c>
      <c r="I32" s="3103">
        <f t="shared" si="3"/>
        <v>0.63290821355637639</v>
      </c>
      <c r="J32" s="3227">
        <v>5.7163863244010273E-3</v>
      </c>
      <c r="K32" s="3227">
        <v>1.8732178906549262</v>
      </c>
      <c r="L32" s="3227">
        <v>3.8647272510897053</v>
      </c>
      <c r="M32" s="3497">
        <v>-0.86882386832387237</v>
      </c>
    </row>
    <row r="33" spans="2:13" ht="18" customHeight="1" x14ac:dyDescent="0.2">
      <c r="B33" s="2616" t="s">
        <v>569</v>
      </c>
      <c r="C33" s="2618" t="s">
        <v>569</v>
      </c>
      <c r="D33" s="3227">
        <v>7.8403890116673425E-2</v>
      </c>
      <c r="E33" s="3227">
        <v>9.0739820518326653</v>
      </c>
      <c r="F33" s="3227">
        <v>0.38954206461934271</v>
      </c>
      <c r="G33" s="3103">
        <f t="shared" si="6"/>
        <v>6.0000000000000001E-3</v>
      </c>
      <c r="H33" s="3103">
        <f t="shared" si="7"/>
        <v>1.6988603141281242E-2</v>
      </c>
      <c r="I33" s="3103">
        <f t="shared" si="3"/>
        <v>0.63290821355637628</v>
      </c>
      <c r="J33" s="3227">
        <v>4.7042334070004059E-4</v>
      </c>
      <c r="K33" s="3227">
        <v>0.15415427998969403</v>
      </c>
      <c r="L33" s="3227">
        <v>0.31804321842131666</v>
      </c>
      <c r="M33" s="3497">
        <v>-7.1498846198026003E-2</v>
      </c>
    </row>
    <row r="34" spans="2:13" ht="18" customHeight="1" x14ac:dyDescent="0.2">
      <c r="B34" s="2616" t="s">
        <v>571</v>
      </c>
      <c r="C34" s="2618" t="s">
        <v>571</v>
      </c>
      <c r="D34" s="3227">
        <v>6.1249007559149908E-2</v>
      </c>
      <c r="E34" s="3227">
        <v>7.0885818861441745</v>
      </c>
      <c r="F34" s="3227">
        <v>0.30430970740064212</v>
      </c>
      <c r="G34" s="3103">
        <f t="shared" si="6"/>
        <v>6.000000000000001E-3</v>
      </c>
      <c r="H34" s="3103">
        <f t="shared" si="7"/>
        <v>1.6988603141281242E-2</v>
      </c>
      <c r="I34" s="3103">
        <f t="shared" si="3"/>
        <v>0.63290821355637639</v>
      </c>
      <c r="J34" s="3227">
        <v>3.6749404535489953E-4</v>
      </c>
      <c r="K34" s="3227">
        <v>0.12042510449817824</v>
      </c>
      <c r="L34" s="3227">
        <v>0.24845491033972306</v>
      </c>
      <c r="M34" s="3497">
        <v>-5.5854797060919066E-2</v>
      </c>
    </row>
    <row r="35" spans="2:13" ht="18" customHeight="1" x14ac:dyDescent="0.2">
      <c r="B35" s="2616" t="s">
        <v>574</v>
      </c>
      <c r="C35" s="2618" t="s">
        <v>574</v>
      </c>
      <c r="D35" s="3227">
        <v>1.048327198982125E-2</v>
      </c>
      <c r="E35" s="3227">
        <v>1.2132691597134002</v>
      </c>
      <c r="F35" s="3227">
        <v>5.2085112215786059E-2</v>
      </c>
      <c r="G35" s="3103">
        <f t="shared" si="6"/>
        <v>6.000000000000001E-3</v>
      </c>
      <c r="H35" s="3103">
        <f t="shared" si="7"/>
        <v>1.6988603141281242E-2</v>
      </c>
      <c r="I35" s="3103">
        <f t="shared" si="3"/>
        <v>0.63290821355637628</v>
      </c>
      <c r="J35" s="3227">
        <v>6.2899631938927506E-5</v>
      </c>
      <c r="K35" s="3227">
        <v>2.0611748257926724E-2</v>
      </c>
      <c r="L35" s="3227">
        <v>4.2525103770581302E-2</v>
      </c>
      <c r="M35" s="3497">
        <v>-9.5600084452047551E-3</v>
      </c>
    </row>
    <row r="36" spans="2:13" ht="18" customHeight="1" x14ac:dyDescent="0.2">
      <c r="B36" s="2616" t="s">
        <v>576</v>
      </c>
      <c r="C36" s="2618" t="s">
        <v>576</v>
      </c>
      <c r="D36" s="3227">
        <v>5.271369964260382E-2</v>
      </c>
      <c r="E36" s="3227">
        <v>6.1007580584444039</v>
      </c>
      <c r="F36" s="3227">
        <v>0.2619028642832224</v>
      </c>
      <c r="G36" s="3103">
        <f t="shared" si="6"/>
        <v>6.000000000000001E-3</v>
      </c>
      <c r="H36" s="3103">
        <f t="shared" si="7"/>
        <v>1.6988603141281245E-2</v>
      </c>
      <c r="I36" s="3103">
        <f t="shared" si="3"/>
        <v>0.6329082135563765</v>
      </c>
      <c r="J36" s="3227">
        <v>3.1628219785562298E-4</v>
      </c>
      <c r="K36" s="3227">
        <v>0.10364335751588546</v>
      </c>
      <c r="L36" s="3227">
        <v>0.21383166912100743</v>
      </c>
      <c r="M36" s="3497">
        <v>-4.8071195162215009E-2</v>
      </c>
    </row>
    <row r="37" spans="2:13" ht="18" customHeight="1" x14ac:dyDescent="0.2">
      <c r="B37" s="2616" t="s">
        <v>577</v>
      </c>
      <c r="C37" s="2618" t="s">
        <v>577</v>
      </c>
      <c r="D37" s="3227">
        <v>0.10386923280599074</v>
      </c>
      <c r="E37" s="3227">
        <v>12.021183551181402</v>
      </c>
      <c r="F37" s="3227">
        <v>0.51606413071420087</v>
      </c>
      <c r="G37" s="3103">
        <f t="shared" si="6"/>
        <v>6.000000000000001E-3</v>
      </c>
      <c r="H37" s="3103">
        <f t="shared" si="7"/>
        <v>1.6988603141281242E-2</v>
      </c>
      <c r="I37" s="3103">
        <f t="shared" si="3"/>
        <v>0.6329082135563765</v>
      </c>
      <c r="J37" s="3227">
        <v>6.2321539683594452E-4</v>
      </c>
      <c r="K37" s="3227">
        <v>0.20422311663951875</v>
      </c>
      <c r="L37" s="3227">
        <v>0.42134267888252508</v>
      </c>
      <c r="M37" s="3497">
        <v>-9.4721451831675865E-2</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6.1879353175981713</v>
      </c>
      <c r="K51" s="3103">
        <f>IF(SUM(K52:K63)=0,"NO",SUM(K52:K63))</f>
        <v>107.6610208246659</v>
      </c>
      <c r="L51" s="3103">
        <f>IF(SUM(L52:L63)=0,"NO",SUM(L52:L63))</f>
        <v>36.437836452326991</v>
      </c>
      <c r="M51" s="3226">
        <f>IF(SUM(M52:M63)=0,"NO",SUM(M52:M63))</f>
        <v>-9.5567949017427978</v>
      </c>
    </row>
    <row r="52" spans="2:13" ht="18" customHeight="1" x14ac:dyDescent="0.2">
      <c r="B52" s="2616" t="s">
        <v>559</v>
      </c>
      <c r="C52" s="2618" t="s">
        <v>559</v>
      </c>
      <c r="D52" s="3227">
        <v>1.7676568423728871</v>
      </c>
      <c r="E52" s="3227">
        <v>7.2057752549404057</v>
      </c>
      <c r="F52" s="3227">
        <v>0.6700844067172419</v>
      </c>
      <c r="G52" s="3103">
        <f>IF(SUM(D52)=0,"NA",J52/D52)</f>
        <v>5.1000000000000004E-2</v>
      </c>
      <c r="H52" s="3103">
        <f>IF(SUM(E52)=0,"NA",K52/E52)</f>
        <v>0.21767078840102894</v>
      </c>
      <c r="I52" s="3103">
        <f t="shared" si="3"/>
        <v>0.58443867815032824</v>
      </c>
      <c r="J52" s="3227">
        <v>9.0150498961017247E-2</v>
      </c>
      <c r="K52" s="3227">
        <v>1.5684867807835035</v>
      </c>
      <c r="L52" s="3227">
        <v>0.53085382581410689</v>
      </c>
      <c r="M52" s="3497">
        <v>-0.13923058090313509</v>
      </c>
    </row>
    <row r="53" spans="2:13" ht="18" customHeight="1" x14ac:dyDescent="0.2">
      <c r="B53" s="2616" t="s">
        <v>560</v>
      </c>
      <c r="C53" s="2618" t="s">
        <v>560</v>
      </c>
      <c r="D53" s="3227">
        <v>5.2760242338317394</v>
      </c>
      <c r="E53" s="3227">
        <v>21.507480387186369</v>
      </c>
      <c r="F53" s="3227">
        <v>2.0000384032723608</v>
      </c>
      <c r="G53" s="3103">
        <f t="shared" ref="G53:G63" si="36">IF(SUM(D53)=0,"NA",J53/D53)</f>
        <v>5.1000000000000004E-2</v>
      </c>
      <c r="H53" s="3103">
        <f t="shared" ref="H53:H63" si="37">IF(SUM(E53)=0,"NA",K53/E53)</f>
        <v>0.21767078840102894</v>
      </c>
      <c r="I53" s="3103">
        <f t="shared" si="3"/>
        <v>0.58443867815032857</v>
      </c>
      <c r="J53" s="3227">
        <v>0.26907723592541871</v>
      </c>
      <c r="K53" s="3227">
        <v>4.6815502123985242</v>
      </c>
      <c r="L53" s="3227">
        <v>1.5844691019653769</v>
      </c>
      <c r="M53" s="3497">
        <v>-0.41556930130698455</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21.64473089943392</v>
      </c>
      <c r="E55" s="3227">
        <v>88.233792089202169</v>
      </c>
      <c r="F55" s="3227">
        <v>8.2050974576217879</v>
      </c>
      <c r="G55" s="3103">
        <f t="shared" si="36"/>
        <v>5.1000000000000018E-2</v>
      </c>
      <c r="H55" s="3103">
        <f t="shared" si="37"/>
        <v>0.21767078840102896</v>
      </c>
      <c r="I55" s="3103">
        <f t="shared" si="3"/>
        <v>0.58443867815032846</v>
      </c>
      <c r="J55" s="3227">
        <v>1.1038812758711303</v>
      </c>
      <c r="K55" s="3227">
        <v>19.205919087669109</v>
      </c>
      <c r="L55" s="3227">
        <v>6.5002368849244441</v>
      </c>
      <c r="M55" s="3497">
        <v>-1.704860572697346</v>
      </c>
    </row>
    <row r="56" spans="2:13" ht="18" customHeight="1" x14ac:dyDescent="0.2">
      <c r="B56" s="2616" t="s">
        <v>564</v>
      </c>
      <c r="C56" s="2618" t="s">
        <v>564</v>
      </c>
      <c r="D56" s="3227">
        <v>3.8985457996194434E-2</v>
      </c>
      <c r="E56" s="3227">
        <v>0.15892250226259483</v>
      </c>
      <c r="F56" s="3227">
        <v>1.477863059490205E-2</v>
      </c>
      <c r="G56" s="3103">
        <f t="shared" si="36"/>
        <v>5.0999999999999997E-2</v>
      </c>
      <c r="H56" s="3103">
        <f t="shared" si="37"/>
        <v>0.21767078840102894</v>
      </c>
      <c r="I56" s="3103">
        <f t="shared" si="3"/>
        <v>0.58443867815032935</v>
      </c>
      <c r="J56" s="3227">
        <v>1.9882583578059161E-3</v>
      </c>
      <c r="K56" s="3227">
        <v>3.4592786362163321E-2</v>
      </c>
      <c r="L56" s="3227">
        <v>1.1707916962329319E-2</v>
      </c>
      <c r="M56" s="3497">
        <v>-3.070713632572749E-3</v>
      </c>
    </row>
    <row r="57" spans="2:13" ht="18" customHeight="1" x14ac:dyDescent="0.2">
      <c r="B57" s="2616" t="s">
        <v>565</v>
      </c>
      <c r="C57" s="2618" t="s">
        <v>565</v>
      </c>
      <c r="D57" s="3227">
        <v>66.982035998423385</v>
      </c>
      <c r="E57" s="3227">
        <v>273.04931927570931</v>
      </c>
      <c r="F57" s="3227">
        <v>25.391590028562948</v>
      </c>
      <c r="G57" s="3103">
        <f t="shared" si="36"/>
        <v>5.1000000000000004E-2</v>
      </c>
      <c r="H57" s="3103">
        <f t="shared" si="37"/>
        <v>0.21767078840102894</v>
      </c>
      <c r="I57" s="3103">
        <f t="shared" si="3"/>
        <v>0.58443867815032891</v>
      </c>
      <c r="J57" s="3227">
        <v>3.4160838359195926</v>
      </c>
      <c r="K57" s="3227">
        <v>59.434860599107914</v>
      </c>
      <c r="L57" s="3227">
        <v>20.115708670495685</v>
      </c>
      <c r="M57" s="3497">
        <v>-5.2758813580672825</v>
      </c>
    </row>
    <row r="58" spans="2:13" ht="18" customHeight="1" x14ac:dyDescent="0.2">
      <c r="B58" s="2616" t="s">
        <v>567</v>
      </c>
      <c r="C58" s="2618" t="s">
        <v>567</v>
      </c>
      <c r="D58" s="3227">
        <v>19.38264623686954</v>
      </c>
      <c r="E58" s="3227">
        <v>79.012503604155725</v>
      </c>
      <c r="F58" s="3227">
        <v>7.3475850588782352</v>
      </c>
      <c r="G58" s="3103">
        <f t="shared" si="36"/>
        <v>5.1000000000000004E-2</v>
      </c>
      <c r="H58" s="3103">
        <f t="shared" si="37"/>
        <v>0.21767078840102896</v>
      </c>
      <c r="I58" s="3103">
        <f t="shared" si="3"/>
        <v>0.58443867815032868</v>
      </c>
      <c r="J58" s="3227">
        <v>0.98851495808034662</v>
      </c>
      <c r="K58" s="3227">
        <v>17.198713953055719</v>
      </c>
      <c r="L58" s="3227">
        <v>5.8208989791430703</v>
      </c>
      <c r="M58" s="3497">
        <v>-1.5266860797351693</v>
      </c>
    </row>
    <row r="59" spans="2:13" ht="18" customHeight="1" x14ac:dyDescent="0.2">
      <c r="B59" s="2616" t="s">
        <v>569</v>
      </c>
      <c r="C59" s="2618" t="s">
        <v>569</v>
      </c>
      <c r="D59" s="3227">
        <v>1.595072249654268</v>
      </c>
      <c r="E59" s="3227">
        <v>6.5022417648505604</v>
      </c>
      <c r="F59" s="3227">
        <v>0.6046609367041651</v>
      </c>
      <c r="G59" s="3103">
        <f t="shared" si="36"/>
        <v>5.1000000000000011E-2</v>
      </c>
      <c r="H59" s="3103">
        <f t="shared" si="37"/>
        <v>0.21767078840102894</v>
      </c>
      <c r="I59" s="3103">
        <f t="shared" si="3"/>
        <v>0.58443867815032857</v>
      </c>
      <c r="J59" s="3227">
        <v>8.1348684732367685E-2</v>
      </c>
      <c r="K59" s="3227">
        <v>1.4153480913291192</v>
      </c>
      <c r="L59" s="3227">
        <v>0.47902408764034354</v>
      </c>
      <c r="M59" s="3497">
        <v>-0.1256368490638218</v>
      </c>
    </row>
    <row r="60" spans="2:13" ht="18" customHeight="1" x14ac:dyDescent="0.2">
      <c r="B60" s="2616" t="s">
        <v>571</v>
      </c>
      <c r="C60" s="2618" t="s">
        <v>571</v>
      </c>
      <c r="D60" s="3227">
        <v>1.2460681750750058</v>
      </c>
      <c r="E60" s="3227">
        <v>5.0795420280053021</v>
      </c>
      <c r="F60" s="3227">
        <v>0.4723602646221276</v>
      </c>
      <c r="G60" s="3103">
        <f t="shared" si="36"/>
        <v>5.1000000000000004E-2</v>
      </c>
      <c r="H60" s="3103">
        <f t="shared" si="37"/>
        <v>0.21767078840102896</v>
      </c>
      <c r="I60" s="3103">
        <f t="shared" si="3"/>
        <v>0.58443867815032846</v>
      </c>
      <c r="J60" s="3227">
        <v>6.3549476928825302E-2</v>
      </c>
      <c r="K60" s="3227">
        <v>1.1056679179520756</v>
      </c>
      <c r="L60" s="3227">
        <v>0.37421293664431166</v>
      </c>
      <c r="M60" s="3497">
        <v>-9.8147327977816071E-2</v>
      </c>
    </row>
    <row r="61" spans="2:13" ht="18" customHeight="1" x14ac:dyDescent="0.2">
      <c r="B61" s="2616" t="s">
        <v>574</v>
      </c>
      <c r="C61" s="2618" t="s">
        <v>574</v>
      </c>
      <c r="D61" s="3227">
        <v>0.21327482873181744</v>
      </c>
      <c r="E61" s="3227">
        <v>0.86940544484549498</v>
      </c>
      <c r="F61" s="3227">
        <v>8.0848348872192444E-2</v>
      </c>
      <c r="G61" s="3103">
        <f t="shared" si="36"/>
        <v>5.1000000000000004E-2</v>
      </c>
      <c r="H61" s="3103">
        <f t="shared" si="37"/>
        <v>0.21767078840102894</v>
      </c>
      <c r="I61" s="3103">
        <f t="shared" si="3"/>
        <v>0.58443867815032946</v>
      </c>
      <c r="J61" s="3227">
        <v>1.0877016265322691E-2</v>
      </c>
      <c r="K61" s="3227">
        <v>0.18924416861966617</v>
      </c>
      <c r="L61" s="3227">
        <v>6.4049625508846686E-2</v>
      </c>
      <c r="M61" s="3497">
        <v>-1.6798723363345858E-2</v>
      </c>
    </row>
    <row r="62" spans="2:13" ht="18" customHeight="1" x14ac:dyDescent="0.2">
      <c r="B62" s="2616" t="s">
        <v>576</v>
      </c>
      <c r="C62" s="2618" t="s">
        <v>576</v>
      </c>
      <c r="D62" s="3227">
        <v>1.072423311539825</v>
      </c>
      <c r="E62" s="3227">
        <v>4.3716863906352978</v>
      </c>
      <c r="F62" s="3227">
        <v>0.40653486651755449</v>
      </c>
      <c r="G62" s="3103">
        <f t="shared" si="36"/>
        <v>5.1000000000000011E-2</v>
      </c>
      <c r="H62" s="3103">
        <f t="shared" si="37"/>
        <v>0.21767078840102896</v>
      </c>
      <c r="I62" s="3103">
        <f t="shared" si="3"/>
        <v>0.58443867815032946</v>
      </c>
      <c r="J62" s="3227">
        <v>5.4693588888531083E-2</v>
      </c>
      <c r="K62" s="3227">
        <v>0.95158842329163396</v>
      </c>
      <c r="L62" s="3227">
        <v>0.32206478326354759</v>
      </c>
      <c r="M62" s="3497">
        <v>-8.4470083254007414E-2</v>
      </c>
    </row>
    <row r="63" spans="2:13" ht="18" customHeight="1" x14ac:dyDescent="0.2">
      <c r="B63" s="2616" t="s">
        <v>577</v>
      </c>
      <c r="C63" s="2618" t="s">
        <v>577</v>
      </c>
      <c r="D63" s="3227">
        <v>2.113146817015922</v>
      </c>
      <c r="E63" s="3227">
        <v>8.614149918187179</v>
      </c>
      <c r="F63" s="3227">
        <v>0.80105295170624524</v>
      </c>
      <c r="G63" s="3103">
        <f t="shared" si="36"/>
        <v>5.1000000000000018E-2</v>
      </c>
      <c r="H63" s="3103">
        <f t="shared" si="37"/>
        <v>0.21767078840102894</v>
      </c>
      <c r="I63" s="3103">
        <f t="shared" si="3"/>
        <v>0.58443867815032879</v>
      </c>
      <c r="J63" s="3227">
        <v>0.10777048766781205</v>
      </c>
      <c r="K63" s="3227">
        <v>1.8750488040964621</v>
      </c>
      <c r="L63" s="3227">
        <v>0.63460963996493147</v>
      </c>
      <c r="M63" s="3497">
        <v>-0.1664433117413143</v>
      </c>
    </row>
    <row r="64" spans="2:13" ht="18" customHeight="1" x14ac:dyDescent="0.2">
      <c r="B64" s="104" t="s">
        <v>672</v>
      </c>
      <c r="C64" s="2508"/>
      <c r="D64" s="2108"/>
      <c r="E64" s="2108"/>
      <c r="F64" s="2108"/>
      <c r="G64" s="2108"/>
      <c r="H64" s="2108"/>
      <c r="I64" s="2108"/>
      <c r="J64" s="3103">
        <f>IF(SUM(J65:J76)=0,"NO",SUM(J65:J76))</f>
        <v>0.66857459236570094</v>
      </c>
      <c r="K64" s="3103">
        <f>IF(SUM(K65:K76)=0,"NO",SUM(K65:K76))</f>
        <v>387.3351529886084</v>
      </c>
      <c r="L64" s="3103">
        <f>IF(SUM(L65:L76)=0,"NO",SUM(L65:L76))</f>
        <v>54.907744522451637</v>
      </c>
      <c r="M64" s="3226">
        <f>IF(SUM(M65:M76)=0,"NO",SUM(M65:M76))</f>
        <v>-22.379119007553754</v>
      </c>
    </row>
    <row r="65" spans="2:13" ht="18" customHeight="1" x14ac:dyDescent="0.2">
      <c r="B65" s="2616" t="s">
        <v>559</v>
      </c>
      <c r="C65" s="2618" t="s">
        <v>559</v>
      </c>
      <c r="D65" s="3227">
        <v>2.7829422439877365</v>
      </c>
      <c r="E65" s="3227">
        <v>53.39025492441953</v>
      </c>
      <c r="F65" s="3227">
        <v>1.2082198896038578</v>
      </c>
      <c r="G65" s="3103">
        <f>IF(SUM(D65)=0,"NA",J65/D65)</f>
        <v>3.4999999999999992E-3</v>
      </c>
      <c r="H65" s="3103">
        <f>IF(SUM(E65)=0,"NA",K65/E65)</f>
        <v>0.10569325878975225</v>
      </c>
      <c r="I65" s="3103">
        <f t="shared" si="3"/>
        <v>0.39223116814075398</v>
      </c>
      <c r="J65" s="3227">
        <v>9.7402978539570754E-3</v>
      </c>
      <c r="K65" s="3227">
        <v>5.6429900305775176</v>
      </c>
      <c r="L65" s="3227">
        <v>0.79993734767162827</v>
      </c>
      <c r="M65" s="3497">
        <v>-0.3260358490014143</v>
      </c>
    </row>
    <row r="66" spans="2:13" ht="18" customHeight="1" x14ac:dyDescent="0.2">
      <c r="B66" s="2616" t="s">
        <v>560</v>
      </c>
      <c r="C66" s="2618" t="s">
        <v>560</v>
      </c>
      <c r="D66" s="3227">
        <v>8.3064033519782168</v>
      </c>
      <c r="E66" s="3227">
        <v>159.35687972873509</v>
      </c>
      <c r="F66" s="3227">
        <v>3.6062414743295186</v>
      </c>
      <c r="G66" s="3103">
        <f t="shared" ref="G66:G76" si="38">IF(SUM(D66)=0,"NA",J66/D66)</f>
        <v>3.4999999999999988E-3</v>
      </c>
      <c r="H66" s="3103">
        <f t="shared" ref="H66:H76" si="39">IF(SUM(E66)=0,"NA",K66/E66)</f>
        <v>0.10569325878975223</v>
      </c>
      <c r="I66" s="3103">
        <f t="shared" si="3"/>
        <v>0.39223116814075487</v>
      </c>
      <c r="J66" s="3227">
        <v>2.907241173192375E-2</v>
      </c>
      <c r="K66" s="3227">
        <v>16.842947929096621</v>
      </c>
      <c r="L66" s="3227">
        <v>2.3876177381787826</v>
      </c>
      <c r="M66" s="3497">
        <v>-0.97313743210487746</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34.076770182905527</v>
      </c>
      <c r="E68" s="3227">
        <v>653.75681115795442</v>
      </c>
      <c r="F68" s="3227">
        <v>14.794497297741112</v>
      </c>
      <c r="G68" s="3103">
        <f t="shared" si="38"/>
        <v>3.5000000000000001E-3</v>
      </c>
      <c r="H68" s="3103">
        <f t="shared" si="39"/>
        <v>0.10569325878975225</v>
      </c>
      <c r="I68" s="3103">
        <f t="shared" si="3"/>
        <v>0.39223116814075354</v>
      </c>
      <c r="J68" s="3227">
        <v>0.11926869564016934</v>
      </c>
      <c r="K68" s="3227">
        <v>69.097687827280865</v>
      </c>
      <c r="L68" s="3227">
        <v>9.7951300341284337</v>
      </c>
      <c r="M68" s="3497">
        <v>-3.9922670769802164</v>
      </c>
    </row>
    <row r="69" spans="2:13" ht="18" customHeight="1" x14ac:dyDescent="0.2">
      <c r="B69" s="2616" t="s">
        <v>564</v>
      </c>
      <c r="C69" s="2618" t="s">
        <v>564</v>
      </c>
      <c r="D69" s="3227">
        <v>6.1377454808014202E-2</v>
      </c>
      <c r="E69" s="3227">
        <v>1.1775156189070946</v>
      </c>
      <c r="F69" s="3227">
        <v>2.6647143623808343E-2</v>
      </c>
      <c r="G69" s="3103">
        <f t="shared" si="38"/>
        <v>3.5000000000000001E-3</v>
      </c>
      <c r="H69" s="3103">
        <f t="shared" si="39"/>
        <v>0.10569325878975223</v>
      </c>
      <c r="I69" s="3103">
        <f t="shared" si="3"/>
        <v>0.39223116814075332</v>
      </c>
      <c r="J69" s="3227">
        <v>2.1482109182804972E-4</v>
      </c>
      <c r="K69" s="3227">
        <v>0.12445546303812281</v>
      </c>
      <c r="L69" s="3227">
        <v>1.7642521511910481E-2</v>
      </c>
      <c r="M69" s="3497">
        <v>-7.1906812407297079E-3</v>
      </c>
    </row>
    <row r="70" spans="2:13" ht="18" customHeight="1" x14ac:dyDescent="0.2">
      <c r="B70" s="2616" t="s">
        <v>565</v>
      </c>
      <c r="C70" s="2618" t="s">
        <v>565</v>
      </c>
      <c r="D70" s="3227">
        <v>105.45436936622177</v>
      </c>
      <c r="E70" s="3227">
        <v>2023.123431871441</v>
      </c>
      <c r="F70" s="3227">
        <v>45.783223417288561</v>
      </c>
      <c r="G70" s="3103">
        <f t="shared" si="38"/>
        <v>3.4999999999999992E-3</v>
      </c>
      <c r="H70" s="3103">
        <f t="shared" si="39"/>
        <v>0.10569325878975223</v>
      </c>
      <c r="I70" s="3103">
        <f t="shared" si="3"/>
        <v>0.39223116814075432</v>
      </c>
      <c r="J70" s="3227">
        <v>0.36909029278177613</v>
      </c>
      <c r="K70" s="3227">
        <v>213.83050844839988</v>
      </c>
      <c r="L70" s="3227">
        <v>30.312123334016064</v>
      </c>
      <c r="M70" s="3497">
        <v>-12.354516131803836</v>
      </c>
    </row>
    <row r="71" spans="2:13" ht="18" customHeight="1" x14ac:dyDescent="0.2">
      <c r="B71" s="2616" t="s">
        <v>567</v>
      </c>
      <c r="C71" s="2618" t="s">
        <v>567</v>
      </c>
      <c r="D71" s="3227">
        <v>30.5154166350775</v>
      </c>
      <c r="E71" s="3227">
        <v>585.43287299311976</v>
      </c>
      <c r="F71" s="3227">
        <v>13.248328598159558</v>
      </c>
      <c r="G71" s="3103">
        <f t="shared" si="38"/>
        <v>3.4999999999999996E-3</v>
      </c>
      <c r="H71" s="3103">
        <f t="shared" si="39"/>
        <v>0.10569325878975223</v>
      </c>
      <c r="I71" s="3103">
        <f t="shared" si="3"/>
        <v>0.39223116814075493</v>
      </c>
      <c r="J71" s="3227">
        <v>0.10680395822277124</v>
      </c>
      <c r="K71" s="3227">
        <v>61.876308149289962</v>
      </c>
      <c r="L71" s="3227">
        <v>8.7714437836052284</v>
      </c>
      <c r="M71" s="3497">
        <v>-3.5750363816365347</v>
      </c>
    </row>
    <row r="72" spans="2:13" ht="18" customHeight="1" x14ac:dyDescent="0.2">
      <c r="B72" s="2616" t="s">
        <v>569</v>
      </c>
      <c r="C72" s="2618" t="s">
        <v>569</v>
      </c>
      <c r="D72" s="3227">
        <v>2.511230595988613</v>
      </c>
      <c r="E72" s="3227">
        <v>48.177514996399935</v>
      </c>
      <c r="F72" s="3227">
        <v>1.0902557392307</v>
      </c>
      <c r="G72" s="3103">
        <f t="shared" si="38"/>
        <v>3.5000000000000005E-3</v>
      </c>
      <c r="H72" s="3103">
        <f t="shared" si="39"/>
        <v>0.10569325878975223</v>
      </c>
      <c r="I72" s="3103">
        <f t="shared" si="3"/>
        <v>0.39223116814075432</v>
      </c>
      <c r="J72" s="3227">
        <v>8.7893070859601467E-3</v>
      </c>
      <c r="K72" s="3227">
        <v>5.0920385603616678</v>
      </c>
      <c r="L72" s="3227">
        <v>0.72183572860228828</v>
      </c>
      <c r="M72" s="3497">
        <v>-0.29420344643166924</v>
      </c>
    </row>
    <row r="73" spans="2:13" ht="18" customHeight="1" x14ac:dyDescent="0.2">
      <c r="B73" s="2616" t="s">
        <v>571</v>
      </c>
      <c r="C73" s="2618" t="s">
        <v>571</v>
      </c>
      <c r="D73" s="3227">
        <v>1.9617697735098185</v>
      </c>
      <c r="E73" s="3227">
        <v>37.636206262271081</v>
      </c>
      <c r="F73" s="3227">
        <v>0.85170623439954618</v>
      </c>
      <c r="G73" s="3103">
        <f t="shared" si="38"/>
        <v>3.4999999999999996E-3</v>
      </c>
      <c r="H73" s="3103">
        <f t="shared" si="39"/>
        <v>0.10569325878975225</v>
      </c>
      <c r="I73" s="3103">
        <f t="shared" si="3"/>
        <v>0.39223116814075382</v>
      </c>
      <c r="J73" s="3227">
        <v>6.8661942072843641E-3</v>
      </c>
      <c r="K73" s="3227">
        <v>3.9778932883427114</v>
      </c>
      <c r="L73" s="3227">
        <v>0.56389704556539488</v>
      </c>
      <c r="M73" s="3497">
        <v>-0.2298313143340982</v>
      </c>
    </row>
    <row r="74" spans="2:13" ht="18" customHeight="1" x14ac:dyDescent="0.2">
      <c r="B74" s="2616" t="s">
        <v>574</v>
      </c>
      <c r="C74" s="2618" t="s">
        <v>574</v>
      </c>
      <c r="D74" s="3227">
        <v>0.33577305064498408</v>
      </c>
      <c r="E74" s="3227">
        <v>6.44174661167159</v>
      </c>
      <c r="F74" s="3227">
        <v>0.1457765352689874</v>
      </c>
      <c r="G74" s="3103">
        <f t="shared" si="38"/>
        <v>3.5000000000000001E-3</v>
      </c>
      <c r="H74" s="3103">
        <f t="shared" si="39"/>
        <v>0.10569325878975225</v>
      </c>
      <c r="I74" s="3103">
        <f t="shared" si="3"/>
        <v>0.39223116814075382</v>
      </c>
      <c r="J74" s="3227">
        <v>1.1752056772574443E-3</v>
      </c>
      <c r="K74" s="3227">
        <v>0.68084919168541502</v>
      </c>
      <c r="L74" s="3227">
        <v>9.6515622676984103E-2</v>
      </c>
      <c r="M74" s="3497">
        <v>-3.9337521960917381E-2</v>
      </c>
    </row>
    <row r="75" spans="2:13" ht="18" customHeight="1" x14ac:dyDescent="0.2">
      <c r="B75" s="2616" t="s">
        <v>576</v>
      </c>
      <c r="C75" s="2618" t="s">
        <v>576</v>
      </c>
      <c r="D75" s="3227">
        <v>1.6883888691399194</v>
      </c>
      <c r="E75" s="3227">
        <v>32.391441945904049</v>
      </c>
      <c r="F75" s="3227">
        <v>0.73301737306539849</v>
      </c>
      <c r="G75" s="3103">
        <f t="shared" si="38"/>
        <v>3.4999999999999996E-3</v>
      </c>
      <c r="H75" s="3103">
        <f t="shared" si="39"/>
        <v>0.10569325878975225</v>
      </c>
      <c r="I75" s="3103">
        <f t="shared" si="3"/>
        <v>0.39223116814075426</v>
      </c>
      <c r="J75" s="3227">
        <v>5.9093610419897174E-3</v>
      </c>
      <c r="K75" s="3227">
        <v>3.4235570561616728</v>
      </c>
      <c r="L75" s="3227">
        <v>0.48531561038894466</v>
      </c>
      <c r="M75" s="3497">
        <v>-0.19780334988403636</v>
      </c>
    </row>
    <row r="76" spans="2:13" ht="18" customHeight="1" x14ac:dyDescent="0.2">
      <c r="B76" s="2616" t="s">
        <v>577</v>
      </c>
      <c r="C76" s="2618" t="s">
        <v>577</v>
      </c>
      <c r="D76" s="3227">
        <v>3.3268705802238991</v>
      </c>
      <c r="E76" s="3227">
        <v>63.825423888131631</v>
      </c>
      <c r="F76" s="3227">
        <v>1.4443674545701981</v>
      </c>
      <c r="G76" s="3103">
        <f t="shared" si="38"/>
        <v>3.5000000000000001E-3</v>
      </c>
      <c r="H76" s="3103">
        <f t="shared" si="39"/>
        <v>0.10569325878975223</v>
      </c>
      <c r="I76" s="3103">
        <f t="shared" si="3"/>
        <v>0.39223116814075532</v>
      </c>
      <c r="J76" s="3227">
        <v>1.1644047030783648E-2</v>
      </c>
      <c r="K76" s="3227">
        <v>6.7459170443739307</v>
      </c>
      <c r="L76" s="3227">
        <v>0.95628575610597899</v>
      </c>
      <c r="M76" s="3497">
        <v>-0.38975982217542088</v>
      </c>
    </row>
    <row r="77" spans="2:13" ht="18" customHeight="1" x14ac:dyDescent="0.2">
      <c r="B77" s="104" t="s">
        <v>673</v>
      </c>
      <c r="C77" s="2508"/>
      <c r="D77" s="2108"/>
      <c r="E77" s="2108"/>
      <c r="F77" s="2108"/>
      <c r="G77" s="2108"/>
      <c r="H77" s="2108"/>
      <c r="I77" s="2108"/>
      <c r="J77" s="3103">
        <f>IF(SUM(J78:J89)=0,"NO",SUM(J78:J89))</f>
        <v>1.9832155347535163</v>
      </c>
      <c r="K77" s="3103">
        <f>IF(SUM(K78:K89)=0,"NO",SUM(K78:K89))</f>
        <v>334.04115493786486</v>
      </c>
      <c r="L77" s="3103">
        <f>IF(SUM(L78:L89)=0,"NO",SUM(L78:L89))</f>
        <v>306.48467013834733</v>
      </c>
      <c r="M77" s="3226">
        <f>IF(SUM(M78:M89)=0,"NO",SUM(M78:M89))</f>
        <v>-116.90088868563618</v>
      </c>
    </row>
    <row r="78" spans="2:13" ht="18" customHeight="1" x14ac:dyDescent="0.2">
      <c r="B78" s="2616" t="s">
        <v>559</v>
      </c>
      <c r="C78" s="2618" t="s">
        <v>559</v>
      </c>
      <c r="D78" s="3227">
        <v>3.4604276199228066</v>
      </c>
      <c r="E78" s="3227">
        <v>122.43934880409071</v>
      </c>
      <c r="F78" s="3227">
        <v>3.6790708569322028</v>
      </c>
      <c r="G78" s="3103">
        <f>IF(SUM(D78)=0,"NA",J78/D78)</f>
        <v>8.3495393403351503E-3</v>
      </c>
      <c r="H78" s="3103">
        <f>IF(SUM(E78)=0,"NA",K78/E78)</f>
        <v>3.974672361132793E-2</v>
      </c>
      <c r="I78" s="3103">
        <f t="shared" si="3"/>
        <v>0.75073281350728449</v>
      </c>
      <c r="J78" s="3227">
        <v>2.8892976546927802E-2</v>
      </c>
      <c r="K78" s="3227">
        <v>4.8665629560671686</v>
      </c>
      <c r="L78" s="3227">
        <v>3.2145657407535175</v>
      </c>
      <c r="M78" s="3497">
        <v>-0.45256652523614904</v>
      </c>
    </row>
    <row r="79" spans="2:13" ht="18" customHeight="1" x14ac:dyDescent="0.2">
      <c r="B79" s="2616" t="s">
        <v>560</v>
      </c>
      <c r="C79" s="2618" t="s">
        <v>560</v>
      </c>
      <c r="D79" s="3227">
        <v>10.328531841975039</v>
      </c>
      <c r="E79" s="3227">
        <v>365.45157180948337</v>
      </c>
      <c r="F79" s="3227">
        <v>10.981128539123821</v>
      </c>
      <c r="G79" s="3103">
        <f t="shared" ref="G79:G89" si="40">IF(SUM(D79)=0,"NA",J79/D79)</f>
        <v>8.3495393403351503E-3</v>
      </c>
      <c r="H79" s="3103">
        <f t="shared" ref="H79:H89" si="41">IF(SUM(E79)=0,"NA",K79/E79)</f>
        <v>3.9746723611327937E-2</v>
      </c>
      <c r="I79" s="3103">
        <f t="shared" ref="I79:I89" si="42">IF(SUM(F79)=0,"NA",(SUM(L79:M79))/F79)</f>
        <v>0.75073281350728371</v>
      </c>
      <c r="J79" s="3227">
        <v>8.6238482942474853E-2</v>
      </c>
      <c r="K79" s="3227">
        <v>14.525502618036899</v>
      </c>
      <c r="L79" s="3227">
        <v>84.667975492094513</v>
      </c>
      <c r="M79" s="3497">
        <v>-76.424081968432958</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42.372491557610601</v>
      </c>
      <c r="E81" s="3227">
        <v>1499.254093237299</v>
      </c>
      <c r="F81" s="3227">
        <v>45.049749900183862</v>
      </c>
      <c r="G81" s="3103">
        <f t="shared" si="40"/>
        <v>8.3495393403351485E-3</v>
      </c>
      <c r="H81" s="3103">
        <f t="shared" si="41"/>
        <v>3.974672361132793E-2</v>
      </c>
      <c r="I81" s="3103">
        <f t="shared" si="42"/>
        <v>0.75073281350728449</v>
      </c>
      <c r="J81" s="3227">
        <v>0.35379078520828866</v>
      </c>
      <c r="K81" s="3227">
        <v>59.590438067054997</v>
      </c>
      <c r="L81" s="3227">
        <v>39.361944439254344</v>
      </c>
      <c r="M81" s="3497">
        <v>-5.5416189488898091</v>
      </c>
    </row>
    <row r="82" spans="2:13" ht="18" customHeight="1" x14ac:dyDescent="0.2">
      <c r="B82" s="2616" t="s">
        <v>564</v>
      </c>
      <c r="C82" s="2618" t="s">
        <v>564</v>
      </c>
      <c r="D82" s="3227">
        <v>7.6319312884436635E-2</v>
      </c>
      <c r="E82" s="3227">
        <v>2.7003850382382866</v>
      </c>
      <c r="F82" s="3227">
        <v>8.1141463048571089E-2</v>
      </c>
      <c r="G82" s="3103">
        <f t="shared" si="40"/>
        <v>8.3495393403351485E-3</v>
      </c>
      <c r="H82" s="3103">
        <f t="shared" si="41"/>
        <v>3.9746723611327917E-2</v>
      </c>
      <c r="I82" s="3103">
        <f t="shared" si="42"/>
        <v>0.7507328135072846</v>
      </c>
      <c r="J82" s="3227">
        <v>6.3723110535595089E-4</v>
      </c>
      <c r="K82" s="3227">
        <v>0.10733145775902235</v>
      </c>
      <c r="L82" s="3227">
        <v>0.1141154256714763</v>
      </c>
      <c r="M82" s="3497">
        <v>-5.3199866824925154E-2</v>
      </c>
    </row>
    <row r="83" spans="2:13" ht="18" customHeight="1" x14ac:dyDescent="0.2">
      <c r="B83" s="2616" t="s">
        <v>565</v>
      </c>
      <c r="C83" s="2618" t="s">
        <v>565</v>
      </c>
      <c r="D83" s="3227">
        <v>131.12640522266742</v>
      </c>
      <c r="E83" s="3227">
        <v>4639.6091552531489</v>
      </c>
      <c r="F83" s="3227">
        <v>139.4114800296733</v>
      </c>
      <c r="G83" s="3103">
        <f t="shared" si="40"/>
        <v>8.3495393403351503E-3</v>
      </c>
      <c r="H83" s="3103">
        <f t="shared" si="41"/>
        <v>3.9746723611327937E-2</v>
      </c>
      <c r="I83" s="3103">
        <f t="shared" si="42"/>
        <v>0.75073281350728438</v>
      </c>
      <c r="J83" s="3227">
        <v>1.0948450789633901</v>
      </c>
      <c r="K83" s="3227">
        <v>184.40926275843358</v>
      </c>
      <c r="L83" s="3227">
        <v>126.90993109353136</v>
      </c>
      <c r="M83" s="3497">
        <v>-22.249158455640128</v>
      </c>
    </row>
    <row r="84" spans="2:13" ht="18" customHeight="1" x14ac:dyDescent="0.2">
      <c r="B84" s="2616" t="s">
        <v>567</v>
      </c>
      <c r="C84" s="2618" t="s">
        <v>567</v>
      </c>
      <c r="D84" s="3227">
        <v>37.944154531271472</v>
      </c>
      <c r="E84" s="3227">
        <v>1342.5674748932629</v>
      </c>
      <c r="F84" s="3227">
        <v>40.34161336686099</v>
      </c>
      <c r="G84" s="3103">
        <f t="shared" si="40"/>
        <v>8.3495393403351503E-3</v>
      </c>
      <c r="H84" s="3103">
        <f t="shared" si="41"/>
        <v>3.9746723611327937E-2</v>
      </c>
      <c r="I84" s="3103">
        <f t="shared" si="42"/>
        <v>0.75073281350728405</v>
      </c>
      <c r="J84" s="3227">
        <v>0.31681621099460738</v>
      </c>
      <c r="K84" s="3227">
        <v>53.362658354140976</v>
      </c>
      <c r="L84" s="3227">
        <v>40.641033271857381</v>
      </c>
      <c r="M84" s="3497">
        <v>-10.355260367530772</v>
      </c>
    </row>
    <row r="85" spans="2:13" ht="18" customHeight="1" x14ac:dyDescent="0.2">
      <c r="B85" s="2616" t="s">
        <v>569</v>
      </c>
      <c r="C85" s="2618" t="s">
        <v>569</v>
      </c>
      <c r="D85" s="3227" t="s">
        <v>2146</v>
      </c>
      <c r="E85" s="3227">
        <v>105.60432131596531</v>
      </c>
      <c r="F85" s="3227">
        <v>3.2766474205948608</v>
      </c>
      <c r="G85" s="3103" t="str">
        <f t="shared" si="40"/>
        <v>NA</v>
      </c>
      <c r="H85" s="3103">
        <f t="shared" si="41"/>
        <v>4.1583693095443963E-2</v>
      </c>
      <c r="I85" s="3103">
        <f t="shared" si="42"/>
        <v>0.760634884769544</v>
      </c>
      <c r="J85" s="3227">
        <v>2.6072020312522981E-2</v>
      </c>
      <c r="K85" s="3227">
        <v>4.3914176871557524</v>
      </c>
      <c r="L85" s="3227">
        <v>2.9297700412680143</v>
      </c>
      <c r="M85" s="3497">
        <v>-0.43743770807341847</v>
      </c>
    </row>
    <row r="86" spans="2:13" ht="18" customHeight="1" x14ac:dyDescent="0.2">
      <c r="B86" s="2616" t="s">
        <v>571</v>
      </c>
      <c r="C86" s="2618" t="s">
        <v>571</v>
      </c>
      <c r="D86" s="3227">
        <v>2.4393471775596796</v>
      </c>
      <c r="E86" s="3227">
        <v>86.310743275759208</v>
      </c>
      <c r="F86" s="3227">
        <v>2.593474592339498</v>
      </c>
      <c r="G86" s="3103">
        <f t="shared" si="40"/>
        <v>8.3495393403351485E-3</v>
      </c>
      <c r="H86" s="3103">
        <f t="shared" si="41"/>
        <v>3.9746723611327917E-2</v>
      </c>
      <c r="I86" s="3103">
        <f t="shared" si="42"/>
        <v>0.75073281350728405</v>
      </c>
      <c r="J86" s="3227">
        <v>2.0367425223770053E-2</v>
      </c>
      <c r="K86" s="3227">
        <v>3.4305692576698807</v>
      </c>
      <c r="L86" s="3227">
        <v>2.2878318736873813</v>
      </c>
      <c r="M86" s="3497">
        <v>-0.34082539622069319</v>
      </c>
    </row>
    <row r="87" spans="2:13" ht="18" customHeight="1" x14ac:dyDescent="0.2">
      <c r="B87" s="2616" t="s">
        <v>574</v>
      </c>
      <c r="C87" s="2618" t="s">
        <v>574</v>
      </c>
      <c r="D87" s="3227">
        <v>0.41751435589001135</v>
      </c>
      <c r="E87" s="3227">
        <v>14.772794424948184</v>
      </c>
      <c r="F87" s="3227">
        <v>0.44389453206942853</v>
      </c>
      <c r="G87" s="3103">
        <f t="shared" si="40"/>
        <v>8.3495393403351485E-3</v>
      </c>
      <c r="H87" s="3103">
        <f t="shared" si="41"/>
        <v>3.974672361132793E-2</v>
      </c>
      <c r="I87" s="3103">
        <f t="shared" si="42"/>
        <v>0.75073281350728405</v>
      </c>
      <c r="J87" s="3227">
        <v>3.4860525396583396E-3</v>
      </c>
      <c r="K87" s="3227">
        <v>0.58717017697538165</v>
      </c>
      <c r="L87" s="3227">
        <v>0.50714029043934139</v>
      </c>
      <c r="M87" s="3497">
        <v>-0.17389409947835999</v>
      </c>
    </row>
    <row r="88" spans="2:13" ht="18" customHeight="1" x14ac:dyDescent="0.2">
      <c r="B88" s="2616" t="s">
        <v>576</v>
      </c>
      <c r="C88" s="2618" t="s">
        <v>576</v>
      </c>
      <c r="D88" s="3227" t="s">
        <v>2146</v>
      </c>
      <c r="E88" s="3227">
        <v>71.001508554318292</v>
      </c>
      <c r="F88" s="3227">
        <v>2.2030055869283762</v>
      </c>
      <c r="G88" s="3103" t="str">
        <f t="shared" si="40"/>
        <v>NA</v>
      </c>
      <c r="H88" s="3103">
        <f t="shared" si="41"/>
        <v>4.1583693095443956E-2</v>
      </c>
      <c r="I88" s="3103">
        <f t="shared" si="42"/>
        <v>0.76063488476954444</v>
      </c>
      <c r="J88" s="3227">
        <v>1.7529138487707912E-2</v>
      </c>
      <c r="K88" s="3227">
        <v>2.9525049410363104</v>
      </c>
      <c r="L88" s="3227">
        <v>2.0075072275683108</v>
      </c>
      <c r="M88" s="3497">
        <v>-0.33182432680838259</v>
      </c>
    </row>
    <row r="89" spans="2:13" ht="18" customHeight="1" x14ac:dyDescent="0.2">
      <c r="B89" s="2616" t="s">
        <v>577</v>
      </c>
      <c r="C89" s="2618" t="s">
        <v>577</v>
      </c>
      <c r="D89" s="3227" t="s">
        <v>2146</v>
      </c>
      <c r="E89" s="3227">
        <v>139.9042805116371</v>
      </c>
      <c r="F89" s="3227">
        <v>4.3408924384549019</v>
      </c>
      <c r="G89" s="3103" t="str">
        <f t="shared" si="40"/>
        <v>NA</v>
      </c>
      <c r="H89" s="3103">
        <f t="shared" si="41"/>
        <v>4.1583693095443963E-2</v>
      </c>
      <c r="I89" s="3103">
        <f t="shared" si="42"/>
        <v>0.76063488476954477</v>
      </c>
      <c r="J89" s="3227">
        <v>3.4540132428812563E-2</v>
      </c>
      <c r="K89" s="3227">
        <v>5.8177366635348191</v>
      </c>
      <c r="L89" s="3227">
        <v>3.8428552422217113</v>
      </c>
      <c r="M89" s="3497">
        <v>-0.54102102250057915</v>
      </c>
    </row>
    <row r="90" spans="2:13" ht="18" customHeight="1" x14ac:dyDescent="0.2">
      <c r="B90" s="88" t="s">
        <v>475</v>
      </c>
      <c r="C90" s="2508" t="s">
        <v>623</v>
      </c>
      <c r="D90" s="2108"/>
      <c r="E90" s="2108"/>
      <c r="F90" s="2108"/>
      <c r="G90" s="2108"/>
      <c r="H90" s="2108"/>
      <c r="I90" s="2108"/>
      <c r="J90" s="3103">
        <f>IF(SUM(J91,J104)=0,"NO",SUM(J91,J104))</f>
        <v>30.601037698620633</v>
      </c>
      <c r="K90" s="3103">
        <f t="shared" ref="K90:M90" si="43">IF(SUM(K91,K104)=0,"NO",SUM(K91,K104))</f>
        <v>2.7404211132884013</v>
      </c>
      <c r="L90" s="3103">
        <f t="shared" si="43"/>
        <v>1.5158559542315899</v>
      </c>
      <c r="M90" s="3226" t="str">
        <f t="shared" si="43"/>
        <v>NO</v>
      </c>
    </row>
    <row r="91" spans="2:13" ht="18" customHeight="1" x14ac:dyDescent="0.2">
      <c r="B91" s="104" t="s">
        <v>674</v>
      </c>
      <c r="C91" s="2508"/>
      <c r="D91" s="2108"/>
      <c r="E91" s="2108"/>
      <c r="F91" s="2108"/>
      <c r="G91" s="2108"/>
      <c r="H91" s="2108"/>
      <c r="I91" s="2108"/>
      <c r="J91" s="3103">
        <f>IF(SUM(J92:J103)=0,"NO",SUM(J92:J103))</f>
        <v>30.601037698620633</v>
      </c>
      <c r="K91" s="3103">
        <f>IF(SUM(K92:K103)=0,"NO",SUM(K92:K103))</f>
        <v>2.7404211132884013</v>
      </c>
      <c r="L91" s="3103">
        <f>IF(SUM(L92:L103)=0,"NO",SUM(L92:L103))</f>
        <v>1.5158559542315899</v>
      </c>
      <c r="M91" s="3226" t="str">
        <f>IF(SUM(M92:M103)=0,"NO",SUM(M92:M103))</f>
        <v>NO</v>
      </c>
    </row>
    <row r="92" spans="2:13" ht="18" customHeight="1" x14ac:dyDescent="0.2">
      <c r="B92" s="2616" t="s">
        <v>559</v>
      </c>
      <c r="C92" s="2618" t="s">
        <v>559</v>
      </c>
      <c r="D92" s="3227">
        <v>0.74303158098899103</v>
      </c>
      <c r="E92" s="3227">
        <v>1.6381111858998296</v>
      </c>
      <c r="F92" s="3227">
        <v>2.2084130426891738E-2</v>
      </c>
      <c r="G92" s="3103">
        <f>IF(SUM(D92)=0,"NA",J92/D92)</f>
        <v>0.6</v>
      </c>
      <c r="H92" s="3103">
        <f>IF(SUM(E92)=0,"NA",K92/E92)</f>
        <v>2.4372287826246553E-2</v>
      </c>
      <c r="I92" s="3103">
        <f t="shared" ref="I92:I103" si="44">IF(SUM(F92)=0,"NA",(SUM(L92:M92))/F92)</f>
        <v>0.99999999999999178</v>
      </c>
      <c r="J92" s="3227">
        <v>0.4458189485933946</v>
      </c>
      <c r="K92" s="3227">
        <v>3.9924517314144724E-2</v>
      </c>
      <c r="L92" s="3227">
        <v>2.2084130426891557E-2</v>
      </c>
      <c r="M92" s="3497" t="s">
        <v>2146</v>
      </c>
    </row>
    <row r="93" spans="2:13" ht="18" customHeight="1" x14ac:dyDescent="0.2">
      <c r="B93" s="2616" t="s">
        <v>560</v>
      </c>
      <c r="C93" s="2618" t="s">
        <v>560</v>
      </c>
      <c r="D93" s="3227">
        <v>2.2177679138999142</v>
      </c>
      <c r="E93" s="3227">
        <v>4.8893620681016605</v>
      </c>
      <c r="F93" s="3227">
        <v>6.5915739142542548E-2</v>
      </c>
      <c r="G93" s="3103">
        <f t="shared" ref="G93:G103" si="45">IF(SUM(D93)=0,"NA",J93/D93)</f>
        <v>0.6</v>
      </c>
      <c r="H93" s="3103">
        <f t="shared" ref="H93:H103" si="46">IF(SUM(E93)=0,"NA",K93/E93)</f>
        <v>2.4372287826246557E-2</v>
      </c>
      <c r="I93" s="3103">
        <f t="shared" si="44"/>
        <v>0.99999999999999178</v>
      </c>
      <c r="J93" s="3227">
        <v>1.3306607483399484</v>
      </c>
      <c r="K93" s="3227">
        <v>0.11916493961050578</v>
      </c>
      <c r="L93" s="3227">
        <v>6.5915739142542007E-2</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9.0983262332175023</v>
      </c>
      <c r="E95" s="3227">
        <v>20.058460981916561</v>
      </c>
      <c r="F95" s="3227">
        <v>0.27041733937250095</v>
      </c>
      <c r="G95" s="3103">
        <f t="shared" si="45"/>
        <v>0.6</v>
      </c>
      <c r="H95" s="3103">
        <f t="shared" si="46"/>
        <v>2.4372287826246553E-2</v>
      </c>
      <c r="I95" s="3103">
        <f t="shared" si="44"/>
        <v>0.9999999999999899</v>
      </c>
      <c r="J95" s="3227">
        <v>5.4589957399305016</v>
      </c>
      <c r="K95" s="3227">
        <v>0.48887058440280645</v>
      </c>
      <c r="L95" s="3227">
        <v>0.27041733937249823</v>
      </c>
      <c r="M95" s="3497" t="s">
        <v>2146</v>
      </c>
    </row>
    <row r="96" spans="2:13" ht="18" customHeight="1" x14ac:dyDescent="0.2">
      <c r="B96" s="2616" t="s">
        <v>564</v>
      </c>
      <c r="C96" s="2618" t="s">
        <v>564</v>
      </c>
      <c r="D96" s="3227">
        <v>1.6387471706107066E-2</v>
      </c>
      <c r="E96" s="3227">
        <v>3.6128344201279236E-2</v>
      </c>
      <c r="F96" s="3227">
        <v>4.870628271855764E-4</v>
      </c>
      <c r="G96" s="3103">
        <f t="shared" si="45"/>
        <v>0.60000000000000009</v>
      </c>
      <c r="H96" s="3103">
        <f t="shared" si="46"/>
        <v>2.437228782624655E-2</v>
      </c>
      <c r="I96" s="3103">
        <f t="shared" si="44"/>
        <v>0.99999999999999389</v>
      </c>
      <c r="J96" s="3227">
        <v>9.8324830236642402E-3</v>
      </c>
      <c r="K96" s="3227">
        <v>8.8053040355928302E-4</v>
      </c>
      <c r="L96" s="3227">
        <v>4.8706282718557342E-4</v>
      </c>
      <c r="M96" s="3497" t="s">
        <v>2146</v>
      </c>
    </row>
    <row r="97" spans="2:13" ht="18" customHeight="1" x14ac:dyDescent="0.2">
      <c r="B97" s="2616" t="s">
        <v>565</v>
      </c>
      <c r="C97" s="2618" t="s">
        <v>565</v>
      </c>
      <c r="D97" s="3227">
        <v>28.155786186961226</v>
      </c>
      <c r="E97" s="3227">
        <v>62.073146661243271</v>
      </c>
      <c r="F97" s="3227">
        <v>0.83683664373579458</v>
      </c>
      <c r="G97" s="3103">
        <f t="shared" si="45"/>
        <v>0.6</v>
      </c>
      <c r="H97" s="3103">
        <f t="shared" si="46"/>
        <v>2.4372287826246553E-2</v>
      </c>
      <c r="I97" s="3103">
        <f t="shared" si="44"/>
        <v>0.99999999999999445</v>
      </c>
      <c r="J97" s="3227">
        <v>16.893471712176733</v>
      </c>
      <c r="K97" s="3227">
        <v>1.5128645967086363</v>
      </c>
      <c r="L97" s="3227">
        <v>0.83683664373578992</v>
      </c>
      <c r="M97" s="3497" t="s">
        <v>2146</v>
      </c>
    </row>
    <row r="98" spans="2:13" ht="18" customHeight="1" x14ac:dyDescent="0.2">
      <c r="B98" s="2616" t="s">
        <v>567</v>
      </c>
      <c r="C98" s="2618" t="s">
        <v>567</v>
      </c>
      <c r="D98" s="3227">
        <v>8.1474627494997733</v>
      </c>
      <c r="E98" s="3227">
        <v>17.962156936712365</v>
      </c>
      <c r="F98" s="3227">
        <v>0.24215610024099482</v>
      </c>
      <c r="G98" s="3103">
        <f t="shared" si="45"/>
        <v>0.6</v>
      </c>
      <c r="H98" s="3103">
        <f t="shared" si="46"/>
        <v>2.437228782624655E-2</v>
      </c>
      <c r="I98" s="3103">
        <f t="shared" si="44"/>
        <v>0.99999999999999201</v>
      </c>
      <c r="J98" s="3227">
        <v>4.8884776496998636</v>
      </c>
      <c r="K98" s="3227">
        <v>0.43777885884176482</v>
      </c>
      <c r="L98" s="3227">
        <v>0.24215610024099288</v>
      </c>
      <c r="M98" s="3497" t="s">
        <v>2146</v>
      </c>
    </row>
    <row r="99" spans="2:13" ht="18" customHeight="1" x14ac:dyDescent="0.2">
      <c r="B99" s="2616" t="s">
        <v>569</v>
      </c>
      <c r="C99" s="2618" t="s">
        <v>569</v>
      </c>
      <c r="D99" s="3227">
        <v>0.67048593767854281</v>
      </c>
      <c r="E99" s="3227">
        <v>1.4781747406185017</v>
      </c>
      <c r="F99" s="3227">
        <v>1.9927953637423026E-2</v>
      </c>
      <c r="G99" s="3103">
        <f t="shared" si="45"/>
        <v>0.6</v>
      </c>
      <c r="H99" s="3103">
        <f t="shared" si="46"/>
        <v>2.4372287826246553E-2</v>
      </c>
      <c r="I99" s="3103">
        <f t="shared" si="44"/>
        <v>0.99999999999999323</v>
      </c>
      <c r="J99" s="3227">
        <v>0.40229156260712567</v>
      </c>
      <c r="K99" s="3227">
        <v>3.6026500235841467E-2</v>
      </c>
      <c r="L99" s="3227">
        <v>1.992795363742289E-2</v>
      </c>
      <c r="M99" s="3497" t="s">
        <v>2146</v>
      </c>
    </row>
    <row r="100" spans="2:13" ht="18" customHeight="1" x14ac:dyDescent="0.2">
      <c r="B100" s="2616" t="s">
        <v>571</v>
      </c>
      <c r="C100" s="2618" t="s">
        <v>571</v>
      </c>
      <c r="D100" s="3227">
        <v>0.5237826618560032</v>
      </c>
      <c r="E100" s="3227">
        <v>1.1547480071098344</v>
      </c>
      <c r="F100" s="3227">
        <v>1.5567689066965635E-2</v>
      </c>
      <c r="G100" s="3103">
        <f t="shared" si="45"/>
        <v>0.6</v>
      </c>
      <c r="H100" s="3103">
        <f t="shared" si="46"/>
        <v>2.437228782624655E-2</v>
      </c>
      <c r="I100" s="3103">
        <f t="shared" si="44"/>
        <v>0.99999999999999034</v>
      </c>
      <c r="J100" s="3227">
        <v>0.31426959711360192</v>
      </c>
      <c r="K100" s="3227">
        <v>2.8143850796065482E-2</v>
      </c>
      <c r="L100" s="3227">
        <v>1.5567689066965484E-2</v>
      </c>
      <c r="M100" s="3497" t="s">
        <v>2146</v>
      </c>
    </row>
    <row r="101" spans="2:13" ht="18" customHeight="1" x14ac:dyDescent="0.2">
      <c r="B101" s="2616" t="s">
        <v>574</v>
      </c>
      <c r="C101" s="2618" t="s">
        <v>574</v>
      </c>
      <c r="D101" s="3227">
        <v>8.9649715589044943E-2</v>
      </c>
      <c r="E101" s="3227">
        <v>0.19764463002189503</v>
      </c>
      <c r="F101" s="3227">
        <v>2.6645381736897554E-3</v>
      </c>
      <c r="G101" s="3103">
        <f t="shared" si="45"/>
        <v>0.60000000000000009</v>
      </c>
      <c r="H101" s="3103">
        <f t="shared" si="46"/>
        <v>2.437228782624655E-2</v>
      </c>
      <c r="I101" s="3103">
        <f t="shared" si="44"/>
        <v>0.99999999999999312</v>
      </c>
      <c r="J101" s="3227">
        <v>5.3789829353426973E-2</v>
      </c>
      <c r="K101" s="3227">
        <v>4.8170518102056354E-3</v>
      </c>
      <c r="L101" s="3227">
        <v>2.6645381736897372E-3</v>
      </c>
      <c r="M101" s="3497" t="s">
        <v>2146</v>
      </c>
    </row>
    <row r="102" spans="2:13" ht="18" customHeight="1" x14ac:dyDescent="0.2">
      <c r="B102" s="2616" t="s">
        <v>576</v>
      </c>
      <c r="C102" s="2618" t="s">
        <v>576</v>
      </c>
      <c r="D102" s="3227">
        <v>0.45079133549089112</v>
      </c>
      <c r="E102" s="3227">
        <v>0.9938289947130694</v>
      </c>
      <c r="F102" s="3227">
        <v>1.3398265838233664E-2</v>
      </c>
      <c r="G102" s="3103">
        <f t="shared" si="45"/>
        <v>0.6</v>
      </c>
      <c r="H102" s="3103">
        <f t="shared" si="46"/>
        <v>2.437228782624655E-2</v>
      </c>
      <c r="I102" s="3103">
        <f t="shared" si="44"/>
        <v>0.99999999999999212</v>
      </c>
      <c r="J102" s="3227">
        <v>0.27047480129453466</v>
      </c>
      <c r="K102" s="3227">
        <v>2.4221886309216189E-2</v>
      </c>
      <c r="L102" s="3227">
        <v>1.3398265838233558E-2</v>
      </c>
      <c r="M102" s="3497" t="s">
        <v>2146</v>
      </c>
    </row>
    <row r="103" spans="2:13" ht="18" customHeight="1" x14ac:dyDescent="0.2">
      <c r="B103" s="2616" t="s">
        <v>577</v>
      </c>
      <c r="C103" s="2618" t="s">
        <v>577</v>
      </c>
      <c r="D103" s="3227">
        <v>0.88825771081306681</v>
      </c>
      <c r="E103" s="3227">
        <v>1.9582813561005552</v>
      </c>
      <c r="F103" s="3227">
        <v>2.6400491769378361E-2</v>
      </c>
      <c r="G103" s="3103">
        <f t="shared" si="45"/>
        <v>0.6</v>
      </c>
      <c r="H103" s="3103">
        <f t="shared" si="46"/>
        <v>2.437228782624655E-2</v>
      </c>
      <c r="I103" s="3103">
        <f t="shared" si="44"/>
        <v>0.99999999999998546</v>
      </c>
      <c r="J103" s="3227">
        <v>0.53295462648784009</v>
      </c>
      <c r="K103" s="3227">
        <v>4.7727796855655147E-2</v>
      </c>
      <c r="L103" s="3227">
        <v>2.6400491769377976E-2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0.17386821808399361</v>
      </c>
      <c r="K117" s="3103">
        <f>IF(SUM(K118:K129)=0,"NO",SUM(K118:K129))</f>
        <v>13.151467540485113</v>
      </c>
      <c r="L117" s="3103">
        <f>IF(SUM(L118:L129)=0,"NO",SUM(L118:L129))</f>
        <v>10.602202076438463</v>
      </c>
      <c r="M117" s="3226">
        <f>IF(SUM(M118:M129)=0,"NO",SUM(M118:M129))</f>
        <v>-6.7531538268964688</v>
      </c>
    </row>
    <row r="118" spans="2:13" ht="18" customHeight="1" x14ac:dyDescent="0.2">
      <c r="B118" s="2616" t="s">
        <v>559</v>
      </c>
      <c r="C118" s="2618" t="s">
        <v>559</v>
      </c>
      <c r="D118" s="3227">
        <v>0.72372658865287931</v>
      </c>
      <c r="E118" s="3227">
        <v>3.9990853880844042</v>
      </c>
      <c r="F118" s="3227">
        <v>0.2528458870412002</v>
      </c>
      <c r="G118" s="3103">
        <f>IF(SUM(D118)=0,"NA",J118/D118)</f>
        <v>3.5000000000000001E-3</v>
      </c>
      <c r="H118" s="3103">
        <f>IF(SUM(E118)=0,"NA",K118/E118)</f>
        <v>4.791107435471121E-2</v>
      </c>
      <c r="I118" s="3103">
        <f t="shared" ref="I118:I129" si="72">IF(SUM(F118)=0,"NA",(SUM(L118:M118))/F118)</f>
        <v>0.22177869880515541</v>
      </c>
      <c r="J118" s="3227">
        <v>2.5330430602850777E-3</v>
      </c>
      <c r="K118" s="3227">
        <v>0.19160047737935101</v>
      </c>
      <c r="L118" s="3227">
        <v>0.15446085943371646</v>
      </c>
      <c r="M118" s="3497">
        <v>-9.8385027607483772E-2</v>
      </c>
    </row>
    <row r="119" spans="2:13" ht="18" customHeight="1" x14ac:dyDescent="0.2">
      <c r="B119" s="2616" t="s">
        <v>560</v>
      </c>
      <c r="C119" s="2618" t="s">
        <v>560</v>
      </c>
      <c r="D119" s="3227">
        <v>2.1601472236405233</v>
      </c>
      <c r="E119" s="3227">
        <v>11.936293807101295</v>
      </c>
      <c r="F119" s="3227">
        <v>0.75468325948563442</v>
      </c>
      <c r="G119" s="3103">
        <f t="shared" ref="G119:G129" si="73">IF(SUM(D119)=0,"NA",J119/D119)</f>
        <v>3.5000000000000001E-3</v>
      </c>
      <c r="H119" s="3103">
        <f t="shared" ref="H119:H129" si="74">IF(SUM(E119)=0,"NA",K119/E119)</f>
        <v>4.7911074354711203E-2</v>
      </c>
      <c r="I119" s="3103">
        <f t="shared" si="72"/>
        <v>0.22177869880515524</v>
      </c>
      <c r="J119" s="3227">
        <v>7.560515282741832E-3</v>
      </c>
      <c r="K119" s="3227">
        <v>0.57188066011170902</v>
      </c>
      <c r="L119" s="3227">
        <v>0.46102796539219587</v>
      </c>
      <c r="M119" s="3497">
        <v>-0.29365529409343855</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8.8619390826606939</v>
      </c>
      <c r="E121" s="3227">
        <v>48.968286713810919</v>
      </c>
      <c r="F121" s="3227">
        <v>3.0960653973363015</v>
      </c>
      <c r="G121" s="3103">
        <f t="shared" si="73"/>
        <v>3.5000000000000001E-3</v>
      </c>
      <c r="H121" s="3103">
        <f t="shared" si="74"/>
        <v>4.7911074354711203E-2</v>
      </c>
      <c r="I121" s="3103">
        <f t="shared" si="72"/>
        <v>0.22177869880515522</v>
      </c>
      <c r="J121" s="3227">
        <v>3.1016786789312429E-2</v>
      </c>
      <c r="K121" s="3227">
        <v>2.3461232257682116</v>
      </c>
      <c r="L121" s="3227">
        <v>1.8913533762866064</v>
      </c>
      <c r="M121" s="3497">
        <v>-1.2047120210496955</v>
      </c>
    </row>
    <row r="122" spans="2:13" ht="18" customHeight="1" x14ac:dyDescent="0.2">
      <c r="B122" s="2616" t="s">
        <v>564</v>
      </c>
      <c r="C122" s="2618" t="s">
        <v>564</v>
      </c>
      <c r="D122" s="3227">
        <v>1.5961702433590332E-2</v>
      </c>
      <c r="E122" s="3227">
        <v>8.8199344851952355E-2</v>
      </c>
      <c r="F122" s="3227">
        <v>5.5764854764021174E-3</v>
      </c>
      <c r="G122" s="3103">
        <f t="shared" si="73"/>
        <v>3.5000000000000001E-3</v>
      </c>
      <c r="H122" s="3103">
        <f t="shared" si="74"/>
        <v>4.791107435471121E-2</v>
      </c>
      <c r="I122" s="3103">
        <f t="shared" si="72"/>
        <v>0.22177869880515519</v>
      </c>
      <c r="J122" s="3227">
        <v>5.5865958517566162E-5</v>
      </c>
      <c r="K122" s="3227">
        <v>4.2257253692387043E-3</v>
      </c>
      <c r="L122" s="3227">
        <v>3.4066155846322124E-3</v>
      </c>
      <c r="M122" s="3497">
        <v>-2.1698698917699049E-3</v>
      </c>
    </row>
    <row r="123" spans="2:13" ht="18" customHeight="1" x14ac:dyDescent="0.2">
      <c r="B123" s="2616" t="s">
        <v>565</v>
      </c>
      <c r="C123" s="2618" t="s">
        <v>565</v>
      </c>
      <c r="D123" s="3227">
        <v>27.424259761350875</v>
      </c>
      <c r="E123" s="3227">
        <v>151.53782963092334</v>
      </c>
      <c r="F123" s="3227">
        <v>9.5811199899591628</v>
      </c>
      <c r="G123" s="3103">
        <f t="shared" si="73"/>
        <v>3.4999999999999996E-3</v>
      </c>
      <c r="H123" s="3103">
        <f t="shared" si="74"/>
        <v>4.7911074354711203E-2</v>
      </c>
      <c r="I123" s="3103">
        <f t="shared" si="72"/>
        <v>0.22177869880515533</v>
      </c>
      <c r="J123" s="3227">
        <v>9.5984909164728058E-2</v>
      </c>
      <c r="K123" s="3227">
        <v>7.2603402229987264</v>
      </c>
      <c r="L123" s="3227">
        <v>5.8530041572141851</v>
      </c>
      <c r="M123" s="3497">
        <v>-3.728115832744979</v>
      </c>
    </row>
    <row r="124" spans="2:13" ht="18" customHeight="1" x14ac:dyDescent="0.2">
      <c r="B124" s="2616" t="s">
        <v>567</v>
      </c>
      <c r="C124" s="2618" t="s">
        <v>567</v>
      </c>
      <c r="D124" s="3227">
        <v>7.9357803527320661</v>
      </c>
      <c r="E124" s="3227">
        <v>43.850625013971353</v>
      </c>
      <c r="F124" s="3227">
        <v>2.7724964843222839</v>
      </c>
      <c r="G124" s="3103">
        <f t="shared" si="73"/>
        <v>3.5000000000000001E-3</v>
      </c>
      <c r="H124" s="3103">
        <f t="shared" si="74"/>
        <v>4.791107435471121E-2</v>
      </c>
      <c r="I124" s="3103">
        <f t="shared" si="72"/>
        <v>0.22177869880515513</v>
      </c>
      <c r="J124" s="3227">
        <v>2.7775231234562232E-2</v>
      </c>
      <c r="K124" s="3227">
        <v>2.1009305555449407</v>
      </c>
      <c r="L124" s="3227">
        <v>1.6936885735285736</v>
      </c>
      <c r="M124" s="3497">
        <v>-1.0788079107937103</v>
      </c>
    </row>
    <row r="125" spans="2:13" ht="18" customHeight="1" x14ac:dyDescent="0.2">
      <c r="B125" s="2616" t="s">
        <v>569</v>
      </c>
      <c r="C125" s="2618" t="s">
        <v>569</v>
      </c>
      <c r="D125" s="3227">
        <v>0.65306578190114439</v>
      </c>
      <c r="E125" s="3227">
        <v>3.6086360053733149</v>
      </c>
      <c r="F125" s="3227">
        <v>0.22815936226470276</v>
      </c>
      <c r="G125" s="3103">
        <f t="shared" si="73"/>
        <v>3.4999999999999996E-3</v>
      </c>
      <c r="H125" s="3103">
        <f t="shared" si="74"/>
        <v>4.7911074354711203E-2</v>
      </c>
      <c r="I125" s="3103">
        <f t="shared" si="72"/>
        <v>0.22177869880515519</v>
      </c>
      <c r="J125" s="3227">
        <v>2.2857302366540051E-3</v>
      </c>
      <c r="K125" s="3227">
        <v>0.17289362797252891</v>
      </c>
      <c r="L125" s="3227">
        <v>0.13938012437399128</v>
      </c>
      <c r="M125" s="3497">
        <v>-8.8779237890711474E-2</v>
      </c>
    </row>
    <row r="126" spans="2:13" ht="18" customHeight="1" x14ac:dyDescent="0.2">
      <c r="B126" s="2616" t="s">
        <v>571</v>
      </c>
      <c r="C126" s="2618" t="s">
        <v>571</v>
      </c>
      <c r="D126" s="3227">
        <v>0.51017406091408957</v>
      </c>
      <c r="E126" s="3227">
        <v>2.8190613200750776</v>
      </c>
      <c r="F126" s="3227">
        <v>0.17823776962145618</v>
      </c>
      <c r="G126" s="3103">
        <f t="shared" si="73"/>
        <v>3.5000000000000005E-3</v>
      </c>
      <c r="H126" s="3103">
        <f t="shared" si="74"/>
        <v>4.7911074354711203E-2</v>
      </c>
      <c r="I126" s="3103">
        <f t="shared" si="72"/>
        <v>0.22177869880515524</v>
      </c>
      <c r="J126" s="3227">
        <v>1.7856092131993137E-3</v>
      </c>
      <c r="K126" s="3227">
        <v>0.13506425651660736</v>
      </c>
      <c r="L126" s="3227">
        <v>0.10888355512301789</v>
      </c>
      <c r="M126" s="3497">
        <v>-6.9354214498438316E-2</v>
      </c>
    </row>
    <row r="127" spans="2:13" ht="18" customHeight="1" x14ac:dyDescent="0.2">
      <c r="B127" s="2616" t="s">
        <v>574</v>
      </c>
      <c r="C127" s="2618" t="s">
        <v>574</v>
      </c>
      <c r="D127" s="3227">
        <v>8.7320491479784976E-2</v>
      </c>
      <c r="E127" s="3227">
        <v>0.48250555808257656</v>
      </c>
      <c r="F127" s="3227">
        <v>3.0506861943784908E-2</v>
      </c>
      <c r="G127" s="3103">
        <f t="shared" si="73"/>
        <v>3.5000000000000005E-3</v>
      </c>
      <c r="H127" s="3103">
        <f t="shared" si="74"/>
        <v>4.7911074354711203E-2</v>
      </c>
      <c r="I127" s="3103">
        <f t="shared" si="72"/>
        <v>0.22177869880515538</v>
      </c>
      <c r="J127" s="3227">
        <v>3.0562172017924746E-4</v>
      </c>
      <c r="K127" s="3227">
        <v>2.3117359669855751E-2</v>
      </c>
      <c r="L127" s="3227">
        <v>1.863631704515302E-2</v>
      </c>
      <c r="M127" s="3497">
        <v>-1.187054489863189E-2</v>
      </c>
    </row>
    <row r="128" spans="2:13" ht="18" customHeight="1" x14ac:dyDescent="0.2">
      <c r="B128" s="2616" t="s">
        <v>576</v>
      </c>
      <c r="C128" s="2618" t="s">
        <v>576</v>
      </c>
      <c r="D128" s="3227">
        <v>0.43907915057237934</v>
      </c>
      <c r="E128" s="3227">
        <v>2.4262132175286202</v>
      </c>
      <c r="F128" s="3227">
        <v>0.15339958355601901</v>
      </c>
      <c r="G128" s="3103">
        <f t="shared" si="73"/>
        <v>3.5000000000000005E-3</v>
      </c>
      <c r="H128" s="3103">
        <f t="shared" si="74"/>
        <v>4.7911074354711196E-2</v>
      </c>
      <c r="I128" s="3103">
        <f t="shared" si="72"/>
        <v>0.22177869880515513</v>
      </c>
      <c r="J128" s="3227">
        <v>1.536777027003328E-3</v>
      </c>
      <c r="K128" s="3227">
        <v>0.11624248186539682</v>
      </c>
      <c r="L128" s="3227">
        <v>9.3710171797162789E-2</v>
      </c>
      <c r="M128" s="3497">
        <v>-5.9689411758856219E-2</v>
      </c>
    </row>
    <row r="129" spans="2:13" ht="18" customHeight="1" x14ac:dyDescent="0.2">
      <c r="B129" s="2616" t="s">
        <v>577</v>
      </c>
      <c r="C129" s="2618" t="s">
        <v>577</v>
      </c>
      <c r="D129" s="3227">
        <v>0.86517954194585089</v>
      </c>
      <c r="E129" s="3227">
        <v>4.7807098958536312</v>
      </c>
      <c r="F129" s="3227">
        <v>0.30226482232798041</v>
      </c>
      <c r="G129" s="3103">
        <f t="shared" si="73"/>
        <v>3.5000000000000001E-3</v>
      </c>
      <c r="H129" s="3103">
        <f t="shared" si="74"/>
        <v>4.7911074354711203E-2</v>
      </c>
      <c r="I129" s="3103">
        <f t="shared" si="72"/>
        <v>0.22177869880515513</v>
      </c>
      <c r="J129" s="3227">
        <v>3.0281283968104783E-3</v>
      </c>
      <c r="K129" s="3227">
        <v>0.22904894728854697</v>
      </c>
      <c r="L129" s="3227">
        <v>0.18465036065922563</v>
      </c>
      <c r="M129" s="3497">
        <v>-0.11761446166875474</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75.916609368479271</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75.916609368479271</v>
      </c>
      <c r="L131" s="3229"/>
      <c r="M131" s="3226" t="str">
        <f>IF(SUM(M132:M143)=0,"NO",SUM(M132:M143))</f>
        <v>NO</v>
      </c>
    </row>
    <row r="132" spans="2:13" ht="18" customHeight="1" x14ac:dyDescent="0.2">
      <c r="B132" s="2616" t="s">
        <v>559</v>
      </c>
      <c r="C132" s="2618" t="s">
        <v>559</v>
      </c>
      <c r="D132" s="3227" t="s">
        <v>2146</v>
      </c>
      <c r="E132" s="3227">
        <v>1.5421899693166976</v>
      </c>
      <c r="F132" s="3229"/>
      <c r="G132" s="3103" t="str">
        <f>IF(SUM(D132)=0,"NA",J132/D132)</f>
        <v>NA</v>
      </c>
      <c r="H132" s="3103">
        <f>IF(SUM(E132)=0,"NA",K132/E132)</f>
        <v>0.71716865285881459</v>
      </c>
      <c r="I132" s="4327"/>
      <c r="J132" s="3227" t="s">
        <v>2146</v>
      </c>
      <c r="K132" s="3227">
        <v>1.1060103027472326</v>
      </c>
      <c r="L132" s="3229"/>
      <c r="M132" s="3497" t="s">
        <v>2146</v>
      </c>
    </row>
    <row r="133" spans="2:13" ht="18" customHeight="1" x14ac:dyDescent="0.2">
      <c r="B133" s="2616" t="s">
        <v>560</v>
      </c>
      <c r="C133" s="2618" t="s">
        <v>560</v>
      </c>
      <c r="D133" s="3227" t="s">
        <v>2146</v>
      </c>
      <c r="E133" s="3227">
        <v>4.6030606485615051</v>
      </c>
      <c r="F133" s="3229"/>
      <c r="G133" s="3103" t="str">
        <f t="shared" ref="G133:G143" si="75">IF(SUM(D133)=0,"NA",J133/D133)</f>
        <v>NA</v>
      </c>
      <c r="H133" s="3103">
        <f t="shared" ref="H133:H143" si="76">IF(SUM(E133)=0,"NA",K133/E133)</f>
        <v>0.71716865285881448</v>
      </c>
      <c r="I133" s="4327"/>
      <c r="J133" s="3227" t="s">
        <v>2146</v>
      </c>
      <c r="K133" s="3227">
        <v>3.3011708043562753</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18.883918010272161</v>
      </c>
      <c r="F135" s="3229"/>
      <c r="G135" s="3103" t="str">
        <f t="shared" si="75"/>
        <v>NA</v>
      </c>
      <c r="H135" s="3103">
        <f t="shared" si="76"/>
        <v>0.71716865285881448</v>
      </c>
      <c r="I135" s="4327"/>
      <c r="J135" s="3227" t="s">
        <v>2146</v>
      </c>
      <c r="K135" s="3227">
        <v>13.54295404012319</v>
      </c>
      <c r="L135" s="3229"/>
      <c r="M135" s="3497" t="s">
        <v>2146</v>
      </c>
    </row>
    <row r="136" spans="2:13" ht="18" customHeight="1" x14ac:dyDescent="0.2">
      <c r="B136" s="2616" t="s">
        <v>564</v>
      </c>
      <c r="C136" s="2618" t="s">
        <v>564</v>
      </c>
      <c r="D136" s="3227" t="s">
        <v>2146</v>
      </c>
      <c r="E136" s="3227">
        <v>3.4012813363842688E-2</v>
      </c>
      <c r="F136" s="3229"/>
      <c r="G136" s="3103" t="str">
        <f t="shared" si="75"/>
        <v>NA</v>
      </c>
      <c r="H136" s="3103">
        <f t="shared" si="76"/>
        <v>0.71716865285881448</v>
      </c>
      <c r="I136" s="4327"/>
      <c r="J136" s="3227" t="s">
        <v>2146</v>
      </c>
      <c r="K136" s="3227">
        <v>2.4392923540085341E-2</v>
      </c>
      <c r="L136" s="3229"/>
      <c r="M136" s="3497" t="s">
        <v>2146</v>
      </c>
    </row>
    <row r="137" spans="2:13" ht="18" customHeight="1" x14ac:dyDescent="0.2">
      <c r="B137" s="2616" t="s">
        <v>565</v>
      </c>
      <c r="C137" s="2618" t="s">
        <v>565</v>
      </c>
      <c r="D137" s="3227" t="s">
        <v>2146</v>
      </c>
      <c r="E137" s="3227">
        <v>58.438392319694124</v>
      </c>
      <c r="F137" s="3229"/>
      <c r="G137" s="3103" t="str">
        <f t="shared" si="75"/>
        <v>NA</v>
      </c>
      <c r="H137" s="3103">
        <f t="shared" si="76"/>
        <v>0.71716865285881448</v>
      </c>
      <c r="I137" s="4327"/>
      <c r="J137" s="3227" t="s">
        <v>2146</v>
      </c>
      <c r="K137" s="3227">
        <v>41.910183095149925</v>
      </c>
      <c r="L137" s="3229"/>
      <c r="M137" s="3497" t="s">
        <v>2146</v>
      </c>
    </row>
    <row r="138" spans="2:13" ht="18" customHeight="1" x14ac:dyDescent="0.2">
      <c r="B138" s="2616" t="s">
        <v>567</v>
      </c>
      <c r="C138" s="2618" t="s">
        <v>567</v>
      </c>
      <c r="D138" s="3227" t="s">
        <v>2146</v>
      </c>
      <c r="E138" s="3227">
        <v>16.910365116561795</v>
      </c>
      <c r="F138" s="3229"/>
      <c r="G138" s="3103" t="str">
        <f t="shared" si="75"/>
        <v>NA</v>
      </c>
      <c r="H138" s="3103">
        <f t="shared" si="76"/>
        <v>0.71716865285881437</v>
      </c>
      <c r="I138" s="4327"/>
      <c r="J138" s="3227" t="s">
        <v>2146</v>
      </c>
      <c r="K138" s="3227">
        <v>12.12758376999531</v>
      </c>
      <c r="L138" s="3229"/>
      <c r="M138" s="3497" t="s">
        <v>2146</v>
      </c>
    </row>
    <row r="139" spans="2:13" ht="18" customHeight="1" x14ac:dyDescent="0.2">
      <c r="B139" s="2616" t="s">
        <v>569</v>
      </c>
      <c r="C139" s="2618" t="s">
        <v>569</v>
      </c>
      <c r="D139" s="3227" t="s">
        <v>2146</v>
      </c>
      <c r="E139" s="3227">
        <v>1.3916187603755021</v>
      </c>
      <c r="F139" s="3229"/>
      <c r="G139" s="3103" t="str">
        <f t="shared" si="75"/>
        <v>NA</v>
      </c>
      <c r="H139" s="3103">
        <f t="shared" si="76"/>
        <v>0.71716865285881448</v>
      </c>
      <c r="I139" s="4327"/>
      <c r="J139" s="3227" t="s">
        <v>2146</v>
      </c>
      <c r="K139" s="3227">
        <v>0.99802535167155226</v>
      </c>
      <c r="L139" s="3229"/>
      <c r="M139" s="3497" t="s">
        <v>2146</v>
      </c>
    </row>
    <row r="140" spans="2:13" ht="18" customHeight="1" x14ac:dyDescent="0.2">
      <c r="B140" s="2616" t="s">
        <v>571</v>
      </c>
      <c r="C140" s="2618" t="s">
        <v>571</v>
      </c>
      <c r="D140" s="3227" t="s">
        <v>2146</v>
      </c>
      <c r="E140" s="3227">
        <v>1.087130598326878</v>
      </c>
      <c r="F140" s="3229"/>
      <c r="G140" s="3103" t="str">
        <f t="shared" si="75"/>
        <v>NA</v>
      </c>
      <c r="H140" s="3103">
        <f t="shared" si="76"/>
        <v>0.71716865285881437</v>
      </c>
      <c r="I140" s="4327"/>
      <c r="J140" s="3227" t="s">
        <v>2146</v>
      </c>
      <c r="K140" s="3227">
        <v>0.77965598668368397</v>
      </c>
      <c r="L140" s="3229"/>
      <c r="M140" s="3497" t="s">
        <v>2146</v>
      </c>
    </row>
    <row r="141" spans="2:13" ht="18" customHeight="1" x14ac:dyDescent="0.2">
      <c r="B141" s="2616" t="s">
        <v>574</v>
      </c>
      <c r="C141" s="2618" t="s">
        <v>574</v>
      </c>
      <c r="D141" s="3227" t="s">
        <v>2146</v>
      </c>
      <c r="E141" s="3227">
        <v>0.18607135372294273</v>
      </c>
      <c r="F141" s="3229"/>
      <c r="G141" s="3103" t="str">
        <f t="shared" si="75"/>
        <v>NA</v>
      </c>
      <c r="H141" s="3103">
        <f t="shared" si="76"/>
        <v>0.71716865285881437</v>
      </c>
      <c r="I141" s="4327"/>
      <c r="J141" s="3227" t="s">
        <v>2146</v>
      </c>
      <c r="K141" s="3227">
        <v>0.13344454208509876</v>
      </c>
      <c r="L141" s="3229"/>
      <c r="M141" s="3497" t="s">
        <v>2146</v>
      </c>
    </row>
    <row r="142" spans="2:13" ht="18" customHeight="1" x14ac:dyDescent="0.2">
      <c r="B142" s="2616" t="s">
        <v>576</v>
      </c>
      <c r="C142" s="2618" t="s">
        <v>576</v>
      </c>
      <c r="D142" s="3227" t="s">
        <v>2146</v>
      </c>
      <c r="E142" s="3227">
        <v>0.93563435745704993</v>
      </c>
      <c r="F142" s="3229"/>
      <c r="G142" s="3103" t="str">
        <f t="shared" si="75"/>
        <v>NA</v>
      </c>
      <c r="H142" s="3103">
        <f t="shared" si="76"/>
        <v>0.71716865285881448</v>
      </c>
      <c r="I142" s="4327"/>
      <c r="J142" s="3227" t="s">
        <v>2146</v>
      </c>
      <c r="K142" s="3227">
        <v>0.67100763170589495</v>
      </c>
      <c r="L142" s="3229"/>
      <c r="M142" s="3497" t="s">
        <v>2146</v>
      </c>
    </row>
    <row r="143" spans="2:13" ht="18" customHeight="1" x14ac:dyDescent="0.2">
      <c r="B143" s="2616" t="s">
        <v>577</v>
      </c>
      <c r="C143" s="2618" t="s">
        <v>577</v>
      </c>
      <c r="D143" s="3227" t="s">
        <v>2146</v>
      </c>
      <c r="E143" s="3227">
        <v>1.8436122593346675</v>
      </c>
      <c r="F143" s="3229"/>
      <c r="G143" s="3103" t="str">
        <f t="shared" si="75"/>
        <v>NA</v>
      </c>
      <c r="H143" s="3103">
        <f t="shared" si="76"/>
        <v>0.71716865285881448</v>
      </c>
      <c r="I143" s="4327"/>
      <c r="J143" s="3227" t="s">
        <v>2146</v>
      </c>
      <c r="K143" s="3227">
        <v>1.3221809204210389</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34.498428845880085</v>
      </c>
      <c r="L146" s="3103">
        <f>IF(SUM(L147:L158)=0,"NO",SUM(L147:L158))</f>
        <v>11.806992635796943</v>
      </c>
      <c r="M146" s="3226" t="str">
        <f>IF(SUM(M147:M158)=0,"NO",SUM(M147:M158))</f>
        <v>NO</v>
      </c>
    </row>
    <row r="147" spans="2:13" ht="18" customHeight="1" x14ac:dyDescent="0.2">
      <c r="B147" s="2616" t="s">
        <v>559</v>
      </c>
      <c r="C147" s="2618" t="s">
        <v>559</v>
      </c>
      <c r="D147" s="3227">
        <v>0.85890497773223373</v>
      </c>
      <c r="E147" s="3227">
        <v>1.4346506411423423</v>
      </c>
      <c r="F147" s="3227">
        <v>0.1720131550695162</v>
      </c>
      <c r="G147" s="3103" t="str">
        <f>IFERROR(J147/D147,"NA")</f>
        <v>NA</v>
      </c>
      <c r="H147" s="3103">
        <f>IF(SUM(E147)=0,"NA",K147/E147)</f>
        <v>0.35032854809719927</v>
      </c>
      <c r="I147" s="3103">
        <f t="shared" ref="I147:I158" si="77">IF(SUM(F147)=0,"NA",(SUM(L147:M147))/F147)</f>
        <v>1</v>
      </c>
      <c r="J147" s="3227" t="s">
        <v>2146</v>
      </c>
      <c r="K147" s="3227">
        <v>0.50259907613811283</v>
      </c>
      <c r="L147" s="3227">
        <v>0.1720131550695162</v>
      </c>
      <c r="M147" s="3497" t="s">
        <v>2146</v>
      </c>
    </row>
    <row r="148" spans="2:13" ht="18" customHeight="1" x14ac:dyDescent="0.2">
      <c r="B148" s="2616" t="s">
        <v>560</v>
      </c>
      <c r="C148" s="2618" t="s">
        <v>560</v>
      </c>
      <c r="D148" s="3227">
        <v>2.5636217213918004</v>
      </c>
      <c r="E148" s="3227">
        <v>4.2820820016108687</v>
      </c>
      <c r="F148" s="3227">
        <v>0.51341728379041207</v>
      </c>
      <c r="G148" s="3103" t="str">
        <f t="shared" ref="G148:G158" si="78">IFERROR(J148/D148,"NA")</f>
        <v>NA</v>
      </c>
      <c r="H148" s="3103">
        <f t="shared" ref="H148:H158" si="79">IF(SUM(E148)=0,"NA",K148/E148)</f>
        <v>0.35032854809719921</v>
      </c>
      <c r="I148" s="3103">
        <f t="shared" si="77"/>
        <v>1.0000000000000004</v>
      </c>
      <c r="J148" s="3227" t="s">
        <v>2146</v>
      </c>
      <c r="K148" s="3227">
        <v>1.5001355704574844</v>
      </c>
      <c r="L148" s="3227">
        <v>0.51341728379041229</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10.517181087163049</v>
      </c>
      <c r="E150" s="3227">
        <v>17.567112755064819</v>
      </c>
      <c r="F150" s="3227">
        <v>2.1062789809612106</v>
      </c>
      <c r="G150" s="3103" t="str">
        <f t="shared" si="78"/>
        <v>NA</v>
      </c>
      <c r="H150" s="3103">
        <f t="shared" si="79"/>
        <v>0.35032854809719921</v>
      </c>
      <c r="I150" s="3103">
        <f t="shared" si="77"/>
        <v>1.0000000000000013</v>
      </c>
      <c r="J150" s="3227" t="s">
        <v>2146</v>
      </c>
      <c r="K150" s="3227">
        <v>6.1542611057416474</v>
      </c>
      <c r="L150" s="3227">
        <v>2.1062789809612132</v>
      </c>
      <c r="M150" s="3497" t="s">
        <v>2146</v>
      </c>
    </row>
    <row r="151" spans="2:13" ht="18" customHeight="1" x14ac:dyDescent="0.2">
      <c r="B151" s="2616" t="s">
        <v>564</v>
      </c>
      <c r="C151" s="2618" t="s">
        <v>564</v>
      </c>
      <c r="D151" s="3227">
        <v>1.8943045465290988E-2</v>
      </c>
      <c r="E151" s="3227">
        <v>3.1641046479580034E-2</v>
      </c>
      <c r="F151" s="3227">
        <v>3.7937293432776299E-3</v>
      </c>
      <c r="G151" s="3103" t="str">
        <f t="shared" si="78"/>
        <v>NA</v>
      </c>
      <c r="H151" s="3103">
        <f t="shared" si="79"/>
        <v>0.35032854809719927</v>
      </c>
      <c r="I151" s="3103">
        <f t="shared" si="77"/>
        <v>1.0000000000000009</v>
      </c>
      <c r="J151" s="3227" t="s">
        <v>2146</v>
      </c>
      <c r="K151" s="3227">
        <v>1.1084761873467271E-2</v>
      </c>
      <c r="L151" s="3227">
        <v>3.7937293432776329E-3</v>
      </c>
      <c r="M151" s="3497" t="s">
        <v>2146</v>
      </c>
    </row>
    <row r="152" spans="2:13" ht="18" customHeight="1" x14ac:dyDescent="0.2">
      <c r="B152" s="2616" t="s">
        <v>565</v>
      </c>
      <c r="C152" s="2618" t="s">
        <v>565</v>
      </c>
      <c r="D152" s="3227">
        <v>32.546590921151932</v>
      </c>
      <c r="E152" s="3227">
        <v>54.363391460731343</v>
      </c>
      <c r="F152" s="3227">
        <v>6.5181154333111193</v>
      </c>
      <c r="G152" s="3103" t="str">
        <f t="shared" si="78"/>
        <v>NA</v>
      </c>
      <c r="H152" s="3103">
        <f t="shared" si="79"/>
        <v>0.35032854809719927</v>
      </c>
      <c r="I152" s="3103">
        <f t="shared" si="77"/>
        <v>1.0000000000000007</v>
      </c>
      <c r="J152" s="3227" t="s">
        <v>2146</v>
      </c>
      <c r="K152" s="3227">
        <v>19.045048000077692</v>
      </c>
      <c r="L152" s="3227">
        <v>6.5181154333111238</v>
      </c>
      <c r="M152" s="3497" t="s">
        <v>2146</v>
      </c>
    </row>
    <row r="153" spans="2:13" ht="18" customHeight="1" x14ac:dyDescent="0.2">
      <c r="B153" s="2616" t="s">
        <v>567</v>
      </c>
      <c r="C153" s="2618" t="s">
        <v>567</v>
      </c>
      <c r="D153" s="3227">
        <v>9.4180334867045037</v>
      </c>
      <c r="E153" s="3227">
        <v>15.731178803591641</v>
      </c>
      <c r="F153" s="3227">
        <v>1.8861523644626563</v>
      </c>
      <c r="G153" s="3103" t="str">
        <f t="shared" si="78"/>
        <v>NA</v>
      </c>
      <c r="H153" s="3103">
        <f t="shared" si="79"/>
        <v>0.35032854809719921</v>
      </c>
      <c r="I153" s="3103">
        <f t="shared" si="77"/>
        <v>1.0000000000000011</v>
      </c>
      <c r="J153" s="3227" t="s">
        <v>2146</v>
      </c>
      <c r="K153" s="3227">
        <v>5.5110810301196951</v>
      </c>
      <c r="L153" s="3227">
        <v>1.8861523644626583</v>
      </c>
      <c r="M153" s="3497" t="s">
        <v>2146</v>
      </c>
    </row>
    <row r="154" spans="2:13" ht="18" customHeight="1" x14ac:dyDescent="0.2">
      <c r="B154" s="2616" t="s">
        <v>569</v>
      </c>
      <c r="C154" s="2618" t="s">
        <v>569</v>
      </c>
      <c r="D154" s="3227">
        <v>0.77504607355322774</v>
      </c>
      <c r="E154" s="3227">
        <v>1.294578999034091</v>
      </c>
      <c r="F154" s="3227">
        <v>0.1552187074152612</v>
      </c>
      <c r="G154" s="3103" t="str">
        <f t="shared" si="78"/>
        <v>NA</v>
      </c>
      <c r="H154" s="3103">
        <f t="shared" si="79"/>
        <v>0.35032854809719921</v>
      </c>
      <c r="I154" s="3103">
        <f t="shared" si="77"/>
        <v>1.0000000000000002</v>
      </c>
      <c r="J154" s="3227" t="s">
        <v>2146</v>
      </c>
      <c r="K154" s="3227">
        <v>0.4535279811287386</v>
      </c>
      <c r="L154" s="3227">
        <v>0.15521870741526123</v>
      </c>
      <c r="M154" s="3497" t="s">
        <v>2146</v>
      </c>
    </row>
    <row r="155" spans="2:13" ht="18" customHeight="1" x14ac:dyDescent="0.2">
      <c r="B155" s="2616" t="s">
        <v>571</v>
      </c>
      <c r="C155" s="2618" t="s">
        <v>571</v>
      </c>
      <c r="D155" s="3227">
        <v>0.60546489143726723</v>
      </c>
      <c r="E155" s="3227">
        <v>1.0113232746456995</v>
      </c>
      <c r="F155" s="3227">
        <v>0.12125663369064195</v>
      </c>
      <c r="G155" s="3103" t="str">
        <f t="shared" si="78"/>
        <v>NA</v>
      </c>
      <c r="H155" s="3103">
        <f t="shared" si="79"/>
        <v>0.35032854809719927</v>
      </c>
      <c r="I155" s="3103">
        <f t="shared" si="77"/>
        <v>1.0000000000000004</v>
      </c>
      <c r="J155" s="3227" t="s">
        <v>2146</v>
      </c>
      <c r="K155" s="3227">
        <v>0.35429541446353302</v>
      </c>
      <c r="L155" s="3227">
        <v>0.12125663369064199</v>
      </c>
      <c r="M155" s="3497" t="s">
        <v>2146</v>
      </c>
    </row>
    <row r="156" spans="2:13" ht="18" customHeight="1" x14ac:dyDescent="0.2">
      <c r="B156" s="2616" t="s">
        <v>574</v>
      </c>
      <c r="C156" s="2618" t="s">
        <v>574</v>
      </c>
      <c r="D156" s="3227">
        <v>0.10363030178235533</v>
      </c>
      <c r="E156" s="3227">
        <v>0.17309630605049289</v>
      </c>
      <c r="F156" s="3227">
        <v>2.0754071326323464E-2</v>
      </c>
      <c r="G156" s="3103" t="str">
        <f t="shared" si="78"/>
        <v>NA</v>
      </c>
      <c r="H156" s="3103">
        <f t="shared" si="79"/>
        <v>0.35032854809719916</v>
      </c>
      <c r="I156" s="3103">
        <f t="shared" si="77"/>
        <v>1.0000000000000004</v>
      </c>
      <c r="J156" s="3227" t="s">
        <v>2146</v>
      </c>
      <c r="K156" s="3227">
        <v>6.0640577579657608E-2</v>
      </c>
      <c r="L156" s="3227">
        <v>2.0754071326323474E-2</v>
      </c>
      <c r="M156" s="3497" t="s">
        <v>2146</v>
      </c>
    </row>
    <row r="157" spans="2:13" ht="18" customHeight="1" x14ac:dyDescent="0.2">
      <c r="B157" s="2616" t="s">
        <v>576</v>
      </c>
      <c r="C157" s="2618" t="s">
        <v>576</v>
      </c>
      <c r="D157" s="3227">
        <v>0.52109080135777486</v>
      </c>
      <c r="E157" s="3227">
        <v>0.87039110453772461</v>
      </c>
      <c r="F157" s="3227">
        <v>0.10435900960303575</v>
      </c>
      <c r="G157" s="3103" t="str">
        <f t="shared" si="78"/>
        <v>NA</v>
      </c>
      <c r="H157" s="3103">
        <f t="shared" si="79"/>
        <v>0.35032854809719927</v>
      </c>
      <c r="I157" s="3103">
        <f t="shared" si="77"/>
        <v>1.0000000000000004</v>
      </c>
      <c r="J157" s="3227" t="s">
        <v>2146</v>
      </c>
      <c r="K157" s="3227">
        <v>0.30492285192941865</v>
      </c>
      <c r="L157" s="3227">
        <v>0.10435900960303579</v>
      </c>
      <c r="M157" s="3497" t="s">
        <v>2146</v>
      </c>
    </row>
    <row r="158" spans="2:13" ht="18" customHeight="1" x14ac:dyDescent="0.2">
      <c r="B158" s="2616" t="s">
        <v>577</v>
      </c>
      <c r="C158" s="2618" t="s">
        <v>577</v>
      </c>
      <c r="D158" s="3227">
        <v>1.0267786576593516</v>
      </c>
      <c r="E158" s="3227">
        <v>1.7150542815709424</v>
      </c>
      <c r="F158" s="3227">
        <v>0.20563326682348018</v>
      </c>
      <c r="G158" s="3103" t="str">
        <f t="shared" si="78"/>
        <v>NA</v>
      </c>
      <c r="H158" s="3103">
        <f t="shared" si="79"/>
        <v>0.35032854809719927</v>
      </c>
      <c r="I158" s="3103">
        <f t="shared" si="77"/>
        <v>1.0000000000000004</v>
      </c>
      <c r="J158" s="3227" t="s">
        <v>2146</v>
      </c>
      <c r="K158" s="3227">
        <v>0.60083247637063342</v>
      </c>
      <c r="L158" s="3227">
        <v>0.20563326682348027</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0.69629757647308754</v>
      </c>
      <c r="K162" s="3233">
        <f t="shared" ref="K162:M162" si="85">IF(SUM(K163,K165,K175)=0,"NO",SUM(K163,K165,K175))</f>
        <v>5.1807639051275158</v>
      </c>
      <c r="L162" s="3233">
        <f t="shared" si="85"/>
        <v>0.56999999999999995</v>
      </c>
      <c r="M162" s="3234" t="str">
        <f t="shared" si="85"/>
        <v>NO</v>
      </c>
    </row>
    <row r="163" spans="2:13" ht="18" customHeight="1" x14ac:dyDescent="0.2">
      <c r="B163" s="88" t="s">
        <v>681</v>
      </c>
      <c r="C163" s="2508"/>
      <c r="D163" s="4326"/>
      <c r="E163" s="4326"/>
      <c r="F163" s="4326"/>
      <c r="G163" s="4327"/>
      <c r="H163" s="4327"/>
      <c r="I163" s="4327"/>
      <c r="J163" s="3230">
        <f>J164</f>
        <v>0.69629757647308754</v>
      </c>
      <c r="K163" s="3230">
        <f t="shared" ref="K163:M163" si="86">K164</f>
        <v>4.4303417750239795</v>
      </c>
      <c r="L163" s="3230">
        <f t="shared" si="86"/>
        <v>0.56999999999999995</v>
      </c>
      <c r="M163" s="3226" t="str">
        <f t="shared" si="86"/>
        <v>NO</v>
      </c>
    </row>
    <row r="164" spans="2:13" ht="18" customHeight="1" x14ac:dyDescent="0.2">
      <c r="B164" s="2616" t="s">
        <v>1621</v>
      </c>
      <c r="C164" s="2618" t="s">
        <v>1621</v>
      </c>
      <c r="D164" s="3235">
        <v>8.1917361938010291</v>
      </c>
      <c r="E164" s="3235">
        <v>559.67058845175438</v>
      </c>
      <c r="F164" s="3235">
        <v>0.56999999999999995</v>
      </c>
      <c r="G164" s="3103">
        <f t="shared" ref="G164" si="87">IF(SUM(D164)=0,"NA",J164/D164)</f>
        <v>8.5000000000000006E-2</v>
      </c>
      <c r="H164" s="3103">
        <f t="shared" ref="H164" si="88">IF(SUM(E164)=0,"NA",K164/E164)</f>
        <v>7.9159810546412003E-3</v>
      </c>
      <c r="I164" s="3103">
        <f t="shared" ref="I164" si="89">IF(SUM(F164)=0,"NA",(SUM(L164:M164))/F164)</f>
        <v>1</v>
      </c>
      <c r="J164" s="3142">
        <v>0.69629757647308754</v>
      </c>
      <c r="K164" s="3142">
        <v>4.4303417750239795</v>
      </c>
      <c r="L164" s="3142">
        <v>0.56999999999999995</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0.75042213010353631</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0.75042213010353631</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0.75042213010353631</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0.75042213010353631</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1943.1837325816937</v>
      </c>
      <c r="D10" s="2500">
        <f t="shared" ref="D10:I10" si="0">IF(SUM(D11,D20,D31:D32,D42:D47)=0,"NO",SUM(D11,D20,D31:D32,D42:D47))</f>
        <v>2315.5619681329158</v>
      </c>
      <c r="E10" s="2500">
        <f t="shared" si="0"/>
        <v>41.385076096598176</v>
      </c>
      <c r="F10" s="2500">
        <f t="shared" si="0"/>
        <v>18.72469865665936</v>
      </c>
      <c r="G10" s="2500">
        <f t="shared" si="0"/>
        <v>306.84471968401829</v>
      </c>
      <c r="H10" s="2915">
        <f t="shared" si="0"/>
        <v>17.899275314901068</v>
      </c>
      <c r="I10" s="2924" t="str">
        <f t="shared" si="0"/>
        <v>NO</v>
      </c>
      <c r="J10" s="2925">
        <f>IF(SUM(C10:E10)=0,"NO",SUM(C10)+28*SUM(D10)+265*SUM(E10))</f>
        <v>77745.964005901857</v>
      </c>
    </row>
    <row r="11" spans="1:10" ht="18" customHeight="1" x14ac:dyDescent="0.2">
      <c r="B11" s="234" t="s">
        <v>694</v>
      </c>
      <c r="C11" s="2926"/>
      <c r="D11" s="2137">
        <f>SUM(D16:D19)</f>
        <v>2070.6619163518048</v>
      </c>
      <c r="E11" s="1929"/>
      <c r="F11" s="1929"/>
      <c r="G11" s="1929"/>
      <c r="H11" s="2927"/>
      <c r="I11" s="2928"/>
      <c r="J11" s="1880">
        <f>IF(SUM(C11:E11)=0,"NO",SUM(C11)+28*SUM(D11)+265*SUM(E11))</f>
        <v>57978.533657850538</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1563.6949519248146</v>
      </c>
      <c r="E16" s="628"/>
      <c r="F16" s="628"/>
      <c r="G16" s="628"/>
      <c r="H16" s="2930"/>
      <c r="I16" s="2931"/>
      <c r="J16" s="2934">
        <f>IF(SUM(C16:E16)=0,"NO",SUM(C16)+28*SUM(D16)+265*SUM(E16))</f>
        <v>43783.458653894806</v>
      </c>
    </row>
    <row r="17" spans="2:10" ht="18" customHeight="1" x14ac:dyDescent="0.2">
      <c r="B17" s="228" t="s">
        <v>699</v>
      </c>
      <c r="C17" s="2936"/>
      <c r="D17" s="2920">
        <f>Table3.A!G24</f>
        <v>492.61946980381526</v>
      </c>
      <c r="E17" s="628"/>
      <c r="F17" s="628"/>
      <c r="G17" s="628"/>
      <c r="H17" s="2930"/>
      <c r="I17" s="2931"/>
      <c r="J17" s="2934">
        <f t="shared" ref="J17:J21" si="1">IF(SUM(C17:E17)=0,"NO",SUM(C17)+28*SUM(D17)+265*SUM(E17))</f>
        <v>13793.345154506827</v>
      </c>
    </row>
    <row r="18" spans="2:10" ht="18" customHeight="1" x14ac:dyDescent="0.2">
      <c r="B18" s="228" t="s">
        <v>700</v>
      </c>
      <c r="C18" s="2936"/>
      <c r="D18" s="2920">
        <f>Table3.A!G27</f>
        <v>3.4931927076543863</v>
      </c>
      <c r="E18" s="628"/>
      <c r="F18" s="628"/>
      <c r="G18" s="628"/>
      <c r="H18" s="2930"/>
      <c r="I18" s="2931"/>
      <c r="J18" s="2934">
        <f t="shared" si="1"/>
        <v>97.809395814322812</v>
      </c>
    </row>
    <row r="19" spans="2:10" ht="18" customHeight="1" thickBot="1" x14ac:dyDescent="0.25">
      <c r="B19" s="1297" t="s">
        <v>701</v>
      </c>
      <c r="C19" s="2937"/>
      <c r="D19" s="2500">
        <f>Table3.A!G30</f>
        <v>10.854301915520544</v>
      </c>
      <c r="E19" s="1923"/>
      <c r="F19" s="1923"/>
      <c r="G19" s="1923"/>
      <c r="H19" s="2938"/>
      <c r="I19" s="2939"/>
      <c r="J19" s="2934">
        <f t="shared" si="1"/>
        <v>303.92045363457521</v>
      </c>
    </row>
    <row r="20" spans="2:10" ht="18" customHeight="1" x14ac:dyDescent="0.2">
      <c r="B20" s="1456" t="s">
        <v>702</v>
      </c>
      <c r="C20" s="2940"/>
      <c r="D20" s="2920">
        <f>IF(SUM(D26:D30)=0,"NO",SUM(D26:D30))</f>
        <v>235.88911185587978</v>
      </c>
      <c r="E20" s="2920">
        <f>IF(SUM(E26:E30)=0,"NO",SUM(E26:E30))</f>
        <v>1.5348619854931389</v>
      </c>
      <c r="F20" s="2134"/>
      <c r="G20" s="2134"/>
      <c r="H20" s="2920" t="str">
        <f>IF(SUM(H26:H30)=0,"NE",SUM(H26:H30))</f>
        <v>NE</v>
      </c>
      <c r="I20" s="2931"/>
      <c r="J20" s="2941">
        <f t="shared" si="1"/>
        <v>7011.6335581203157</v>
      </c>
    </row>
    <row r="21" spans="2:10" ht="18" customHeight="1" x14ac:dyDescent="0.2">
      <c r="B21" s="228" t="s">
        <v>2019</v>
      </c>
      <c r="C21" s="2936"/>
      <c r="D21" s="2920">
        <f>D26</f>
        <v>155.83962632375176</v>
      </c>
      <c r="E21" s="2920">
        <f>E26</f>
        <v>0.66005383435611009</v>
      </c>
      <c r="F21" s="2942"/>
      <c r="G21" s="2942"/>
      <c r="H21" s="2920" t="str">
        <f>H26</f>
        <v>NE</v>
      </c>
      <c r="I21" s="2931"/>
      <c r="J21" s="2934">
        <f t="shared" si="1"/>
        <v>4538.4238031694176</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155.83962632375176</v>
      </c>
      <c r="E26" s="2920">
        <f>'Table3.B(b)'!X15</f>
        <v>0.66005383435611009</v>
      </c>
      <c r="F26" s="628"/>
      <c r="G26" s="628"/>
      <c r="H26" s="2944" t="s">
        <v>2154</v>
      </c>
      <c r="I26" s="2931"/>
      <c r="J26" s="2934">
        <f t="shared" ref="J26:J48" si="2">IF(SUM(C26:E26)=0,"NO",SUM(C26)+28*SUM(D26)+265*SUM(E26))</f>
        <v>4538.4238031694176</v>
      </c>
    </row>
    <row r="27" spans="2:10" ht="18" customHeight="1" x14ac:dyDescent="0.2">
      <c r="B27" s="228" t="s">
        <v>705</v>
      </c>
      <c r="C27" s="2936"/>
      <c r="D27" s="2920">
        <f>'Table3.B(a)'!K24</f>
        <v>25.122494895360074</v>
      </c>
      <c r="E27" s="2920" t="str">
        <f>'Table3.B(b)'!X24</f>
        <v>NA</v>
      </c>
      <c r="F27" s="2942"/>
      <c r="G27" s="2942"/>
      <c r="H27" s="2944" t="s">
        <v>2154</v>
      </c>
      <c r="I27" s="2931"/>
      <c r="J27" s="2934">
        <f t="shared" si="2"/>
        <v>703.42985707008211</v>
      </c>
    </row>
    <row r="28" spans="2:10" ht="18" customHeight="1" x14ac:dyDescent="0.2">
      <c r="B28" s="228" t="s">
        <v>706</v>
      </c>
      <c r="C28" s="2936"/>
      <c r="D28" s="2920">
        <f>'Table3.B(a)'!K27</f>
        <v>50.975540954938289</v>
      </c>
      <c r="E28" s="2920">
        <f>'Table3.B(b)'!X27</f>
        <v>0.23386305865260298</v>
      </c>
      <c r="F28" s="2942"/>
      <c r="G28" s="2942"/>
      <c r="H28" s="2944" t="s">
        <v>2154</v>
      </c>
      <c r="I28" s="2931"/>
      <c r="J28" s="2934">
        <f t="shared" si="2"/>
        <v>1489.2888572812119</v>
      </c>
    </row>
    <row r="29" spans="2:10" ht="18" customHeight="1" x14ac:dyDescent="0.2">
      <c r="B29" s="228" t="s">
        <v>707</v>
      </c>
      <c r="C29" s="2936"/>
      <c r="D29" s="2920">
        <f>'Table3.B(a)'!K30</f>
        <v>3.9514496818296863</v>
      </c>
      <c r="E29" s="2920">
        <f>'Table3.B(b)'!X30</f>
        <v>0.33913585446106609</v>
      </c>
      <c r="F29" s="2942"/>
      <c r="G29" s="2942"/>
      <c r="H29" s="2944" t="s">
        <v>2154</v>
      </c>
      <c r="I29" s="2931"/>
      <c r="J29" s="2934">
        <f t="shared" si="2"/>
        <v>200.51159252341373</v>
      </c>
    </row>
    <row r="30" spans="2:10" ht="18" customHeight="1" thickBot="1" x14ac:dyDescent="0.25">
      <c r="B30" s="1297" t="s">
        <v>708</v>
      </c>
      <c r="C30" s="2945"/>
      <c r="D30" s="2946"/>
      <c r="E30" s="2947">
        <f>SUM('Table3.B(b)'!Y46:Z46)</f>
        <v>0.30180923802335957</v>
      </c>
      <c r="F30" s="2948"/>
      <c r="G30" s="2948"/>
      <c r="H30" s="2949"/>
      <c r="I30" s="2950"/>
      <c r="J30" s="2934">
        <f t="shared" si="2"/>
        <v>79.97944807619028</v>
      </c>
    </row>
    <row r="31" spans="2:10" ht="18" customHeight="1" thickBot="1" x14ac:dyDescent="0.25">
      <c r="B31" s="2639" t="s">
        <v>709</v>
      </c>
      <c r="C31" s="2951"/>
      <c r="D31" s="2952">
        <f>Table3.C!G11</f>
        <v>1.1431266</v>
      </c>
      <c r="E31" s="2953"/>
      <c r="F31" s="2953"/>
      <c r="G31" s="2953"/>
      <c r="H31" s="2954" t="s">
        <v>2154</v>
      </c>
      <c r="I31" s="2955"/>
      <c r="J31" s="2956">
        <f t="shared" si="2"/>
        <v>32.007544799999998</v>
      </c>
    </row>
    <row r="32" spans="2:10" ht="18" customHeight="1" x14ac:dyDescent="0.2">
      <c r="B32" s="2638" t="s">
        <v>2020</v>
      </c>
      <c r="C32" s="2957"/>
      <c r="D32" s="2958" t="s">
        <v>2154</v>
      </c>
      <c r="E32" s="2958">
        <f>IF(SUM(E33,E41)=0,"NO",SUM(E33,E41))</f>
        <v>39.526117877627456</v>
      </c>
      <c r="F32" s="2958" t="str">
        <f>IF(SUM(F33,F41)=0,"NO",SUM(F33,F41))</f>
        <v>NO</v>
      </c>
      <c r="G32" s="2958" t="str">
        <f>IF(SUM(G33,G41)=0,"NO",SUM(G33,G41))</f>
        <v>NO</v>
      </c>
      <c r="H32" s="2958" t="str">
        <f>IF(SUM(H33,H41)=0,"NO",SUM(H33,H41))</f>
        <v>NO</v>
      </c>
      <c r="I32" s="2959"/>
      <c r="J32" s="2960">
        <f t="shared" si="2"/>
        <v>10474.421237571276</v>
      </c>
    </row>
    <row r="33" spans="2:10" ht="18" customHeight="1" x14ac:dyDescent="0.2">
      <c r="B33" s="228" t="s">
        <v>710</v>
      </c>
      <c r="C33" s="2961"/>
      <c r="D33" s="2962" t="s">
        <v>2154</v>
      </c>
      <c r="E33" s="2962">
        <f>IF(SUM(E34:E40)=0,"NO",SUM(E34:E40))</f>
        <v>30.30364638344038</v>
      </c>
      <c r="F33" s="2962" t="str">
        <f>IF(SUM(F34:F40)=0,"NO",SUM(F34:F40))</f>
        <v>NO</v>
      </c>
      <c r="G33" s="2962" t="str">
        <f>IF(SUM(G34:G40)=0,"NO",SUM(G34:G40))</f>
        <v>NO</v>
      </c>
      <c r="H33" s="2962" t="str">
        <f>IF(SUM(H34:H40)=0,"NO",SUM(H34:H40))</f>
        <v>NO</v>
      </c>
      <c r="I33" s="2931"/>
      <c r="J33" s="2963">
        <f t="shared" si="2"/>
        <v>8030.4662916117004</v>
      </c>
    </row>
    <row r="34" spans="2:10" ht="18" customHeight="1" x14ac:dyDescent="0.2">
      <c r="B34" s="232" t="s">
        <v>711</v>
      </c>
      <c r="C34" s="2961"/>
      <c r="D34" s="2905" t="s">
        <v>2154</v>
      </c>
      <c r="E34" s="2962">
        <f>Table3.D!F11</f>
        <v>5.8343097751585526</v>
      </c>
      <c r="F34" s="2964" t="s">
        <v>2147</v>
      </c>
      <c r="G34" s="2964" t="s">
        <v>2147</v>
      </c>
      <c r="H34" s="2964" t="s">
        <v>2147</v>
      </c>
      <c r="I34" s="2931"/>
      <c r="J34" s="2963">
        <f t="shared" si="2"/>
        <v>1546.0920904170164</v>
      </c>
    </row>
    <row r="35" spans="2:10" ht="18" customHeight="1" x14ac:dyDescent="0.2">
      <c r="B35" s="232" t="s">
        <v>712</v>
      </c>
      <c r="C35" s="2961"/>
      <c r="D35" s="2905" t="s">
        <v>2154</v>
      </c>
      <c r="E35" s="2962">
        <f>Table3.D!F12</f>
        <v>1.3487491756447996</v>
      </c>
      <c r="F35" s="2964" t="s">
        <v>2147</v>
      </c>
      <c r="G35" s="2964" t="s">
        <v>2147</v>
      </c>
      <c r="H35" s="2965" t="s">
        <v>2147</v>
      </c>
      <c r="I35" s="2931"/>
      <c r="J35" s="2963">
        <f t="shared" si="2"/>
        <v>357.41853154587187</v>
      </c>
    </row>
    <row r="36" spans="2:10" ht="18" customHeight="1" x14ac:dyDescent="0.2">
      <c r="B36" s="232" t="s">
        <v>713</v>
      </c>
      <c r="C36" s="2961"/>
      <c r="D36" s="2905" t="s">
        <v>2154</v>
      </c>
      <c r="E36" s="2962">
        <f>Table3.D!F16</f>
        <v>10.554060693012467</v>
      </c>
      <c r="F36" s="2964" t="s">
        <v>2147</v>
      </c>
      <c r="G36" s="2964" t="s">
        <v>2147</v>
      </c>
      <c r="H36" s="2965" t="s">
        <v>2147</v>
      </c>
      <c r="I36" s="2931"/>
      <c r="J36" s="2963">
        <f t="shared" si="2"/>
        <v>2796.8260836483037</v>
      </c>
    </row>
    <row r="37" spans="2:10" ht="18" customHeight="1" x14ac:dyDescent="0.2">
      <c r="B37" s="232" t="s">
        <v>714</v>
      </c>
      <c r="C37" s="2961"/>
      <c r="D37" s="2905" t="s">
        <v>2154</v>
      </c>
      <c r="E37" s="2962">
        <f>Table3.D!F17</f>
        <v>11.788272271570554</v>
      </c>
      <c r="F37" s="2964" t="s">
        <v>2147</v>
      </c>
      <c r="G37" s="2964" t="s">
        <v>2147</v>
      </c>
      <c r="H37" s="2965" t="s">
        <v>2147</v>
      </c>
      <c r="I37" s="2931"/>
      <c r="J37" s="2963">
        <f t="shared" si="2"/>
        <v>3123.8921519661967</v>
      </c>
    </row>
    <row r="38" spans="2:10" ht="18" customHeight="1" x14ac:dyDescent="0.2">
      <c r="B38" s="1705" t="s">
        <v>715</v>
      </c>
      <c r="C38" s="2961"/>
      <c r="D38" s="2905" t="s">
        <v>2154</v>
      </c>
      <c r="E38" s="2962">
        <f>Table3.D!F18</f>
        <v>0.6902544680540057</v>
      </c>
      <c r="F38" s="2964" t="s">
        <v>2147</v>
      </c>
      <c r="G38" s="2964" t="s">
        <v>2147</v>
      </c>
      <c r="H38" s="2965" t="s">
        <v>2147</v>
      </c>
      <c r="I38" s="2931"/>
      <c r="J38" s="2963">
        <f t="shared" si="2"/>
        <v>182.9174340343115</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9.2224714941870793</v>
      </c>
      <c r="F41" s="2969" t="s">
        <v>2147</v>
      </c>
      <c r="G41" s="2969" t="s">
        <v>2147</v>
      </c>
      <c r="H41" s="2970" t="s">
        <v>2147</v>
      </c>
      <c r="I41" s="2971"/>
      <c r="J41" s="2972">
        <f t="shared" si="2"/>
        <v>2443.954945959576</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7.8678133252312366</v>
      </c>
      <c r="E43" s="2979">
        <f>SUM(Table3.F!J10,Table3.F!J20,Table3.F!J23,Table3.F!J26:J27)</f>
        <v>0.32409623347758237</v>
      </c>
      <c r="F43" s="2909">
        <v>18.72469865665936</v>
      </c>
      <c r="G43" s="2909">
        <v>306.84471968401829</v>
      </c>
      <c r="H43" s="2910">
        <v>17.899275314901068</v>
      </c>
      <c r="I43" s="2980" t="s">
        <v>2146</v>
      </c>
      <c r="J43" s="2981">
        <f t="shared" si="2"/>
        <v>306.18427497803395</v>
      </c>
    </row>
    <row r="44" spans="2:10" ht="18" customHeight="1" thickBot="1" x14ac:dyDescent="0.25">
      <c r="B44" s="2641" t="s">
        <v>721</v>
      </c>
      <c r="C44" s="2982">
        <f>'Table3.G-J'!E10</f>
        <v>1159.4904844523769</v>
      </c>
      <c r="D44" s="2983"/>
      <c r="E44" s="2983"/>
      <c r="F44" s="2983"/>
      <c r="G44" s="2983"/>
      <c r="H44" s="2984"/>
      <c r="I44" s="2985"/>
      <c r="J44" s="2981">
        <f t="shared" si="2"/>
        <v>1159.4904844523769</v>
      </c>
    </row>
    <row r="45" spans="2:10" ht="18" customHeight="1" thickBot="1" x14ac:dyDescent="0.25">
      <c r="B45" s="2641" t="s">
        <v>722</v>
      </c>
      <c r="C45" s="2982">
        <f>'Table3.G-J'!E13</f>
        <v>783.69324812931677</v>
      </c>
      <c r="D45" s="2983"/>
      <c r="E45" s="2983"/>
      <c r="F45" s="2983"/>
      <c r="G45" s="2983"/>
      <c r="H45" s="2984"/>
      <c r="I45" s="2985"/>
      <c r="J45" s="2981">
        <f t="shared" si="2"/>
        <v>783.69324812931677</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27906.764999999999</v>
      </c>
      <c r="D10" s="3241"/>
      <c r="E10" s="3241"/>
      <c r="F10" s="3131">
        <f>IF(SUM(C10)=0,"NA",G10*1000/C10)</f>
        <v>56.032827593051884</v>
      </c>
      <c r="G10" s="3242">
        <f>G15</f>
        <v>1563.6949519248146</v>
      </c>
      <c r="I10" s="275" t="s">
        <v>738</v>
      </c>
      <c r="J10" s="276" t="s">
        <v>739</v>
      </c>
      <c r="K10" s="691">
        <v>463.11151237801198</v>
      </c>
      <c r="L10" s="691">
        <v>362.490903112762</v>
      </c>
      <c r="M10" s="3147">
        <v>518.99646479664295</v>
      </c>
      <c r="N10" s="3147">
        <v>44.4635448680284</v>
      </c>
      <c r="O10" s="2911">
        <v>56.830799964344102</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16.039247734244899</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27906.764999999999</v>
      </c>
      <c r="D15" s="3248"/>
      <c r="E15" s="3248"/>
      <c r="F15" s="3131">
        <f>IF(SUM(C15)=0,"NA",G15*1000/C15)</f>
        <v>56.032827593051884</v>
      </c>
      <c r="G15" s="3249">
        <f>G20</f>
        <v>1563.6949519248146</v>
      </c>
      <c r="I15" s="1777" t="s">
        <v>748</v>
      </c>
      <c r="J15" s="1849" t="s">
        <v>297</v>
      </c>
      <c r="K15" s="3445">
        <v>75</v>
      </c>
      <c r="L15" s="3445">
        <v>57.725610381230602</v>
      </c>
      <c r="M15" s="1560">
        <v>80.442683969419903</v>
      </c>
      <c r="N15" s="1560">
        <v>66.564646618535406</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1563.6949519248146</v>
      </c>
      <c r="I20" s="72"/>
      <c r="J20" s="288"/>
      <c r="K20" s="288"/>
      <c r="L20" s="288"/>
      <c r="M20" s="288"/>
      <c r="N20" s="288"/>
      <c r="O20" s="288"/>
    </row>
    <row r="21" spans="2:15" ht="18" customHeight="1" x14ac:dyDescent="0.2">
      <c r="B21" s="2633" t="s">
        <v>2196</v>
      </c>
      <c r="C21" s="3272">
        <v>2612.2849999999999</v>
      </c>
      <c r="D21" s="3257">
        <v>238.53838264631401</v>
      </c>
      <c r="E21" s="3257">
        <v>6.1568544965588696</v>
      </c>
      <c r="F21" s="3131">
        <f t="shared" ref="F21:F30" si="0">IF(SUM(C21)=0,"NA",G21*1000/C21)</f>
        <v>97.076391078632994</v>
      </c>
      <c r="G21" s="3239">
        <v>253.59120026884676</v>
      </c>
      <c r="I21" s="72"/>
      <c r="J21" s="288"/>
      <c r="K21" s="288"/>
      <c r="L21" s="288"/>
      <c r="M21" s="288"/>
      <c r="N21" s="288"/>
      <c r="O21" s="288"/>
    </row>
    <row r="22" spans="2:15" ht="18" customHeight="1" x14ac:dyDescent="0.2">
      <c r="B22" s="2633" t="s">
        <v>2197</v>
      </c>
      <c r="C22" s="3272">
        <v>24589.460999999999</v>
      </c>
      <c r="D22" s="3257">
        <v>125.092280030537</v>
      </c>
      <c r="E22" s="3257">
        <v>6.21225</v>
      </c>
      <c r="F22" s="3131">
        <f t="shared" si="0"/>
        <v>51.366017836953432</v>
      </c>
      <c r="G22" s="3239">
        <v>1263.0626923270709</v>
      </c>
      <c r="I22" s="72"/>
      <c r="J22" s="288"/>
      <c r="K22" s="288"/>
      <c r="L22" s="288"/>
      <c r="M22" s="288"/>
      <c r="N22" s="288"/>
      <c r="O22" s="288"/>
    </row>
    <row r="23" spans="2:15" ht="18" customHeight="1" x14ac:dyDescent="0.2">
      <c r="B23" s="2633" t="s">
        <v>2198</v>
      </c>
      <c r="C23" s="3272">
        <v>705.01900000000001</v>
      </c>
      <c r="D23" s="3257">
        <v>199.651439779024</v>
      </c>
      <c r="E23" s="3257">
        <v>5.0560033777245303</v>
      </c>
      <c r="F23" s="3131">
        <f t="shared" si="0"/>
        <v>66.72310863806095</v>
      </c>
      <c r="G23" s="3239">
        <v>47.041059328897092</v>
      </c>
      <c r="I23" s="72"/>
      <c r="J23" s="288"/>
      <c r="K23" s="288"/>
      <c r="L23" s="288"/>
      <c r="M23" s="288"/>
      <c r="N23" s="288"/>
      <c r="O23" s="288"/>
    </row>
    <row r="24" spans="2:15" ht="18" customHeight="1" x14ac:dyDescent="0.2">
      <c r="B24" s="287" t="s">
        <v>753</v>
      </c>
      <c r="C24" s="2635">
        <f>C25</f>
        <v>72739.683000000005</v>
      </c>
      <c r="D24" s="3258"/>
      <c r="E24" s="3258"/>
      <c r="F24" s="3131">
        <f t="shared" si="0"/>
        <v>6.7723620654741543</v>
      </c>
      <c r="G24" s="3128">
        <f>G25</f>
        <v>492.61946980381526</v>
      </c>
      <c r="I24" s="72"/>
    </row>
    <row r="25" spans="2:15" ht="18" customHeight="1" x14ac:dyDescent="0.2">
      <c r="B25" s="282" t="s">
        <v>754</v>
      </c>
      <c r="C25" s="2635">
        <f>C26</f>
        <v>72739.683000000005</v>
      </c>
      <c r="D25" s="3258"/>
      <c r="E25" s="3258"/>
      <c r="F25" s="3131">
        <f t="shared" si="0"/>
        <v>6.7723620654741543</v>
      </c>
      <c r="G25" s="3128">
        <f>G26</f>
        <v>492.61946980381526</v>
      </c>
    </row>
    <row r="26" spans="2:15" ht="18" customHeight="1" x14ac:dyDescent="0.2">
      <c r="B26" s="2634" t="s">
        <v>2201</v>
      </c>
      <c r="C26" s="289">
        <v>72739.683000000005</v>
      </c>
      <c r="D26" s="3259">
        <v>16.613258817359998</v>
      </c>
      <c r="E26" s="3259">
        <v>6.1672119654262598</v>
      </c>
      <c r="F26" s="3131">
        <f t="shared" si="0"/>
        <v>6.7723620654741543</v>
      </c>
      <c r="G26" s="3240">
        <v>492.61946980381526</v>
      </c>
    </row>
    <row r="27" spans="2:15" ht="18" customHeight="1" x14ac:dyDescent="0.2">
      <c r="B27" s="287" t="s">
        <v>755</v>
      </c>
      <c r="C27" s="2635">
        <f>C28</f>
        <v>2301.788</v>
      </c>
      <c r="D27" s="3258"/>
      <c r="E27" s="3258"/>
      <c r="F27" s="3131">
        <f t="shared" si="0"/>
        <v>1.5175996693241889</v>
      </c>
      <c r="G27" s="3128">
        <f>G28</f>
        <v>3.4931927076543863</v>
      </c>
    </row>
    <row r="28" spans="2:15" ht="18" customHeight="1" x14ac:dyDescent="0.2">
      <c r="B28" s="282" t="s">
        <v>756</v>
      </c>
      <c r="C28" s="2635">
        <f>C29</f>
        <v>2301.788</v>
      </c>
      <c r="D28" s="3258"/>
      <c r="E28" s="3258"/>
      <c r="F28" s="3131">
        <f t="shared" si="0"/>
        <v>1.5175996693241889</v>
      </c>
      <c r="G28" s="3128">
        <f>G29</f>
        <v>3.4931927076543863</v>
      </c>
    </row>
    <row r="29" spans="2:15" ht="18" customHeight="1" x14ac:dyDescent="0.2">
      <c r="B29" s="2634" t="s">
        <v>817</v>
      </c>
      <c r="C29" s="289">
        <v>2301.788</v>
      </c>
      <c r="D29" s="3259">
        <v>32.799152922117401</v>
      </c>
      <c r="E29" s="3259">
        <v>0.7</v>
      </c>
      <c r="F29" s="3131">
        <f t="shared" si="0"/>
        <v>1.5175996693241889</v>
      </c>
      <c r="G29" s="3240">
        <v>3.4931927076543863</v>
      </c>
    </row>
    <row r="30" spans="2:15" ht="18" customHeight="1" x14ac:dyDescent="0.2">
      <c r="B30" s="287" t="s">
        <v>757</v>
      </c>
      <c r="C30" s="2635">
        <f>SUM(C32:C39)</f>
        <v>75390.75</v>
      </c>
      <c r="D30" s="3258"/>
      <c r="E30" s="3258"/>
      <c r="F30" s="3131">
        <f t="shared" si="0"/>
        <v>0.14397392140972923</v>
      </c>
      <c r="G30" s="3128">
        <f>SUM(G32:G39)</f>
        <v>10.854301915520544</v>
      </c>
    </row>
    <row r="31" spans="2:15" ht="18" customHeight="1" x14ac:dyDescent="0.2">
      <c r="B31" s="1305" t="s">
        <v>345</v>
      </c>
      <c r="C31" s="3273"/>
      <c r="D31" s="3261"/>
      <c r="E31" s="3261"/>
      <c r="F31" s="3261"/>
      <c r="G31" s="3262"/>
    </row>
    <row r="32" spans="2:15" ht="18" customHeight="1" x14ac:dyDescent="0.2">
      <c r="B32" s="286" t="s">
        <v>758</v>
      </c>
      <c r="C32" s="3267">
        <v>8.5500000000000007</v>
      </c>
      <c r="D32" s="3263" t="s">
        <v>2147</v>
      </c>
      <c r="E32" s="3263" t="s">
        <v>2147</v>
      </c>
      <c r="F32" s="3131">
        <f t="shared" ref="F32:F40" si="1">IF(SUM(C32)=0,"NA",G32*1000/C32)</f>
        <v>75.999999999999986</v>
      </c>
      <c r="G32" s="3239">
        <v>0.64979999999999993</v>
      </c>
    </row>
    <row r="33" spans="2:7" ht="18" customHeight="1" x14ac:dyDescent="0.2">
      <c r="B33" s="286" t="s">
        <v>759</v>
      </c>
      <c r="C33" s="3267">
        <v>2.4239999999999999</v>
      </c>
      <c r="D33" s="3263" t="s">
        <v>2147</v>
      </c>
      <c r="E33" s="3263" t="s">
        <v>2147</v>
      </c>
      <c r="F33" s="3131">
        <f t="shared" si="1"/>
        <v>46.00462577128382</v>
      </c>
      <c r="G33" s="3239">
        <v>0.11151521286959198</v>
      </c>
    </row>
    <row r="34" spans="2:7" ht="18" customHeight="1" x14ac:dyDescent="0.2">
      <c r="B34" s="286" t="s">
        <v>760</v>
      </c>
      <c r="C34" s="3267">
        <v>46.076000000000001</v>
      </c>
      <c r="D34" s="3263" t="s">
        <v>2147</v>
      </c>
      <c r="E34" s="3263" t="s">
        <v>2147</v>
      </c>
      <c r="F34" s="3131">
        <f t="shared" si="1"/>
        <v>20</v>
      </c>
      <c r="G34" s="3239">
        <v>0.92152000000000001</v>
      </c>
    </row>
    <row r="35" spans="2:7" ht="18" customHeight="1" x14ac:dyDescent="0.2">
      <c r="B35" s="286" t="s">
        <v>761</v>
      </c>
      <c r="C35" s="3267">
        <v>727.69</v>
      </c>
      <c r="D35" s="3263" t="s">
        <v>2147</v>
      </c>
      <c r="E35" s="3263" t="s">
        <v>2147</v>
      </c>
      <c r="F35" s="3131">
        <f t="shared" si="1"/>
        <v>4.9999999999999991</v>
      </c>
      <c r="G35" s="3239">
        <v>3.6384499999999993</v>
      </c>
    </row>
    <row r="36" spans="2:7" ht="18" customHeight="1" x14ac:dyDescent="0.2">
      <c r="B36" s="286" t="s">
        <v>762</v>
      </c>
      <c r="C36" s="3267">
        <v>256.41500000000002</v>
      </c>
      <c r="D36" s="3263" t="s">
        <v>2147</v>
      </c>
      <c r="E36" s="3263" t="s">
        <v>2147</v>
      </c>
      <c r="F36" s="3131">
        <f t="shared" si="1"/>
        <v>18</v>
      </c>
      <c r="G36" s="3239">
        <v>4.6154700000000002</v>
      </c>
    </row>
    <row r="37" spans="2:7" ht="18" customHeight="1" x14ac:dyDescent="0.2">
      <c r="B37" s="286" t="s">
        <v>763</v>
      </c>
      <c r="C37" s="3267">
        <v>0.57599999999999996</v>
      </c>
      <c r="D37" s="3263" t="s">
        <v>2147</v>
      </c>
      <c r="E37" s="3263" t="s">
        <v>2147</v>
      </c>
      <c r="F37" s="3131">
        <f t="shared" si="1"/>
        <v>10.000154070019921</v>
      </c>
      <c r="G37" s="3239">
        <v>5.7600887443314741E-3</v>
      </c>
    </row>
    <row r="38" spans="2:7" ht="18" customHeight="1" x14ac:dyDescent="0.2">
      <c r="B38" s="286" t="s">
        <v>764</v>
      </c>
      <c r="C38" s="3274">
        <v>74230.561000000002</v>
      </c>
      <c r="D38" s="3263" t="s">
        <v>2147</v>
      </c>
      <c r="E38" s="3263" t="s">
        <v>2147</v>
      </c>
      <c r="F38" s="3131" t="s">
        <v>2147</v>
      </c>
      <c r="G38" s="3264" t="s">
        <v>2154</v>
      </c>
    </row>
    <row r="39" spans="2:7" ht="18" customHeight="1" x14ac:dyDescent="0.2">
      <c r="B39" s="286" t="s">
        <v>765</v>
      </c>
      <c r="C39" s="2635">
        <f>SUM(C40:C44)</f>
        <v>118.458</v>
      </c>
      <c r="D39" s="3258"/>
      <c r="E39" s="3258"/>
      <c r="F39" s="3131">
        <f t="shared" si="1"/>
        <v>7.6971299017932182</v>
      </c>
      <c r="G39" s="3128">
        <f>SUM(G40:G44)</f>
        <v>0.91178661390662108</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11.959</v>
      </c>
      <c r="D42" s="2967" t="s">
        <v>2147</v>
      </c>
      <c r="E42" s="2967" t="s">
        <v>2147</v>
      </c>
      <c r="F42" s="3131">
        <f t="shared" si="2"/>
        <v>5.0000165631935483</v>
      </c>
      <c r="G42" s="3201">
        <v>5.9795198079231643E-2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106.499</v>
      </c>
      <c r="D44" s="3258"/>
      <c r="E44" s="3258"/>
      <c r="F44" s="3131">
        <f>IF(SUM(C44)=0,"NA",G44*1000/C44)</f>
        <v>7.9999945147596643</v>
      </c>
      <c r="G44" s="3128">
        <f>G45</f>
        <v>0.85199141582738946</v>
      </c>
    </row>
    <row r="45" spans="2:7" ht="18" customHeight="1" thickBot="1" x14ac:dyDescent="0.25">
      <c r="B45" s="2636" t="s">
        <v>2199</v>
      </c>
      <c r="C45" s="3276">
        <v>106.499</v>
      </c>
      <c r="D45" s="3137" t="s">
        <v>2147</v>
      </c>
      <c r="E45" s="3137" t="s">
        <v>2147</v>
      </c>
      <c r="F45" s="3265">
        <f>IF(SUM(C45)=0,"NA",G45*1000/C45)</f>
        <v>7.9999945147596643</v>
      </c>
      <c r="G45" s="3203">
        <v>0.85199141582738946</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27906.764999999999</v>
      </c>
      <c r="D10" s="2942"/>
      <c r="E10" s="2942"/>
      <c r="F10" s="2942"/>
      <c r="G10" s="2942"/>
      <c r="H10" s="2942"/>
      <c r="I10" s="3279"/>
      <c r="J10" s="3280">
        <f>IF(SUM(C10)=0,"NA",K10*1000/C10)</f>
        <v>5.5842956474443293</v>
      </c>
      <c r="K10" s="3281">
        <f>K15</f>
        <v>155.83962632375176</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27906.764999999999</v>
      </c>
      <c r="D15" s="3293"/>
      <c r="E15" s="3293"/>
      <c r="F15" s="3293"/>
      <c r="G15" s="3293"/>
      <c r="H15" s="3293"/>
      <c r="I15" s="3288"/>
      <c r="J15" s="3287">
        <f>IF(SUM(C15)=0,"NA",K15*1000/C15)</f>
        <v>5.5842956474443293</v>
      </c>
      <c r="K15" s="3281">
        <f>SUM(K17:K20)</f>
        <v>155.83962632375176</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27906.764999999999</v>
      </c>
      <c r="D20" s="3293"/>
      <c r="E20" s="3293"/>
      <c r="F20" s="3293"/>
      <c r="G20" s="3293"/>
      <c r="H20" s="3293"/>
      <c r="I20" s="3288"/>
      <c r="J20" s="3301">
        <f>IF(SUM(C20)=0,"NA",K20*1000/C20)</f>
        <v>5.5842956474443293</v>
      </c>
      <c r="K20" s="3281">
        <f>SUM(K21:K23)</f>
        <v>155.83962632375176</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2612.2849999999999</v>
      </c>
      <c r="D21" s="3325">
        <v>8.6484437953745505</v>
      </c>
      <c r="E21" s="3325">
        <v>91.351326520651455</v>
      </c>
      <c r="F21" s="3325">
        <v>2.2968397399000001E-4</v>
      </c>
      <c r="G21" s="3298">
        <f>Table3.A!K10</f>
        <v>463.11151237801198</v>
      </c>
      <c r="H21" s="3299">
        <v>3.4293180458669101</v>
      </c>
      <c r="I21" s="3300">
        <v>0.24</v>
      </c>
      <c r="J21" s="3301">
        <f>IF(SUM(C21)=0,"NA",K21*1000/C21)</f>
        <v>14.129654563798024</v>
      </c>
      <c r="K21" s="3277">
        <v>36.910684672191124</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24589.460999999999</v>
      </c>
      <c r="D22" s="3325" t="s">
        <v>2146</v>
      </c>
      <c r="E22" s="3325">
        <v>83.725659241528803</v>
      </c>
      <c r="F22" s="3325">
        <v>16.274340758471201</v>
      </c>
      <c r="G22" s="3298">
        <f>Table3.A!L10</f>
        <v>362.490903112762</v>
      </c>
      <c r="H22" s="3299" t="s">
        <v>2147</v>
      </c>
      <c r="I22" s="3300" t="s">
        <v>2147</v>
      </c>
      <c r="J22" s="3301">
        <f t="shared" ref="J22:J45" si="0">IF(SUM(C22)=0,"NA",K22*1000/C22)</f>
        <v>4.7370715469328619</v>
      </c>
      <c r="K22" s="3277">
        <v>116.48203605751527</v>
      </c>
      <c r="M22" s="1594" t="s">
        <v>800</v>
      </c>
      <c r="N22" s="4486" t="s">
        <v>2196</v>
      </c>
      <c r="O22" s="1690" t="s">
        <v>802</v>
      </c>
      <c r="P22" s="1691" t="s">
        <v>791</v>
      </c>
      <c r="Q22" s="3774">
        <v>5.3280401468048897</v>
      </c>
      <c r="R22" s="300" t="s">
        <v>2146</v>
      </c>
      <c r="S22" s="3772">
        <v>4.4372321727334096</v>
      </c>
      <c r="T22" s="3772">
        <v>0.70592330020758742</v>
      </c>
      <c r="U22" s="3772" t="s">
        <v>2146</v>
      </c>
      <c r="V22" s="3772" t="s">
        <v>2153</v>
      </c>
      <c r="W22" s="3772" t="s">
        <v>2146</v>
      </c>
      <c r="X22" s="3772">
        <v>89.528804380254101</v>
      </c>
      <c r="Y22" s="301" t="s">
        <v>2146</v>
      </c>
      <c r="Z22" s="301" t="s">
        <v>2146</v>
      </c>
      <c r="AA22" s="301" t="s">
        <v>2146</v>
      </c>
      <c r="AB22" s="1306" t="s">
        <v>2146</v>
      </c>
    </row>
    <row r="23" spans="2:28" s="84" customFormat="1" ht="18" customHeight="1" x14ac:dyDescent="0.2">
      <c r="B23" s="2642" t="s">
        <v>2198</v>
      </c>
      <c r="C23" s="3325">
        <f>Table3.A!C23</f>
        <v>705.01900000000001</v>
      </c>
      <c r="D23" s="3325" t="s">
        <v>2146</v>
      </c>
      <c r="E23" s="3325">
        <v>100</v>
      </c>
      <c r="F23" s="3325" t="s">
        <v>2146</v>
      </c>
      <c r="G23" s="3298">
        <f>Table3.A!M10</f>
        <v>518.99646479664295</v>
      </c>
      <c r="H23" s="3299">
        <v>1.70828275787694</v>
      </c>
      <c r="I23" s="3300">
        <v>0.19</v>
      </c>
      <c r="J23" s="3301">
        <f t="shared" si="0"/>
        <v>3.4706945402114466</v>
      </c>
      <c r="K23" s="3277">
        <v>2.4469055940453339</v>
      </c>
      <c r="M23" s="1664" t="s">
        <v>813</v>
      </c>
      <c r="N23" s="4487"/>
      <c r="O23" s="1692" t="s">
        <v>794</v>
      </c>
      <c r="P23" s="1693" t="s">
        <v>792</v>
      </c>
      <c r="Q23" s="3776">
        <v>8.0917947986784604</v>
      </c>
      <c r="R23" s="277" t="s">
        <v>2146</v>
      </c>
      <c r="S23" s="691">
        <v>2.35990576508885</v>
      </c>
      <c r="T23" s="3147">
        <v>1.7176540863910374</v>
      </c>
      <c r="U23" s="3147" t="s">
        <v>2146</v>
      </c>
      <c r="V23" s="3147" t="s">
        <v>2153</v>
      </c>
      <c r="W23" s="3147" t="s">
        <v>2146</v>
      </c>
      <c r="X23" s="3147">
        <v>87.830645349841603</v>
      </c>
      <c r="Y23" s="278" t="s">
        <v>2146</v>
      </c>
      <c r="Z23" s="278" t="s">
        <v>2146</v>
      </c>
      <c r="AA23" s="278" t="s">
        <v>2146</v>
      </c>
      <c r="AB23" s="279" t="s">
        <v>2146</v>
      </c>
    </row>
    <row r="24" spans="2:28" s="84" customFormat="1" ht="18" customHeight="1" thickBot="1" x14ac:dyDescent="0.25">
      <c r="B24" s="1643" t="s">
        <v>811</v>
      </c>
      <c r="C24" s="4184">
        <f>C25</f>
        <v>72739.683000000005</v>
      </c>
      <c r="D24" s="3303"/>
      <c r="E24" s="3303"/>
      <c r="F24" s="3303"/>
      <c r="G24" s="3303"/>
      <c r="H24" s="3303"/>
      <c r="I24" s="3304"/>
      <c r="J24" s="3301">
        <f t="shared" si="0"/>
        <v>0.34537536952642578</v>
      </c>
      <c r="K24" s="3281">
        <f>K25</f>
        <v>25.122494895360074</v>
      </c>
      <c r="M24" s="1656"/>
      <c r="N24" s="4487"/>
      <c r="O24" s="1694"/>
      <c r="P24" s="1693" t="s">
        <v>793</v>
      </c>
      <c r="Q24" s="4208">
        <v>3.8426381790137198</v>
      </c>
      <c r="R24" s="304" t="s">
        <v>2146</v>
      </c>
      <c r="S24" s="1559">
        <v>3.0970516666677699</v>
      </c>
      <c r="T24" s="1560">
        <v>1.6006647502811555</v>
      </c>
      <c r="U24" s="1560" t="s">
        <v>2146</v>
      </c>
      <c r="V24" s="1560" t="s">
        <v>2153</v>
      </c>
      <c r="W24" s="1560" t="s">
        <v>2146</v>
      </c>
      <c r="X24" s="1560">
        <v>91.459645404037303</v>
      </c>
      <c r="Y24" s="305" t="s">
        <v>2146</v>
      </c>
      <c r="Z24" s="305" t="s">
        <v>2146</v>
      </c>
      <c r="AA24" s="305" t="s">
        <v>2146</v>
      </c>
      <c r="AB24" s="442" t="s">
        <v>2146</v>
      </c>
    </row>
    <row r="25" spans="2:28" s="84" customFormat="1" ht="18" customHeight="1" x14ac:dyDescent="0.2">
      <c r="B25" s="1644" t="s">
        <v>812</v>
      </c>
      <c r="C25" s="4184">
        <f>C26</f>
        <v>72739.683000000005</v>
      </c>
      <c r="D25" s="3250"/>
      <c r="E25" s="3250"/>
      <c r="F25" s="3250"/>
      <c r="G25" s="3250"/>
      <c r="H25" s="3250"/>
      <c r="I25" s="3260"/>
      <c r="J25" s="3301">
        <f t="shared" si="0"/>
        <v>0.34537536952642578</v>
      </c>
      <c r="K25" s="3281">
        <f>K26</f>
        <v>25.122494895360074</v>
      </c>
      <c r="M25" s="1656"/>
      <c r="N25" s="4487"/>
      <c r="O25" s="1695" t="s">
        <v>2026</v>
      </c>
      <c r="P25" s="1691" t="s">
        <v>791</v>
      </c>
      <c r="Q25" s="4209">
        <v>0.7</v>
      </c>
      <c r="R25" s="1308" t="s">
        <v>2146</v>
      </c>
      <c r="S25" s="692">
        <v>4.66875E-2</v>
      </c>
      <c r="T25" s="3141">
        <v>2.0000000000000004</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72739.683000000005</v>
      </c>
      <c r="D26" s="3325" t="s">
        <v>2146</v>
      </c>
      <c r="E26" s="3325">
        <v>100</v>
      </c>
      <c r="F26" s="3325" t="s">
        <v>2146</v>
      </c>
      <c r="G26" s="3305">
        <f>Table3.A!N10</f>
        <v>44.4635448680284</v>
      </c>
      <c r="H26" s="3033" t="s">
        <v>2147</v>
      </c>
      <c r="I26" s="3126" t="s">
        <v>2147</v>
      </c>
      <c r="J26" s="3301">
        <f t="shared" si="0"/>
        <v>0.34537536952642578</v>
      </c>
      <c r="K26" s="3277">
        <v>25.122494895360074</v>
      </c>
      <c r="M26" s="1656"/>
      <c r="N26" s="4487"/>
      <c r="O26" s="1696"/>
      <c r="P26" s="1693" t="s">
        <v>792</v>
      </c>
      <c r="Q26" s="3776">
        <v>0.74404106342847998</v>
      </c>
      <c r="R26" s="277" t="s">
        <v>2146</v>
      </c>
      <c r="S26" s="691">
        <v>7.4469873469410003E-2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2301.788</v>
      </c>
      <c r="D27" s="3250"/>
      <c r="E27" s="3250"/>
      <c r="F27" s="3250"/>
      <c r="G27" s="3250"/>
      <c r="H27" s="3250"/>
      <c r="I27" s="3260"/>
      <c r="J27" s="3301">
        <f t="shared" si="0"/>
        <v>22.146062519631819</v>
      </c>
      <c r="K27" s="3281">
        <f>K28</f>
        <v>50.975540954938289</v>
      </c>
      <c r="M27" s="1656"/>
      <c r="N27" s="4488"/>
      <c r="O27" s="1697"/>
      <c r="P27" s="1693" t="s">
        <v>793</v>
      </c>
      <c r="Q27" s="4208">
        <v>0.8</v>
      </c>
      <c r="R27" s="304" t="s">
        <v>2146</v>
      </c>
      <c r="S27" s="1559">
        <v>0.27314814814815003</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2301.788</v>
      </c>
      <c r="D28" s="3250"/>
      <c r="E28" s="3250"/>
      <c r="F28" s="3250"/>
      <c r="G28" s="3250"/>
      <c r="H28" s="3250"/>
      <c r="I28" s="3260"/>
      <c r="J28" s="3301">
        <f t="shared" si="0"/>
        <v>22.146062519631819</v>
      </c>
      <c r="K28" s="3281">
        <f>K29</f>
        <v>50.975540954938289</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2301.788</v>
      </c>
      <c r="D29" s="3325">
        <v>0.69702320757874003</v>
      </c>
      <c r="E29" s="3325">
        <v>99.302976792421262</v>
      </c>
      <c r="F29" s="3325" t="s">
        <v>2146</v>
      </c>
      <c r="G29" s="3305">
        <f>Table3.A!O10</f>
        <v>56.830799964344102</v>
      </c>
      <c r="H29" s="3033">
        <v>0.37139596834395999</v>
      </c>
      <c r="I29" s="3126">
        <v>0.45</v>
      </c>
      <c r="J29" s="3301">
        <f t="shared" si="0"/>
        <v>22.146062519631819</v>
      </c>
      <c r="K29" s="3277">
        <v>50.975540954938289</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75390.75</v>
      </c>
      <c r="D30" s="3250"/>
      <c r="E30" s="3250"/>
      <c r="F30" s="3250"/>
      <c r="G30" s="3250"/>
      <c r="H30" s="3250"/>
      <c r="I30" s="3260"/>
      <c r="J30" s="3301">
        <f t="shared" si="0"/>
        <v>5.2412924421493166E-2</v>
      </c>
      <c r="K30" s="3281">
        <f>SUM(K32:K39)</f>
        <v>3.9514496818296863</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8.5500000000000007</v>
      </c>
      <c r="D32" s="3325" t="s">
        <v>2146</v>
      </c>
      <c r="E32" s="3325">
        <v>54.748538011695913</v>
      </c>
      <c r="F32" s="3325">
        <v>45.251461988304087</v>
      </c>
      <c r="G32" s="3307" t="s">
        <v>2147</v>
      </c>
      <c r="H32" s="3307" t="s">
        <v>2147</v>
      </c>
      <c r="I32" s="3307" t="s">
        <v>2147</v>
      </c>
      <c r="J32" s="3301">
        <f t="shared" si="0"/>
        <v>6.8778455478695459</v>
      </c>
      <c r="K32" s="3277">
        <v>5.8805579434284626E-2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2.4239999999999999</v>
      </c>
      <c r="D33" s="3325" t="s">
        <v>2146</v>
      </c>
      <c r="E33" s="3325">
        <v>20.595676696243999</v>
      </c>
      <c r="F33" s="3325">
        <v>79.404323303756001</v>
      </c>
      <c r="G33" s="3307" t="s">
        <v>2147</v>
      </c>
      <c r="H33" s="3307" t="s">
        <v>2147</v>
      </c>
      <c r="I33" s="3307" t="s">
        <v>2147</v>
      </c>
      <c r="J33" s="3287">
        <f t="shared" si="0"/>
        <v>9.805857395657025</v>
      </c>
      <c r="K33" s="3277">
        <v>2.376939832707263E-2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46.076000000000001</v>
      </c>
      <c r="D34" s="3325" t="s">
        <v>2146</v>
      </c>
      <c r="E34" s="3325">
        <v>97.718986023092285</v>
      </c>
      <c r="F34" s="3325">
        <v>2.2810139769077198</v>
      </c>
      <c r="G34" s="3307" t="s">
        <v>2147</v>
      </c>
      <c r="H34" s="3307" t="s">
        <v>2147</v>
      </c>
      <c r="I34" s="3307" t="s">
        <v>2147</v>
      </c>
      <c r="J34" s="3287">
        <f t="shared" si="0"/>
        <v>1.0650400198254624</v>
      </c>
      <c r="K34" s="3277">
        <v>4.9072783953478E-2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727.69</v>
      </c>
      <c r="D35" s="3325" t="s">
        <v>2146</v>
      </c>
      <c r="E35" s="3325">
        <v>99.949978699721044</v>
      </c>
      <c r="F35" s="3325">
        <v>5.0021300278959999E-2</v>
      </c>
      <c r="G35" s="3307" t="s">
        <v>2147</v>
      </c>
      <c r="H35" s="3307" t="s">
        <v>2147</v>
      </c>
      <c r="I35" s="3307" t="s">
        <v>2147</v>
      </c>
      <c r="J35" s="3287">
        <f t="shared" si="0"/>
        <v>0.35783322759005864</v>
      </c>
      <c r="K35" s="3277">
        <v>0.2603916613850098</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256.41500000000002</v>
      </c>
      <c r="D36" s="3325" t="s">
        <v>2146</v>
      </c>
      <c r="E36" s="3325">
        <v>97.826570208451145</v>
      </c>
      <c r="F36" s="3325">
        <v>2.1734297915488598</v>
      </c>
      <c r="G36" s="3307" t="s">
        <v>2147</v>
      </c>
      <c r="H36" s="3307" t="s">
        <v>2147</v>
      </c>
      <c r="I36" s="3307" t="s">
        <v>2147</v>
      </c>
      <c r="J36" s="3287">
        <f t="shared" si="0"/>
        <v>3.1858996989750477</v>
      </c>
      <c r="K36" s="3277">
        <v>0.81691247131268685</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0.57599999999999996</v>
      </c>
      <c r="D37" s="3325" t="s">
        <v>2146</v>
      </c>
      <c r="E37" s="3325">
        <v>89.911606581534897</v>
      </c>
      <c r="F37" s="3325">
        <v>10.088393418465101</v>
      </c>
      <c r="G37" s="3307" t="s">
        <v>2147</v>
      </c>
      <c r="H37" s="3307" t="s">
        <v>2147</v>
      </c>
      <c r="I37" s="3307" t="s">
        <v>2147</v>
      </c>
      <c r="J37" s="3287">
        <f t="shared" si="0"/>
        <v>1.2881002461149915</v>
      </c>
      <c r="K37" s="3277">
        <v>7.4194574176223501E-4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74230.561000000002</v>
      </c>
      <c r="D38" s="3325">
        <v>0.93883772156324996</v>
      </c>
      <c r="E38" s="3325">
        <v>99.061162278436754</v>
      </c>
      <c r="F38" s="3325" t="s">
        <v>2146</v>
      </c>
      <c r="G38" s="3307" t="s">
        <v>2147</v>
      </c>
      <c r="H38" s="3307" t="s">
        <v>2147</v>
      </c>
      <c r="I38" s="3307" t="s">
        <v>2147</v>
      </c>
      <c r="J38" s="3287">
        <f t="shared" si="0"/>
        <v>3.6365455180401615E-2</v>
      </c>
      <c r="K38" s="3277">
        <v>2.6994281390615682</v>
      </c>
      <c r="M38" s="1656"/>
      <c r="N38" s="4487"/>
      <c r="O38" s="1696"/>
      <c r="P38" s="1693" t="s">
        <v>792</v>
      </c>
      <c r="Q38" s="3776">
        <v>0.76316480488177996</v>
      </c>
      <c r="R38" s="277" t="s">
        <v>2146</v>
      </c>
      <c r="S38" s="277" t="s">
        <v>2146</v>
      </c>
      <c r="T38" s="3147" t="s">
        <v>2153</v>
      </c>
      <c r="U38" s="3147" t="s">
        <v>2146</v>
      </c>
      <c r="V38" s="3147">
        <v>2.169069151415429E-2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118.458</v>
      </c>
      <c r="D39" s="3294"/>
      <c r="E39" s="3294"/>
      <c r="F39" s="3294"/>
      <c r="G39" s="3294"/>
      <c r="H39" s="3294"/>
      <c r="I39" s="3295"/>
      <c r="J39" s="3287">
        <f t="shared" si="0"/>
        <v>0.35732244857944584</v>
      </c>
      <c r="K39" s="3281">
        <f>SUM(K40:K44)</f>
        <v>4.2327702613823993E-2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59.9</v>
      </c>
      <c r="R40" s="300" t="s">
        <v>2146</v>
      </c>
      <c r="S40" s="300" t="s">
        <v>2146</v>
      </c>
      <c r="T40" s="3773" t="s">
        <v>2153</v>
      </c>
      <c r="U40" s="3773" t="s">
        <v>2153</v>
      </c>
      <c r="V40" s="3773">
        <v>36.1</v>
      </c>
      <c r="W40" s="3773" t="s">
        <v>2153</v>
      </c>
      <c r="X40" s="301" t="s">
        <v>2146</v>
      </c>
      <c r="Y40" s="301" t="s">
        <v>2146</v>
      </c>
      <c r="Z40" s="3773" t="s">
        <v>2146</v>
      </c>
      <c r="AA40" s="301" t="s">
        <v>2146</v>
      </c>
      <c r="AB40" s="3775">
        <v>32.5</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68.365908913355199</v>
      </c>
      <c r="R41" s="277" t="s">
        <v>2146</v>
      </c>
      <c r="S41" s="277" t="s">
        <v>2146</v>
      </c>
      <c r="T41" s="3147" t="s">
        <v>2153</v>
      </c>
      <c r="U41" s="3147" t="s">
        <v>2153</v>
      </c>
      <c r="V41" s="3147">
        <v>28.075817505184773</v>
      </c>
      <c r="W41" s="3147" t="s">
        <v>2153</v>
      </c>
      <c r="X41" s="278" t="s">
        <v>2146</v>
      </c>
      <c r="Y41" s="278" t="s">
        <v>2146</v>
      </c>
      <c r="Z41" s="3147">
        <v>0.61175490407449995</v>
      </c>
      <c r="AA41" s="278" t="s">
        <v>2146</v>
      </c>
      <c r="AB41" s="2911">
        <v>23.813831702320101</v>
      </c>
    </row>
    <row r="42" spans="2:28" s="84" customFormat="1" ht="18" customHeight="1" thickBot="1" x14ac:dyDescent="0.25">
      <c r="B42" s="350" t="s">
        <v>828</v>
      </c>
      <c r="C42" s="3307">
        <f>Table3.A!C42</f>
        <v>11.959</v>
      </c>
      <c r="D42" s="3325" t="s">
        <v>2146</v>
      </c>
      <c r="E42" s="3325">
        <v>100</v>
      </c>
      <c r="F42" s="3325" t="s">
        <v>2146</v>
      </c>
      <c r="G42" s="3307" t="s">
        <v>2147</v>
      </c>
      <c r="H42" s="3307" t="s">
        <v>2147</v>
      </c>
      <c r="I42" s="3307" t="s">
        <v>2147</v>
      </c>
      <c r="J42" s="3287">
        <f t="shared" si="0"/>
        <v>0.35732373302664505</v>
      </c>
      <c r="K42" s="3277">
        <v>4.2732345232656477E-3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1.8337950138504155</v>
      </c>
      <c r="W43" s="3773" t="s">
        <v>2153</v>
      </c>
      <c r="X43" s="301" t="s">
        <v>2146</v>
      </c>
      <c r="Y43" s="301" t="s">
        <v>2146</v>
      </c>
      <c r="Z43" s="3773" t="s">
        <v>2146</v>
      </c>
      <c r="AA43" s="301" t="s">
        <v>2146</v>
      </c>
      <c r="AB43" s="3775">
        <v>3.9230769230769999E-2</v>
      </c>
    </row>
    <row r="44" spans="2:28" s="84" customFormat="1" ht="18" customHeight="1" x14ac:dyDescent="0.2">
      <c r="B44" s="2644" t="s">
        <v>2091</v>
      </c>
      <c r="C44" s="4184">
        <f>C45</f>
        <v>106.499</v>
      </c>
      <c r="D44" s="3294"/>
      <c r="E44" s="3294"/>
      <c r="F44" s="3294"/>
      <c r="G44" s="3294"/>
      <c r="H44" s="3294"/>
      <c r="I44" s="3295"/>
      <c r="J44" s="3287">
        <f t="shared" si="0"/>
        <v>0.35732230434612855</v>
      </c>
      <c r="K44" s="3281">
        <f>K45</f>
        <v>3.8054468090558347E-2</v>
      </c>
      <c r="M44" s="4491"/>
      <c r="N44" s="4492"/>
      <c r="O44" s="1696"/>
      <c r="P44" s="1693" t="s">
        <v>792</v>
      </c>
      <c r="Q44" s="3776">
        <v>0.75547078202675</v>
      </c>
      <c r="R44" s="277" t="s">
        <v>2146</v>
      </c>
      <c r="S44" s="277" t="s">
        <v>2146</v>
      </c>
      <c r="T44" s="3147" t="s">
        <v>2153</v>
      </c>
      <c r="U44" s="3147" t="s">
        <v>2153</v>
      </c>
      <c r="V44" s="3147">
        <v>1.90080659493241</v>
      </c>
      <c r="W44" s="3147" t="s">
        <v>2153</v>
      </c>
      <c r="X44" s="278" t="s">
        <v>2146</v>
      </c>
      <c r="Y44" s="278" t="s">
        <v>2146</v>
      </c>
      <c r="Z44" s="3147">
        <v>0.1</v>
      </c>
      <c r="AA44" s="278" t="s">
        <v>2146</v>
      </c>
      <c r="AB44" s="2911">
        <v>3.9444059747650001E-2</v>
      </c>
    </row>
    <row r="45" spans="2:28" s="84" customFormat="1" ht="18" customHeight="1" thickBot="1" x14ac:dyDescent="0.25">
      <c r="B45" s="2648" t="s">
        <v>2199</v>
      </c>
      <c r="C45" s="4186">
        <f>Table3.A!C45</f>
        <v>106.499</v>
      </c>
      <c r="D45" s="3040" t="s">
        <v>2146</v>
      </c>
      <c r="E45" s="3040">
        <v>100</v>
      </c>
      <c r="F45" s="3040" t="s">
        <v>2146</v>
      </c>
      <c r="G45" s="3040" t="s">
        <v>2147</v>
      </c>
      <c r="H45" s="3040" t="s">
        <v>2147</v>
      </c>
      <c r="I45" s="3308" t="s">
        <v>2147</v>
      </c>
      <c r="J45" s="3309">
        <f t="shared" si="0"/>
        <v>0.35732230434612855</v>
      </c>
      <c r="K45" s="3278">
        <v>3.8054468090558347E-2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46.130688115125743</v>
      </c>
      <c r="U46" s="3773" t="s">
        <v>2146</v>
      </c>
      <c r="V46" s="3773" t="s">
        <v>2146</v>
      </c>
      <c r="W46" s="3773" t="s">
        <v>2153</v>
      </c>
      <c r="X46" s="3773">
        <v>0.94881422103360002</v>
      </c>
      <c r="Y46" s="3773">
        <v>18.521841134456501</v>
      </c>
      <c r="Z46" s="3773">
        <v>0.34945810944833999</v>
      </c>
      <c r="AA46" s="301" t="s">
        <v>2146</v>
      </c>
      <c r="AB46" s="3775">
        <v>99.051185778966399</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43.369801143525649</v>
      </c>
      <c r="U47" s="3147" t="s">
        <v>2146</v>
      </c>
      <c r="V47" s="3147" t="s">
        <v>2146</v>
      </c>
      <c r="W47" s="3147" t="s">
        <v>2153</v>
      </c>
      <c r="X47" s="3147">
        <v>0.96620365252361995</v>
      </c>
      <c r="Y47" s="3147">
        <v>19.0906059649163</v>
      </c>
      <c r="Z47" s="3147">
        <v>0.23073611330811</v>
      </c>
      <c r="AA47" s="278" t="s">
        <v>2146</v>
      </c>
      <c r="AB47" s="2911">
        <v>99.033796347476397</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1.9999999999999997E-2</v>
      </c>
      <c r="U50" s="3147" t="s">
        <v>2146</v>
      </c>
      <c r="V50" s="3147" t="s">
        <v>2146</v>
      </c>
      <c r="W50" s="3147" t="s">
        <v>2153</v>
      </c>
      <c r="X50" s="3147">
        <v>1.3995539989429999E-2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27906.764999999999</v>
      </c>
      <c r="D10" s="3490"/>
      <c r="E10" s="3491"/>
      <c r="F10" s="3478">
        <f>F15</f>
        <v>27028359.563025966</v>
      </c>
      <c r="G10" s="3478" t="str">
        <f t="shared" ref="G10:R10" si="0">G15</f>
        <v>NO</v>
      </c>
      <c r="H10" s="3478">
        <f t="shared" si="0"/>
        <v>8341611.2421478704</v>
      </c>
      <c r="I10" s="3478">
        <f t="shared" si="0"/>
        <v>5391237.1600991832</v>
      </c>
      <c r="J10" s="3478" t="str">
        <f t="shared" si="0"/>
        <v>NO</v>
      </c>
      <c r="K10" s="3478">
        <f t="shared" si="0"/>
        <v>60272939.45475667</v>
      </c>
      <c r="L10" s="3478">
        <f t="shared" si="0"/>
        <v>7167855.9600348044</v>
      </c>
      <c r="M10" s="3478">
        <f t="shared" si="0"/>
        <v>1159465644.733753</v>
      </c>
      <c r="N10" s="3478">
        <f t="shared" si="0"/>
        <v>7167855.9600348044</v>
      </c>
      <c r="O10" s="3478" t="str">
        <f t="shared" si="0"/>
        <v>NO</v>
      </c>
      <c r="P10" s="3478" t="str">
        <f t="shared" si="0"/>
        <v>NO</v>
      </c>
      <c r="Q10" s="3478" t="str">
        <f t="shared" si="0"/>
        <v>NO</v>
      </c>
      <c r="R10" s="3478">
        <f t="shared" si="0"/>
        <v>1274835504.0738523</v>
      </c>
      <c r="S10" s="2651"/>
      <c r="T10" s="2652"/>
      <c r="U10" s="3456">
        <f>IF(SUM(X10)=0,"NA",X10*1000/C10)</f>
        <v>2.3652108524800711E-2</v>
      </c>
      <c r="V10" s="3448"/>
      <c r="W10" s="3449"/>
      <c r="X10" s="3311">
        <f t="shared" ref="X10" si="1">X15</f>
        <v>0.66005383435611009</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27906.764999999999</v>
      </c>
      <c r="D15" s="3493"/>
      <c r="E15" s="3493"/>
      <c r="F15" s="2649">
        <f>F20</f>
        <v>27028359.563025966</v>
      </c>
      <c r="G15" s="2649" t="str">
        <f t="shared" ref="G15:R15" si="2">G20</f>
        <v>NO</v>
      </c>
      <c r="H15" s="2649">
        <f t="shared" si="2"/>
        <v>8341611.2421478704</v>
      </c>
      <c r="I15" s="2649">
        <f t="shared" si="2"/>
        <v>5391237.1600991832</v>
      </c>
      <c r="J15" s="2649" t="str">
        <f t="shared" si="2"/>
        <v>NO</v>
      </c>
      <c r="K15" s="2649">
        <f t="shared" si="2"/>
        <v>60272939.45475667</v>
      </c>
      <c r="L15" s="2649">
        <f t="shared" si="2"/>
        <v>7167855.9600348044</v>
      </c>
      <c r="M15" s="2649">
        <f t="shared" si="2"/>
        <v>1159465644.733753</v>
      </c>
      <c r="N15" s="2649">
        <f t="shared" si="2"/>
        <v>7167855.9600348044</v>
      </c>
      <c r="O15" s="2649" t="str">
        <f t="shared" si="2"/>
        <v>NO</v>
      </c>
      <c r="P15" s="2649" t="str">
        <f t="shared" si="2"/>
        <v>NO</v>
      </c>
      <c r="Q15" s="2649" t="str">
        <f t="shared" si="2"/>
        <v>NO</v>
      </c>
      <c r="R15" s="2649">
        <f t="shared" si="2"/>
        <v>1274835504.0738523</v>
      </c>
      <c r="S15" s="2657"/>
      <c r="T15" s="2658"/>
      <c r="U15" s="3456">
        <f>IF(SUM(X15)=0,"NA",X15*1000/C15)</f>
        <v>2.3652108524800711E-2</v>
      </c>
      <c r="V15" s="3454"/>
      <c r="W15" s="3455"/>
      <c r="X15" s="3314">
        <f t="shared" ref="X15" si="3">X20</f>
        <v>0.66005383435611009</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27906.764999999999</v>
      </c>
      <c r="D20" s="3492"/>
      <c r="E20" s="3492"/>
      <c r="F20" s="2649">
        <f>IF(SUM(F21:F23)=0,"NO",SUM(F21:F23))</f>
        <v>27028359.563025966</v>
      </c>
      <c r="G20" s="2649" t="str">
        <f t="shared" ref="G20:Q20" si="6">IF(SUM(G21:G23)=0,"NO",SUM(G21:G23))</f>
        <v>NO</v>
      </c>
      <c r="H20" s="2649">
        <f t="shared" si="6"/>
        <v>8341611.2421478704</v>
      </c>
      <c r="I20" s="2649">
        <f t="shared" si="6"/>
        <v>5391237.1600991832</v>
      </c>
      <c r="J20" s="2649" t="str">
        <f t="shared" si="6"/>
        <v>NO</v>
      </c>
      <c r="K20" s="2649">
        <f t="shared" si="6"/>
        <v>60272939.45475667</v>
      </c>
      <c r="L20" s="2649">
        <f t="shared" si="6"/>
        <v>7167855.9600348044</v>
      </c>
      <c r="M20" s="2649">
        <f t="shared" si="6"/>
        <v>1159465644.733753</v>
      </c>
      <c r="N20" s="2649">
        <f t="shared" si="6"/>
        <v>7167855.9600348044</v>
      </c>
      <c r="O20" s="2649" t="str">
        <f t="shared" si="6"/>
        <v>NO</v>
      </c>
      <c r="P20" s="2649" t="str">
        <f t="shared" si="6"/>
        <v>NO</v>
      </c>
      <c r="Q20" s="2649" t="str">
        <f t="shared" si="6"/>
        <v>NO</v>
      </c>
      <c r="R20" s="3482">
        <f>IF(SUM(F20:Q20)=0,"NO",SUM(F20:Q20))</f>
        <v>1274835504.0738523</v>
      </c>
      <c r="S20" s="2657"/>
      <c r="T20" s="2658"/>
      <c r="U20" s="3456">
        <f t="shared" si="4"/>
        <v>2.3652108524800711E-2</v>
      </c>
      <c r="V20" s="3454"/>
      <c r="W20" s="3455"/>
      <c r="X20" s="3314">
        <f t="shared" ref="X20" si="7">IF(SUM(X21:X23)=0,"NO",SUM(X21:X23))</f>
        <v>0.66005383435611009</v>
      </c>
      <c r="Y20" s="3173"/>
      <c r="Z20" s="3457"/>
    </row>
    <row r="21" spans="2:26" ht="18" customHeight="1" x14ac:dyDescent="0.2">
      <c r="B21" s="2647" t="s">
        <v>2196</v>
      </c>
      <c r="C21" s="3495">
        <f>Table3.A!C21</f>
        <v>2612.2849999999999</v>
      </c>
      <c r="D21" s="3307">
        <v>129.17215106294853</v>
      </c>
      <c r="E21" s="3494">
        <f>'Table3.B(a)'!G21</f>
        <v>463.11151237801198</v>
      </c>
      <c r="F21" s="3479">
        <v>26126792.863186501</v>
      </c>
      <c r="G21" s="3479" t="s">
        <v>2146</v>
      </c>
      <c r="H21" s="3479">
        <v>8341611.2421478704</v>
      </c>
      <c r="I21" s="3479">
        <v>5391237.1600991832</v>
      </c>
      <c r="J21" s="3479" t="s">
        <v>2146</v>
      </c>
      <c r="K21" s="3479" t="s">
        <v>2153</v>
      </c>
      <c r="L21" s="3479" t="s">
        <v>2146</v>
      </c>
      <c r="M21" s="3479">
        <v>297574831.37404102</v>
      </c>
      <c r="N21" s="3479" t="s">
        <v>2146</v>
      </c>
      <c r="O21" s="3479" t="s">
        <v>2146</v>
      </c>
      <c r="P21" s="3479" t="s">
        <v>2146</v>
      </c>
      <c r="Q21" s="3479" t="s">
        <v>2146</v>
      </c>
      <c r="R21" s="3482">
        <f t="shared" ref="R21:R45" si="8">IF(SUM(F21:Q21)=0,"NO",SUM(F21:Q21))</f>
        <v>337434472.63947457</v>
      </c>
      <c r="S21" s="2657"/>
      <c r="T21" s="2658"/>
      <c r="U21" s="3456">
        <f t="shared" si="4"/>
        <v>1.6215581586096629E-2</v>
      </c>
      <c r="V21" s="3454"/>
      <c r="W21" s="3455"/>
      <c r="X21" s="3315">
        <v>4.2359720543636431E-2</v>
      </c>
      <c r="Y21" s="3173"/>
      <c r="Z21" s="3457"/>
    </row>
    <row r="22" spans="2:26" ht="18" customHeight="1" x14ac:dyDescent="0.2">
      <c r="B22" s="2647" t="s">
        <v>2197</v>
      </c>
      <c r="C22" s="3495">
        <f>Table3.A!C22</f>
        <v>24589.460999999999</v>
      </c>
      <c r="D22" s="3307">
        <v>35.05122814594241</v>
      </c>
      <c r="E22" s="3494">
        <f>'Table3.B(a)'!G22</f>
        <v>362.490903112762</v>
      </c>
      <c r="F22" s="3483" t="s">
        <v>2146</v>
      </c>
      <c r="G22" s="3479" t="s">
        <v>2146</v>
      </c>
      <c r="H22" s="3483" t="s">
        <v>2146</v>
      </c>
      <c r="I22" s="3483" t="s">
        <v>2146</v>
      </c>
      <c r="J22" s="3483" t="s">
        <v>2146</v>
      </c>
      <c r="K22" s="3483" t="s">
        <v>2146</v>
      </c>
      <c r="L22" s="3483" t="s">
        <v>2146</v>
      </c>
      <c r="M22" s="3483">
        <v>861890813.359712</v>
      </c>
      <c r="N22" s="3483" t="s">
        <v>2146</v>
      </c>
      <c r="O22" s="3483" t="s">
        <v>2146</v>
      </c>
      <c r="P22" s="3483" t="s">
        <v>2146</v>
      </c>
      <c r="Q22" s="3483" t="s">
        <v>2146</v>
      </c>
      <c r="R22" s="3482">
        <f t="shared" si="8"/>
        <v>861890813.359712</v>
      </c>
      <c r="S22" s="2657"/>
      <c r="T22" s="2658"/>
      <c r="U22" s="3456" t="str">
        <f>IF(SUM(X22)=0,"NA",X22*1000/C22)</f>
        <v>NA</v>
      </c>
      <c r="V22" s="3454"/>
      <c r="W22" s="3455"/>
      <c r="X22" s="3315" t="s">
        <v>2147</v>
      </c>
      <c r="Y22" s="3173"/>
      <c r="Z22" s="3457"/>
    </row>
    <row r="23" spans="2:26" ht="18" customHeight="1" x14ac:dyDescent="0.2">
      <c r="B23" s="2647" t="s">
        <v>2198</v>
      </c>
      <c r="C23" s="3495">
        <f>Table3.A!C23</f>
        <v>705.01900000000001</v>
      </c>
      <c r="D23" s="3307">
        <v>71.043529273910679</v>
      </c>
      <c r="E23" s="3494">
        <f>'Table3.B(a)'!G23</f>
        <v>518.99646479664295</v>
      </c>
      <c r="F23" s="3483">
        <v>901566.69983946695</v>
      </c>
      <c r="G23" s="3479" t="s">
        <v>2146</v>
      </c>
      <c r="H23" s="3483" t="s">
        <v>2146</v>
      </c>
      <c r="I23" s="3483" t="s">
        <v>2153</v>
      </c>
      <c r="J23" s="3483" t="s">
        <v>2153</v>
      </c>
      <c r="K23" s="3483">
        <v>60272939.45475667</v>
      </c>
      <c r="L23" s="3483">
        <v>7167855.9600348044</v>
      </c>
      <c r="M23" s="3483" t="s">
        <v>2146</v>
      </c>
      <c r="N23" s="3483">
        <v>7167855.9600348044</v>
      </c>
      <c r="O23" s="3483" t="s">
        <v>2146</v>
      </c>
      <c r="P23" s="3483" t="s">
        <v>2146</v>
      </c>
      <c r="Q23" s="3483" t="s">
        <v>2146</v>
      </c>
      <c r="R23" s="3482">
        <f t="shared" si="8"/>
        <v>75510218.07466574</v>
      </c>
      <c r="S23" s="2657"/>
      <c r="T23" s="2658"/>
      <c r="U23" s="3456">
        <f t="shared" ref="U23:U30" si="9">IF(SUM(X23)=0,"NA",X23*1000/C23)</f>
        <v>0.87613825132723189</v>
      </c>
      <c r="V23" s="3454"/>
      <c r="W23" s="3455"/>
      <c r="X23" s="3315">
        <v>0.61769411381247363</v>
      </c>
      <c r="Y23" s="3173"/>
      <c r="Z23" s="3457"/>
    </row>
    <row r="24" spans="2:26" ht="18" customHeight="1" x14ac:dyDescent="0.2">
      <c r="B24" s="351" t="s">
        <v>811</v>
      </c>
      <c r="C24" s="3314">
        <f>C25</f>
        <v>72739.683000000005</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502013889.90311402</v>
      </c>
      <c r="N24" s="2649" t="str">
        <f t="shared" si="10"/>
        <v>NO</v>
      </c>
      <c r="O24" s="2649" t="str">
        <f t="shared" si="10"/>
        <v>NO</v>
      </c>
      <c r="P24" s="2649" t="str">
        <f t="shared" si="10"/>
        <v>NO</v>
      </c>
      <c r="Q24" s="2649" t="str">
        <f t="shared" si="10"/>
        <v>NO</v>
      </c>
      <c r="R24" s="3482">
        <f t="shared" si="8"/>
        <v>502013889.90311402</v>
      </c>
      <c r="S24" s="2657"/>
      <c r="T24" s="2658"/>
      <c r="U24" s="3456" t="str">
        <f t="shared" si="9"/>
        <v>NA</v>
      </c>
      <c r="V24" s="3454"/>
      <c r="W24" s="3455"/>
      <c r="X24" s="3314" t="str">
        <f t="shared" ref="X24:X25" si="11">X25</f>
        <v>NA</v>
      </c>
      <c r="Y24" s="3173"/>
      <c r="Z24" s="3457"/>
    </row>
    <row r="25" spans="2:26" ht="18" customHeight="1" x14ac:dyDescent="0.2">
      <c r="B25" s="350" t="s">
        <v>812</v>
      </c>
      <c r="C25" s="3314">
        <f>C26</f>
        <v>72739.683000000005</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502013889.90311402</v>
      </c>
      <c r="N25" s="2649" t="str">
        <f t="shared" si="10"/>
        <v>NO</v>
      </c>
      <c r="O25" s="2649" t="str">
        <f t="shared" si="10"/>
        <v>NO</v>
      </c>
      <c r="P25" s="2649" t="str">
        <f t="shared" si="10"/>
        <v>NO</v>
      </c>
      <c r="Q25" s="2649" t="str">
        <f t="shared" si="10"/>
        <v>NO</v>
      </c>
      <c r="R25" s="3482">
        <f t="shared" si="8"/>
        <v>502013889.90311402</v>
      </c>
      <c r="S25" s="2657"/>
      <c r="T25" s="2658"/>
      <c r="U25" s="3456" t="str">
        <f t="shared" si="9"/>
        <v>NA</v>
      </c>
      <c r="V25" s="3454"/>
      <c r="W25" s="3455"/>
      <c r="X25" s="3314" t="str">
        <f t="shared" si="11"/>
        <v>NA</v>
      </c>
      <c r="Y25" s="3173"/>
      <c r="Z25" s="3457"/>
    </row>
    <row r="26" spans="2:26" ht="18" customHeight="1" x14ac:dyDescent="0.2">
      <c r="B26" s="2642" t="s">
        <v>2201</v>
      </c>
      <c r="C26" s="3495">
        <f>Table3.A!C26</f>
        <v>72739.683000000005</v>
      </c>
      <c r="D26" s="3307">
        <v>6.9015133033108444</v>
      </c>
      <c r="E26" s="3494">
        <f>'Table3.B(a)'!G26</f>
        <v>44.4635448680284</v>
      </c>
      <c r="F26" s="3483" t="s">
        <v>2146</v>
      </c>
      <c r="G26" s="3479" t="s">
        <v>2146</v>
      </c>
      <c r="H26" s="3483" t="s">
        <v>2146</v>
      </c>
      <c r="I26" s="3483" t="s">
        <v>2146</v>
      </c>
      <c r="J26" s="3483" t="s">
        <v>2146</v>
      </c>
      <c r="K26" s="3483" t="s">
        <v>2146</v>
      </c>
      <c r="L26" s="3483" t="s">
        <v>2146</v>
      </c>
      <c r="M26" s="3479">
        <v>502013889.90311402</v>
      </c>
      <c r="N26" s="3483" t="s">
        <v>2146</v>
      </c>
      <c r="O26" s="3483" t="s">
        <v>2146</v>
      </c>
      <c r="P26" s="3483" t="s">
        <v>2146</v>
      </c>
      <c r="Q26" s="3483" t="s">
        <v>2146</v>
      </c>
      <c r="R26" s="3482">
        <f t="shared" si="8"/>
        <v>502013889.90311402</v>
      </c>
      <c r="S26" s="2657"/>
      <c r="T26" s="2658"/>
      <c r="U26" s="3456" t="str">
        <f t="shared" si="9"/>
        <v>NA</v>
      </c>
      <c r="V26" s="3454"/>
      <c r="W26" s="3455"/>
      <c r="X26" s="3315" t="s">
        <v>2147</v>
      </c>
      <c r="Y26" s="3173"/>
      <c r="Z26" s="3457"/>
    </row>
    <row r="27" spans="2:26" ht="18" customHeight="1" x14ac:dyDescent="0.2">
      <c r="B27" s="351" t="s">
        <v>814</v>
      </c>
      <c r="C27" s="3314">
        <f>C28</f>
        <v>2301.788</v>
      </c>
      <c r="D27" s="3492"/>
      <c r="E27" s="3492"/>
      <c r="F27" s="2649">
        <f>F28</f>
        <v>23615382.925584801</v>
      </c>
      <c r="G27" s="2649" t="str">
        <f t="shared" ref="G27:G28" si="12">G28</f>
        <v>NO</v>
      </c>
      <c r="H27" s="2649" t="str">
        <f t="shared" ref="H27:H28" si="13">H28</f>
        <v>NO</v>
      </c>
      <c r="I27" s="2649" t="str">
        <f t="shared" ref="I27:I28" si="14">I28</f>
        <v>IE</v>
      </c>
      <c r="J27" s="2649" t="str">
        <f t="shared" ref="J27:J28" si="15">J28</f>
        <v>IE</v>
      </c>
      <c r="K27" s="2649">
        <f t="shared" ref="K27:K28" si="16">K28</f>
        <v>9021499.2099523507</v>
      </c>
      <c r="L27" s="2649" t="str">
        <f t="shared" ref="L27:L28" si="17">L28</f>
        <v>IE</v>
      </c>
      <c r="M27" s="2649" t="str">
        <f t="shared" ref="M27:M28" si="18">M28</f>
        <v>NO</v>
      </c>
      <c r="N27" s="2649" t="str">
        <f t="shared" ref="N27:N28" si="19">N28</f>
        <v>NO</v>
      </c>
      <c r="O27" s="2649">
        <f t="shared" ref="O27:O28" si="20">O28</f>
        <v>211579.65875999999</v>
      </c>
      <c r="P27" s="2649" t="str">
        <f t="shared" ref="P27:P28" si="21">P28</f>
        <v>NO</v>
      </c>
      <c r="Q27" s="2649">
        <f t="shared" ref="Q27:Q28" si="22">Q28</f>
        <v>8216995.3547368702</v>
      </c>
      <c r="R27" s="3482">
        <f t="shared" si="8"/>
        <v>41065457.149034023</v>
      </c>
      <c r="S27" s="2657"/>
      <c r="T27" s="2658"/>
      <c r="U27" s="3456">
        <f t="shared" si="9"/>
        <v>0.10160060728989941</v>
      </c>
      <c r="V27" s="3454"/>
      <c r="W27" s="3455"/>
      <c r="X27" s="3314">
        <f t="shared" ref="X27:X28" si="23">X28</f>
        <v>0.23386305865260298</v>
      </c>
      <c r="Y27" s="3173"/>
      <c r="Z27" s="3457"/>
    </row>
    <row r="28" spans="2:26" ht="18" customHeight="1" x14ac:dyDescent="0.2">
      <c r="B28" s="350" t="s">
        <v>815</v>
      </c>
      <c r="C28" s="3314">
        <f>C29</f>
        <v>2301.788</v>
      </c>
      <c r="D28" s="3492"/>
      <c r="E28" s="3492"/>
      <c r="F28" s="2649">
        <f>F29</f>
        <v>23615382.925584801</v>
      </c>
      <c r="G28" s="2649" t="str">
        <f t="shared" si="12"/>
        <v>NO</v>
      </c>
      <c r="H28" s="2649" t="str">
        <f t="shared" si="13"/>
        <v>NO</v>
      </c>
      <c r="I28" s="2649" t="str">
        <f t="shared" si="14"/>
        <v>IE</v>
      </c>
      <c r="J28" s="2649" t="str">
        <f t="shared" si="15"/>
        <v>IE</v>
      </c>
      <c r="K28" s="2649">
        <f t="shared" si="16"/>
        <v>9021499.2099523507</v>
      </c>
      <c r="L28" s="2649" t="str">
        <f t="shared" si="17"/>
        <v>IE</v>
      </c>
      <c r="M28" s="2649" t="str">
        <f t="shared" si="18"/>
        <v>NO</v>
      </c>
      <c r="N28" s="2649" t="str">
        <f t="shared" si="19"/>
        <v>NO</v>
      </c>
      <c r="O28" s="2649">
        <f t="shared" si="20"/>
        <v>211579.65875999999</v>
      </c>
      <c r="P28" s="2649" t="str">
        <f t="shared" si="21"/>
        <v>NO</v>
      </c>
      <c r="Q28" s="2649">
        <f t="shared" si="22"/>
        <v>8216995.3547368702</v>
      </c>
      <c r="R28" s="3482">
        <f t="shared" si="8"/>
        <v>41065457.149034023</v>
      </c>
      <c r="S28" s="2657"/>
      <c r="T28" s="2658"/>
      <c r="U28" s="3456">
        <f t="shared" si="9"/>
        <v>0.10160060728989941</v>
      </c>
      <c r="V28" s="3454"/>
      <c r="W28" s="3455"/>
      <c r="X28" s="3314">
        <f t="shared" si="23"/>
        <v>0.23386305865260298</v>
      </c>
      <c r="Y28" s="3173"/>
      <c r="Z28" s="3457"/>
    </row>
    <row r="29" spans="2:26" ht="18" customHeight="1" x14ac:dyDescent="0.2">
      <c r="B29" s="2642" t="s">
        <v>817</v>
      </c>
      <c r="C29" s="3495">
        <f>Table3.A!C29</f>
        <v>2301.788</v>
      </c>
      <c r="D29" s="3307">
        <v>14.826857458194949</v>
      </c>
      <c r="E29" s="3494">
        <f>'Table3.B(a)'!G29</f>
        <v>56.830799964344102</v>
      </c>
      <c r="F29" s="3479">
        <v>23615382.925584801</v>
      </c>
      <c r="G29" s="3479" t="s">
        <v>2146</v>
      </c>
      <c r="H29" s="3479" t="s">
        <v>2146</v>
      </c>
      <c r="I29" s="3479" t="s">
        <v>2153</v>
      </c>
      <c r="J29" s="3479" t="s">
        <v>2153</v>
      </c>
      <c r="K29" s="3479">
        <v>9021499.2099523507</v>
      </c>
      <c r="L29" s="3479" t="s">
        <v>2153</v>
      </c>
      <c r="M29" s="3479" t="s">
        <v>2146</v>
      </c>
      <c r="N29" s="3479" t="s">
        <v>2146</v>
      </c>
      <c r="O29" s="3479">
        <v>211579.65875999999</v>
      </c>
      <c r="P29" s="3479" t="s">
        <v>2146</v>
      </c>
      <c r="Q29" s="3479">
        <v>8216995.3547368702</v>
      </c>
      <c r="R29" s="3482">
        <f t="shared" si="8"/>
        <v>41065457.149034023</v>
      </c>
      <c r="S29" s="2657"/>
      <c r="T29" s="2658"/>
      <c r="U29" s="3456">
        <f t="shared" si="9"/>
        <v>0.10160060728989941</v>
      </c>
      <c r="V29" s="3454"/>
      <c r="W29" s="3455"/>
      <c r="X29" s="3315">
        <v>0.23386305865260298</v>
      </c>
      <c r="Y29" s="3173"/>
      <c r="Z29" s="3457"/>
    </row>
    <row r="30" spans="2:26" ht="18" customHeight="1" x14ac:dyDescent="0.2">
      <c r="B30" s="351" t="s">
        <v>861</v>
      </c>
      <c r="C30" s="3314">
        <f>IF(SUM(C32:C39)=0,"NO",SUM(C32:C39))</f>
        <v>75390.75</v>
      </c>
      <c r="D30" s="3492"/>
      <c r="E30" s="3492"/>
      <c r="F30" s="2649" t="str">
        <f>IF(SUM(F32:F39)=0,"NO",SUM(F32:F39))</f>
        <v>NO</v>
      </c>
      <c r="G30" s="2649" t="str">
        <f t="shared" ref="G30:Q30" si="24">IF(SUM(G32:G39)=0,"NO",SUM(G32:G39))</f>
        <v>NO</v>
      </c>
      <c r="H30" s="2649" t="str">
        <f t="shared" si="24"/>
        <v>NO</v>
      </c>
      <c r="I30" s="2649">
        <f t="shared" si="24"/>
        <v>17876571.569143619</v>
      </c>
      <c r="J30" s="2649" t="str">
        <f t="shared" si="24"/>
        <v>NO</v>
      </c>
      <c r="K30" s="2649" t="str">
        <f t="shared" si="24"/>
        <v>NO</v>
      </c>
      <c r="L30" s="2649" t="str">
        <f t="shared" si="24"/>
        <v>NO</v>
      </c>
      <c r="M30" s="2649">
        <f t="shared" si="24"/>
        <v>17575575.615116563</v>
      </c>
      <c r="N30" s="2649">
        <f t="shared" si="24"/>
        <v>7785631.2862672098</v>
      </c>
      <c r="O30" s="2649">
        <f t="shared" si="24"/>
        <v>93781.320755496199</v>
      </c>
      <c r="P30" s="2649" t="str">
        <f t="shared" si="24"/>
        <v>NO</v>
      </c>
      <c r="Q30" s="2649">
        <f t="shared" si="24"/>
        <v>48574554.857742801</v>
      </c>
      <c r="R30" s="3482">
        <f t="shared" si="8"/>
        <v>91906114.649025694</v>
      </c>
      <c r="S30" s="2657"/>
      <c r="T30" s="2658"/>
      <c r="U30" s="3456">
        <f t="shared" si="9"/>
        <v>4.4983748597946837E-3</v>
      </c>
      <c r="V30" s="3454"/>
      <c r="W30" s="3455"/>
      <c r="X30" s="3314">
        <f t="shared" ref="X30" si="25">IF(SUM(X32:X39)=0,"NO",SUM(X32:X39))</f>
        <v>0.33913585446106609</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8.5500000000000007</v>
      </c>
      <c r="D32" s="3307">
        <v>39.5</v>
      </c>
      <c r="E32" s="3494" t="str">
        <f>'Table3.B(a)'!G32</f>
        <v>NA</v>
      </c>
      <c r="F32" s="3479" t="s">
        <v>2146</v>
      </c>
      <c r="G32" s="3479" t="s">
        <v>2146</v>
      </c>
      <c r="H32" s="3479" t="s">
        <v>2146</v>
      </c>
      <c r="I32" s="3479" t="s">
        <v>2146</v>
      </c>
      <c r="J32" s="3479" t="s">
        <v>2146</v>
      </c>
      <c r="K32" s="3479" t="s">
        <v>2146</v>
      </c>
      <c r="L32" s="3479" t="s">
        <v>2146</v>
      </c>
      <c r="M32" s="3479">
        <v>337725</v>
      </c>
      <c r="N32" s="3479" t="s">
        <v>2146</v>
      </c>
      <c r="O32" s="3479" t="s">
        <v>2146</v>
      </c>
      <c r="P32" s="3479" t="s">
        <v>2146</v>
      </c>
      <c r="Q32" s="3479" t="s">
        <v>2146</v>
      </c>
      <c r="R32" s="3482">
        <f t="shared" si="8"/>
        <v>337725</v>
      </c>
      <c r="S32" s="2657"/>
      <c r="T32" s="2658"/>
      <c r="U32" s="3456" t="str">
        <f>IF(SUM(X32)=0,"NA",X32*1000/C32)</f>
        <v>NA</v>
      </c>
      <c r="V32" s="3454"/>
      <c r="W32" s="3455"/>
      <c r="X32" s="3315" t="s">
        <v>2147</v>
      </c>
      <c r="Y32" s="3173"/>
      <c r="Z32" s="3457"/>
    </row>
    <row r="33" spans="2:26" ht="18" customHeight="1" x14ac:dyDescent="0.2">
      <c r="B33" s="350" t="s">
        <v>819</v>
      </c>
      <c r="C33" s="3495">
        <f>Table3.A!C33</f>
        <v>2.4239999999999999</v>
      </c>
      <c r="D33" s="3307">
        <v>39.5</v>
      </c>
      <c r="E33" s="3494" t="str">
        <f>'Table3.B(a)'!G33</f>
        <v>NA</v>
      </c>
      <c r="F33" s="3479" t="s">
        <v>2146</v>
      </c>
      <c r="G33" s="3479" t="s">
        <v>2146</v>
      </c>
      <c r="H33" s="3479" t="s">
        <v>2146</v>
      </c>
      <c r="I33" s="3479" t="s">
        <v>2146</v>
      </c>
      <c r="J33" s="3479" t="s">
        <v>2146</v>
      </c>
      <c r="K33" s="3479" t="s">
        <v>2146</v>
      </c>
      <c r="L33" s="3479" t="s">
        <v>2146</v>
      </c>
      <c r="M33" s="3479">
        <v>95757.628442367029</v>
      </c>
      <c r="N33" s="3479" t="s">
        <v>2146</v>
      </c>
      <c r="O33" s="3479" t="s">
        <v>2146</v>
      </c>
      <c r="P33" s="3479" t="s">
        <v>2146</v>
      </c>
      <c r="Q33" s="3479" t="s">
        <v>2146</v>
      </c>
      <c r="R33" s="3482">
        <f t="shared" si="8"/>
        <v>95757.628442367029</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46.076000000000001</v>
      </c>
      <c r="D34" s="3307">
        <v>13.2</v>
      </c>
      <c r="E34" s="3494" t="str">
        <f>'Table3.B(a)'!G34</f>
        <v>NA</v>
      </c>
      <c r="F34" s="3479" t="s">
        <v>2146</v>
      </c>
      <c r="G34" s="3479" t="s">
        <v>2146</v>
      </c>
      <c r="H34" s="3479" t="s">
        <v>2146</v>
      </c>
      <c r="I34" s="3479" t="s">
        <v>2146</v>
      </c>
      <c r="J34" s="3479" t="s">
        <v>2146</v>
      </c>
      <c r="K34" s="3479" t="s">
        <v>2146</v>
      </c>
      <c r="L34" s="3479" t="s">
        <v>2146</v>
      </c>
      <c r="M34" s="3479">
        <v>608203.19999999995</v>
      </c>
      <c r="N34" s="3479" t="s">
        <v>2146</v>
      </c>
      <c r="O34" s="3479" t="s">
        <v>2146</v>
      </c>
      <c r="P34" s="3479" t="s">
        <v>2146</v>
      </c>
      <c r="Q34" s="3479" t="s">
        <v>2146</v>
      </c>
      <c r="R34" s="3482">
        <f t="shared" si="8"/>
        <v>608203.19999999995</v>
      </c>
      <c r="S34" s="2657"/>
      <c r="T34" s="2658"/>
      <c r="U34" s="3456" t="str">
        <f t="shared" si="26"/>
        <v>NA</v>
      </c>
      <c r="V34" s="3454"/>
      <c r="W34" s="3455"/>
      <c r="X34" s="3315" t="s">
        <v>2147</v>
      </c>
      <c r="Y34" s="3173"/>
      <c r="Z34" s="3457"/>
    </row>
    <row r="35" spans="2:26" ht="18" customHeight="1" x14ac:dyDescent="0.2">
      <c r="B35" s="350" t="s">
        <v>821</v>
      </c>
      <c r="C35" s="3495">
        <f>Table3.A!C35</f>
        <v>727.69</v>
      </c>
      <c r="D35" s="3307">
        <v>7</v>
      </c>
      <c r="E35" s="3494" t="str">
        <f>'Table3.B(a)'!G35</f>
        <v>NA</v>
      </c>
      <c r="F35" s="3479" t="s">
        <v>2146</v>
      </c>
      <c r="G35" s="3479" t="s">
        <v>2146</v>
      </c>
      <c r="H35" s="3479" t="s">
        <v>2146</v>
      </c>
      <c r="I35" s="3479" t="s">
        <v>2146</v>
      </c>
      <c r="J35" s="3479" t="s">
        <v>2146</v>
      </c>
      <c r="K35" s="3479" t="s">
        <v>2146</v>
      </c>
      <c r="L35" s="3479" t="s">
        <v>2146</v>
      </c>
      <c r="M35" s="3479">
        <v>5093830</v>
      </c>
      <c r="N35" s="3479" t="s">
        <v>2146</v>
      </c>
      <c r="O35" s="3479" t="s">
        <v>2146</v>
      </c>
      <c r="P35" s="3479" t="s">
        <v>2146</v>
      </c>
      <c r="Q35" s="3479" t="s">
        <v>2146</v>
      </c>
      <c r="R35" s="3482">
        <f t="shared" si="8"/>
        <v>5093830</v>
      </c>
      <c r="S35" s="2657"/>
      <c r="T35" s="2658"/>
      <c r="U35" s="3456" t="str">
        <f t="shared" si="26"/>
        <v>NA</v>
      </c>
      <c r="V35" s="3454"/>
      <c r="W35" s="3455"/>
      <c r="X35" s="3315" t="s">
        <v>2147</v>
      </c>
      <c r="Y35" s="3173"/>
      <c r="Z35" s="3457"/>
    </row>
    <row r="36" spans="2:26" ht="18" customHeight="1" x14ac:dyDescent="0.2">
      <c r="B36" s="350" t="s">
        <v>822</v>
      </c>
      <c r="C36" s="3495">
        <f>Table3.A!C36</f>
        <v>256.41500000000002</v>
      </c>
      <c r="D36" s="3307">
        <v>39.5</v>
      </c>
      <c r="E36" s="3494" t="str">
        <f>'Table3.B(a)'!G36</f>
        <v>NA</v>
      </c>
      <c r="F36" s="3479" t="s">
        <v>2146</v>
      </c>
      <c r="G36" s="3479" t="s">
        <v>2146</v>
      </c>
      <c r="H36" s="3479" t="s">
        <v>2146</v>
      </c>
      <c r="I36" s="3479" t="s">
        <v>2146</v>
      </c>
      <c r="J36" s="3479" t="s">
        <v>2146</v>
      </c>
      <c r="K36" s="3479" t="s">
        <v>2146</v>
      </c>
      <c r="L36" s="3479" t="s">
        <v>2146</v>
      </c>
      <c r="M36" s="3479">
        <v>10128392.5</v>
      </c>
      <c r="N36" s="3479" t="s">
        <v>2146</v>
      </c>
      <c r="O36" s="3479" t="s">
        <v>2146</v>
      </c>
      <c r="P36" s="3479" t="s">
        <v>2146</v>
      </c>
      <c r="Q36" s="3479" t="s">
        <v>2146</v>
      </c>
      <c r="R36" s="3482">
        <f t="shared" si="8"/>
        <v>10128392.5</v>
      </c>
      <c r="S36" s="2657"/>
      <c r="T36" s="2658"/>
      <c r="U36" s="3456" t="str">
        <f t="shared" si="26"/>
        <v>NA</v>
      </c>
      <c r="V36" s="3454"/>
      <c r="W36" s="3455"/>
      <c r="X36" s="3315" t="s">
        <v>2147</v>
      </c>
      <c r="Y36" s="3173"/>
      <c r="Z36" s="3457"/>
    </row>
    <row r="37" spans="2:26" ht="18" customHeight="1" x14ac:dyDescent="0.2">
      <c r="B37" s="350" t="s">
        <v>862</v>
      </c>
      <c r="C37" s="3495">
        <f>Table3.A!C37</f>
        <v>0.57599999999999996</v>
      </c>
      <c r="D37" s="3307">
        <v>13.2</v>
      </c>
      <c r="E37" s="3494" t="str">
        <f>'Table3.B(a)'!G37</f>
        <v>NA</v>
      </c>
      <c r="F37" s="3479" t="s">
        <v>2146</v>
      </c>
      <c r="G37" s="3479" t="s">
        <v>2146</v>
      </c>
      <c r="H37" s="3479" t="s">
        <v>2146</v>
      </c>
      <c r="I37" s="3479" t="s">
        <v>2146</v>
      </c>
      <c r="J37" s="3479" t="s">
        <v>2146</v>
      </c>
      <c r="K37" s="3479" t="s">
        <v>2146</v>
      </c>
      <c r="L37" s="3479" t="s">
        <v>2146</v>
      </c>
      <c r="M37" s="3479">
        <v>7603.3171425175451</v>
      </c>
      <c r="N37" s="3479" t="s">
        <v>2146</v>
      </c>
      <c r="O37" s="3479" t="s">
        <v>2146</v>
      </c>
      <c r="P37" s="3479" t="s">
        <v>2146</v>
      </c>
      <c r="Q37" s="3479" t="s">
        <v>2146</v>
      </c>
      <c r="R37" s="3482">
        <f t="shared" si="8"/>
        <v>7603.3171425175451</v>
      </c>
      <c r="S37" s="2657"/>
      <c r="T37" s="2658"/>
      <c r="U37" s="3456" t="str">
        <f t="shared" si="26"/>
        <v>NA</v>
      </c>
      <c r="V37" s="3454"/>
      <c r="W37" s="3455"/>
      <c r="X37" s="3315" t="s">
        <v>2147</v>
      </c>
      <c r="Y37" s="3173"/>
      <c r="Z37" s="3457"/>
    </row>
    <row r="38" spans="2:26" ht="18" customHeight="1" x14ac:dyDescent="0.2">
      <c r="B38" s="350" t="s">
        <v>824</v>
      </c>
      <c r="C38" s="3495">
        <f>Table3.A!C38</f>
        <v>74230.561000000002</v>
      </c>
      <c r="D38" s="3307">
        <v>0.66077115030896005</v>
      </c>
      <c r="E38" s="3494" t="str">
        <f>'Table3.B(a)'!G38</f>
        <v>NA</v>
      </c>
      <c r="F38" s="3479" t="s">
        <v>2146</v>
      </c>
      <c r="G38" s="3479" t="s">
        <v>2146</v>
      </c>
      <c r="H38" s="3479" t="s">
        <v>2146</v>
      </c>
      <c r="I38" s="3479">
        <v>17876571.569143619</v>
      </c>
      <c r="J38" s="3479" t="s">
        <v>2153</v>
      </c>
      <c r="K38" s="3479" t="s">
        <v>2153</v>
      </c>
      <c r="L38" s="3479" t="s">
        <v>2153</v>
      </c>
      <c r="M38" s="3479">
        <v>474858.20337178803</v>
      </c>
      <c r="N38" s="3479">
        <v>7785631.2862672098</v>
      </c>
      <c r="O38" s="3479">
        <v>93781.320755496199</v>
      </c>
      <c r="P38" s="3479" t="s">
        <v>2146</v>
      </c>
      <c r="Q38" s="3479">
        <v>48574554.857742801</v>
      </c>
      <c r="R38" s="3482">
        <f t="shared" si="8"/>
        <v>74805397.23728092</v>
      </c>
      <c r="S38" s="2657"/>
      <c r="T38" s="2658"/>
      <c r="U38" s="3456">
        <f t="shared" si="26"/>
        <v>4.5686823579450791E-3</v>
      </c>
      <c r="V38" s="3454"/>
      <c r="W38" s="3455"/>
      <c r="X38" s="3315">
        <v>0.33913585446106609</v>
      </c>
      <c r="Y38" s="3173"/>
      <c r="Z38" s="3457"/>
    </row>
    <row r="39" spans="2:26" ht="18" customHeight="1" x14ac:dyDescent="0.2">
      <c r="B39" s="350" t="s">
        <v>825</v>
      </c>
      <c r="C39" s="3314">
        <f>IF(SUM(C40:C44)=0,"NO",SUM(C40:C44))</f>
        <v>118.458</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829205.76615989022</v>
      </c>
      <c r="N39" s="2649" t="str">
        <f t="shared" si="27"/>
        <v>NO</v>
      </c>
      <c r="O39" s="2649" t="str">
        <f t="shared" si="27"/>
        <v>NO</v>
      </c>
      <c r="P39" s="2649" t="str">
        <f t="shared" si="27"/>
        <v>NO</v>
      </c>
      <c r="Q39" s="2649" t="str">
        <f t="shared" si="27"/>
        <v>NO</v>
      </c>
      <c r="R39" s="3482">
        <f t="shared" si="8"/>
        <v>829205.76615989022</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11.959</v>
      </c>
      <c r="D42" s="3307">
        <v>7</v>
      </c>
      <c r="E42" s="3494" t="str">
        <f>'Table3.B(a)'!G42</f>
        <v>NA</v>
      </c>
      <c r="F42" s="3479" t="s">
        <v>2146</v>
      </c>
      <c r="G42" s="3479" t="s">
        <v>2146</v>
      </c>
      <c r="H42" s="3479" t="s">
        <v>2146</v>
      </c>
      <c r="I42" s="3479" t="s">
        <v>2146</v>
      </c>
      <c r="J42" s="3479" t="s">
        <v>2146</v>
      </c>
      <c r="K42" s="3479" t="s">
        <v>2146</v>
      </c>
      <c r="L42" s="3479" t="s">
        <v>2146</v>
      </c>
      <c r="M42" s="3479">
        <v>83713.277310924313</v>
      </c>
      <c r="N42" s="3479" t="s">
        <v>2146</v>
      </c>
      <c r="O42" s="3479" t="s">
        <v>2146</v>
      </c>
      <c r="P42" s="3479" t="s">
        <v>2146</v>
      </c>
      <c r="Q42" s="3479" t="s">
        <v>2146</v>
      </c>
      <c r="R42" s="3482">
        <f t="shared" si="8"/>
        <v>83713.277310924313</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106.499</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745492.48884896585</v>
      </c>
      <c r="N44" s="2649" t="str">
        <f t="shared" si="28"/>
        <v>NO</v>
      </c>
      <c r="O44" s="2649" t="str">
        <f t="shared" si="28"/>
        <v>NO</v>
      </c>
      <c r="P44" s="2649" t="str">
        <f t="shared" si="28"/>
        <v>NO</v>
      </c>
      <c r="Q44" s="2649" t="str">
        <f t="shared" si="28"/>
        <v>NO</v>
      </c>
      <c r="R44" s="3482">
        <f t="shared" si="8"/>
        <v>745492.48884896585</v>
      </c>
      <c r="S44" s="2657"/>
      <c r="T44" s="2658"/>
      <c r="U44" s="3456" t="str">
        <f t="shared" si="26"/>
        <v>NA</v>
      </c>
      <c r="V44" s="3454"/>
      <c r="W44" s="3455"/>
      <c r="X44" s="3314" t="str">
        <f>X45</f>
        <v>NA</v>
      </c>
      <c r="Y44" s="3173"/>
      <c r="Z44" s="3457"/>
    </row>
    <row r="45" spans="2:26" ht="18" customHeight="1" x14ac:dyDescent="0.2">
      <c r="B45" s="2646" t="s">
        <v>2199</v>
      </c>
      <c r="C45" s="3495">
        <f>Table3.A!C45</f>
        <v>106.499</v>
      </c>
      <c r="D45" s="3307">
        <v>7</v>
      </c>
      <c r="E45" s="3494" t="str">
        <f>'Table3.B(a)'!G45</f>
        <v>NA</v>
      </c>
      <c r="F45" s="3479" t="s">
        <v>2146</v>
      </c>
      <c r="G45" s="3479" t="s">
        <v>2146</v>
      </c>
      <c r="H45" s="3479" t="s">
        <v>2146</v>
      </c>
      <c r="I45" s="3479" t="s">
        <v>2146</v>
      </c>
      <c r="J45" s="3479" t="s">
        <v>2146</v>
      </c>
      <c r="K45" s="3479" t="s">
        <v>2146</v>
      </c>
      <c r="L45" s="3479" t="s">
        <v>2146</v>
      </c>
      <c r="M45" s="3479">
        <v>745492.48884896585</v>
      </c>
      <c r="N45" s="3479" t="s">
        <v>2146</v>
      </c>
      <c r="O45" s="3479" t="s">
        <v>2146</v>
      </c>
      <c r="P45" s="3479" t="s">
        <v>2146</v>
      </c>
      <c r="Q45" s="3479" t="s">
        <v>2146</v>
      </c>
      <c r="R45" s="3482">
        <f t="shared" si="8"/>
        <v>745492.48884896585</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82471851.311716706</v>
      </c>
      <c r="T46" s="3447">
        <v>283755.491358981</v>
      </c>
      <c r="U46" s="3466"/>
      <c r="V46" s="3467">
        <f>IF(SUM(S46)=0,"NA",Y46*1000000/S46)</f>
        <v>3.6000685925010245E-3</v>
      </c>
      <c r="W46" s="3468">
        <f>IF(SUM(T46)=0,"NA",Z46*1000000/T46)</f>
        <v>1.7285714285714297E-2</v>
      </c>
      <c r="X46" s="3316"/>
      <c r="Y46" s="3320">
        <v>0.29690432167272574</v>
      </c>
      <c r="Z46" s="3321">
        <v>4.9049163506338176E-3</v>
      </c>
    </row>
    <row r="47" spans="2:26" ht="18" customHeight="1" x14ac:dyDescent="0.2">
      <c r="B47" s="358" t="s">
        <v>863</v>
      </c>
      <c r="C47" s="359"/>
      <c r="D47" s="359"/>
      <c r="E47" s="359"/>
      <c r="F47" s="3485">
        <f>IF(SUM(F30,F27,F24,F10)=0,"NO",SUM(F30,F27,F24,F10))</f>
        <v>50643742.488610767</v>
      </c>
      <c r="G47" s="3485" t="str">
        <f t="shared" ref="G47:Q47" si="29">IF(SUM(G30,G27,G24,G10)=0,"NO",SUM(G30,G27,G24,G10))</f>
        <v>NO</v>
      </c>
      <c r="H47" s="3485">
        <f t="shared" si="29"/>
        <v>8341611.2421478704</v>
      </c>
      <c r="I47" s="3485">
        <f t="shared" si="29"/>
        <v>23267808.729242802</v>
      </c>
      <c r="J47" s="3485" t="str">
        <f t="shared" si="29"/>
        <v>NO</v>
      </c>
      <c r="K47" s="3485">
        <f t="shared" si="29"/>
        <v>69294438.664709017</v>
      </c>
      <c r="L47" s="3485">
        <f t="shared" si="29"/>
        <v>7167855.9600348044</v>
      </c>
      <c r="M47" s="3409"/>
      <c r="N47" s="3485">
        <f t="shared" si="29"/>
        <v>14953487.246302014</v>
      </c>
      <c r="O47" s="3485">
        <f t="shared" si="29"/>
        <v>305360.97951549618</v>
      </c>
      <c r="P47" s="3409"/>
      <c r="Q47" s="3485">
        <f t="shared" si="29"/>
        <v>56791550.212479673</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3.4303494293922446E-2</v>
      </c>
      <c r="J48" s="3486" t="str">
        <f t="shared" si="30"/>
        <v>NA</v>
      </c>
      <c r="K48" s="3486" t="str">
        <f t="shared" si="30"/>
        <v>NA</v>
      </c>
      <c r="L48" s="3486" t="str">
        <f t="shared" si="30"/>
        <v>NA</v>
      </c>
      <c r="M48" s="87"/>
      <c r="N48" s="3486">
        <f t="shared" si="30"/>
        <v>1.5714285714285892E-2</v>
      </c>
      <c r="O48" s="3486" t="str">
        <f t="shared" si="30"/>
        <v>NA</v>
      </c>
      <c r="P48" s="87"/>
      <c r="Q48" s="3486">
        <f t="shared" si="30"/>
        <v>3.5199291396851573E-3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0.79816714397565924</v>
      </c>
      <c r="J49" s="3487" t="s">
        <v>2153</v>
      </c>
      <c r="K49" s="3487" t="s">
        <v>2153</v>
      </c>
      <c r="L49" s="3487" t="s">
        <v>2153</v>
      </c>
      <c r="M49" s="3474"/>
      <c r="N49" s="3488">
        <v>0.23498337101332001</v>
      </c>
      <c r="O49" s="3488" t="s">
        <v>2147</v>
      </c>
      <c r="P49" s="3474"/>
      <c r="Q49" s="3488">
        <v>0.1999022324808</v>
      </c>
      <c r="R49" s="1312"/>
      <c r="S49" s="1313"/>
      <c r="T49" s="1314"/>
      <c r="U49" s="3473">
        <f>X49*1000/SUM(C10,C24,C27,C30)</f>
        <v>6.9140953143570034E-3</v>
      </c>
      <c r="V49" s="3474"/>
      <c r="W49" s="3475"/>
      <c r="X49" s="3319">
        <f>SUM(X10,X24,X27,X30)</f>
        <v>1.2330527474697792</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1.1431266</v>
      </c>
    </row>
    <row r="11" spans="1:9" ht="18" customHeight="1" x14ac:dyDescent="0.2">
      <c r="B11" s="439" t="s">
        <v>876</v>
      </c>
      <c r="C11" s="4147">
        <v>7.1940000000000004E-2</v>
      </c>
      <c r="D11" s="243" t="s">
        <v>2146</v>
      </c>
      <c r="E11" s="283" t="s">
        <v>2146</v>
      </c>
      <c r="F11" s="2305">
        <f>IF(SUM(C11)=0,"NA",G11/C11)</f>
        <v>15.889999999999999</v>
      </c>
      <c r="G11" s="3093">
        <v>1.1431266</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7.1940000000000004E-2</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30.30364638344038</v>
      </c>
      <c r="H10" s="397" t="s">
        <v>897</v>
      </c>
      <c r="I10" s="398" t="s">
        <v>898</v>
      </c>
      <c r="J10" s="399">
        <v>0.21</v>
      </c>
    </row>
    <row r="11" spans="2:10" ht="24" customHeight="1" x14ac:dyDescent="0.2">
      <c r="B11" s="2431" t="s">
        <v>1949</v>
      </c>
      <c r="C11" s="2432" t="s">
        <v>899</v>
      </c>
      <c r="D11" s="3720">
        <v>849784.9880537797</v>
      </c>
      <c r="E11" s="3714">
        <f>IF(SUM(D11)=0,"NA",F11*1000/D11/(44/28))</f>
        <v>4.3690376229108445E-3</v>
      </c>
      <c r="F11" s="3425">
        <v>5.8343097751585526</v>
      </c>
      <c r="H11" s="397" t="s">
        <v>900</v>
      </c>
      <c r="I11" s="398" t="s">
        <v>901</v>
      </c>
      <c r="J11" s="399">
        <v>0.24</v>
      </c>
    </row>
    <row r="12" spans="2:10" ht="24" customHeight="1" thickBot="1" x14ac:dyDescent="0.25">
      <c r="B12" s="2431" t="s">
        <v>1950</v>
      </c>
      <c r="C12" s="2433" t="s">
        <v>902</v>
      </c>
      <c r="D12" s="3721">
        <f>IF(SUM(D13:D15)=0,"NO",SUM(D13:D15))</f>
        <v>97742.649083256445</v>
      </c>
      <c r="E12" s="3715">
        <f t="shared" ref="E12:E23" si="0">IF(SUM(D12)=0,"NA",F12*1000/D12/(44/28))</f>
        <v>8.7811711469441799E-3</v>
      </c>
      <c r="F12" s="3426">
        <f>IF(SUM(F13:F15)=0,"NO",SUM(F13:F15))</f>
        <v>1.3487491756447996</v>
      </c>
      <c r="H12" s="407" t="s">
        <v>903</v>
      </c>
      <c r="I12" s="408" t="s">
        <v>2147</v>
      </c>
      <c r="J12" s="2668" t="s">
        <v>2147</v>
      </c>
    </row>
    <row r="13" spans="2:10" ht="24" customHeight="1" x14ac:dyDescent="0.2">
      <c r="B13" s="2431" t="s">
        <v>904</v>
      </c>
      <c r="C13" s="2432" t="s">
        <v>905</v>
      </c>
      <c r="D13" s="3722">
        <v>87923.176009924806</v>
      </c>
      <c r="E13" s="3714">
        <f t="shared" si="0"/>
        <v>8.756731811062967E-3</v>
      </c>
      <c r="F13" s="3425">
        <v>1.2098737707505378</v>
      </c>
      <c r="H13" s="1436" t="s">
        <v>906</v>
      </c>
      <c r="I13" s="1078"/>
      <c r="J13" s="1078"/>
    </row>
    <row r="14" spans="2:10" ht="24" customHeight="1" x14ac:dyDescent="0.2">
      <c r="B14" s="2431" t="s">
        <v>907</v>
      </c>
      <c r="C14" s="2432" t="s">
        <v>908</v>
      </c>
      <c r="D14" s="3722">
        <v>9819.4730733316392</v>
      </c>
      <c r="E14" s="3714">
        <f t="shared" si="0"/>
        <v>8.9999999999999993E-3</v>
      </c>
      <c r="F14" s="3425">
        <v>0.13887540489426176</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1679055.1102519834</v>
      </c>
      <c r="E16" s="3714">
        <f t="shared" si="0"/>
        <v>4.0000000000000001E-3</v>
      </c>
      <c r="F16" s="3425">
        <v>10.554060693012467</v>
      </c>
    </row>
    <row r="17" spans="2:11" ht="24" customHeight="1" x14ac:dyDescent="0.2">
      <c r="B17" s="2431" t="s">
        <v>913</v>
      </c>
      <c r="C17" s="2432" t="s">
        <v>914</v>
      </c>
      <c r="D17" s="3722">
        <v>750162.78091812611</v>
      </c>
      <c r="E17" s="3714">
        <f t="shared" si="0"/>
        <v>0.01</v>
      </c>
      <c r="F17" s="3425">
        <v>11.788272271570554</v>
      </c>
    </row>
    <row r="18" spans="2:11" ht="24" customHeight="1" x14ac:dyDescent="0.2">
      <c r="B18" s="2431" t="s">
        <v>1951</v>
      </c>
      <c r="C18" s="2432" t="s">
        <v>915</v>
      </c>
      <c r="D18" s="3722">
        <v>219626.421653547</v>
      </c>
      <c r="E18" s="3716">
        <f t="shared" si="0"/>
        <v>2.0000000000000022E-3</v>
      </c>
      <c r="F18" s="3427">
        <v>0.6902544680540057</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9.2224714941870793</v>
      </c>
    </row>
    <row r="22" spans="2:11" ht="24" customHeight="1" x14ac:dyDescent="0.2">
      <c r="B22" s="2438" t="s">
        <v>1953</v>
      </c>
      <c r="C22" s="2432" t="s">
        <v>919</v>
      </c>
      <c r="D22" s="3722">
        <v>466505.68341558299</v>
      </c>
      <c r="E22" s="3714">
        <f t="shared" si="0"/>
        <v>2.8448503688350965E-3</v>
      </c>
      <c r="F22" s="3425">
        <v>2.0855039315447703</v>
      </c>
    </row>
    <row r="23" spans="2:11" ht="24" customHeight="1" thickBot="1" x14ac:dyDescent="0.25">
      <c r="B23" s="410" t="s">
        <v>920</v>
      </c>
      <c r="C23" s="411" t="s">
        <v>921</v>
      </c>
      <c r="D23" s="3725">
        <v>413819.734318125</v>
      </c>
      <c r="E23" s="3719">
        <f t="shared" si="0"/>
        <v>1.09750846905743E-2</v>
      </c>
      <c r="F23" s="3430">
        <v>7.136967562642309</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21420178</v>
      </c>
      <c r="N9" s="4179">
        <v>7996506</v>
      </c>
      <c r="O9" s="4179">
        <v>375671</v>
      </c>
      <c r="P9" s="4180">
        <v>2691790</v>
      </c>
      <c r="Q9" s="4180">
        <v>1160028</v>
      </c>
      <c r="R9" s="4180">
        <v>381416</v>
      </c>
      <c r="S9" s="4180">
        <v>60868</v>
      </c>
      <c r="T9" s="4180">
        <v>362817</v>
      </c>
      <c r="U9" s="4180">
        <v>1722210.2579999999</v>
      </c>
      <c r="V9" s="4180">
        <v>32109169.190000001</v>
      </c>
      <c r="W9" s="4180">
        <v>19346.466</v>
      </c>
      <c r="X9" s="4181">
        <v>1905652</v>
      </c>
    </row>
    <row r="10" spans="2:24" ht="18" customHeight="1" thickTop="1" x14ac:dyDescent="0.2">
      <c r="B10" s="437" t="s">
        <v>947</v>
      </c>
      <c r="C10" s="376"/>
      <c r="D10" s="438"/>
      <c r="E10" s="438"/>
      <c r="F10" s="4149">
        <f>IF(SUM(F11:F14)=0,"NO",SUM(F11:F14))</f>
        <v>3360.0214915739693</v>
      </c>
      <c r="G10" s="4150">
        <f>IF(SUM($F10)=0,"NA",I10/$F10*1000)</f>
        <v>1.8688890275399377</v>
      </c>
      <c r="H10" s="4151">
        <f>IF(SUM($F10)=0,"NA",J10/$F10*1000)</f>
        <v>7.5608296620911744E-2</v>
      </c>
      <c r="I10" s="3192">
        <f>IF(SUM(I11:I14)=0,"NO",SUM(I11:I14))</f>
        <v>6.2795072979009667</v>
      </c>
      <c r="J10" s="420">
        <f>IF(SUM(J11:J14)=0,"NO",SUM(J11:J14))</f>
        <v>0.25404550158756301</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2183.0054232598</v>
      </c>
      <c r="G11" s="4153">
        <f>IF(SUM($F11)=0,"NA",I11/$F11*1000)</f>
        <v>1.8666666666666645</v>
      </c>
      <c r="H11" s="4154">
        <f>IF(SUM($F11)=0,"NA",J11/$F11*1000)</f>
        <v>7.1657142857142794E-2</v>
      </c>
      <c r="I11" s="3326">
        <v>4.0749434567516216</v>
      </c>
      <c r="J11" s="3327">
        <v>0.15642793147244494</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700.59799195366804</v>
      </c>
      <c r="G12" s="4155">
        <f t="shared" ref="G12:G28" si="0">IF(SUM($F12)=0,"NA",I12/$F12*1000)</f>
        <v>1.8666666666666671</v>
      </c>
      <c r="H12" s="4154">
        <f t="shared" ref="H12:H28" si="1">IF(SUM($F12)=0,"NA",J12/$F12*1000)</f>
        <v>8.3600000000000022E-2</v>
      </c>
      <c r="I12" s="3180">
        <v>1.3077829183135139</v>
      </c>
      <c r="J12" s="3327">
        <v>5.8569992127326664E-2</v>
      </c>
      <c r="L12" s="1324" t="s">
        <v>952</v>
      </c>
      <c r="M12" s="4177">
        <v>0.16084833532098999</v>
      </c>
      <c r="N12" s="4177">
        <v>0.16727191390606999</v>
      </c>
      <c r="O12" s="4177">
        <v>0.12120839841588001</v>
      </c>
      <c r="P12" s="4178">
        <v>0.12615940921529001</v>
      </c>
      <c r="Q12" s="4178">
        <v>0.16410185555604001</v>
      </c>
      <c r="R12" s="4178">
        <v>0.16371350532303999</v>
      </c>
      <c r="S12" s="4178">
        <v>0.81499999999999995</v>
      </c>
      <c r="T12" s="4178">
        <v>0.20930906833940999</v>
      </c>
      <c r="U12" s="4178">
        <v>0.14994063989507972</v>
      </c>
      <c r="V12" s="4178">
        <v>0.29127684499176548</v>
      </c>
      <c r="W12" s="4178">
        <v>6.3343744438638744E-2</v>
      </c>
      <c r="X12" s="4152">
        <v>0.13889189379573333</v>
      </c>
    </row>
    <row r="13" spans="2:24" ht="18" customHeight="1" thickBot="1" x14ac:dyDescent="0.25">
      <c r="B13" s="439" t="s">
        <v>953</v>
      </c>
      <c r="C13" s="440" t="s">
        <v>2147</v>
      </c>
      <c r="D13" s="440" t="s">
        <v>2147</v>
      </c>
      <c r="E13" s="440" t="s">
        <v>2147</v>
      </c>
      <c r="F13" s="4152">
        <v>30.096470060285299</v>
      </c>
      <c r="G13" s="4155">
        <f t="shared" si="0"/>
        <v>1.9600000000000022</v>
      </c>
      <c r="H13" s="4154">
        <f t="shared" si="1"/>
        <v>5.9714285714285789E-2</v>
      </c>
      <c r="I13" s="3180">
        <v>5.8989081318159255E-2</v>
      </c>
      <c r="J13" s="3327">
        <v>1.7971892121713244E-3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446.3216063002161</v>
      </c>
      <c r="G14" s="4157">
        <f t="shared" si="0"/>
        <v>1.8771034825370652</v>
      </c>
      <c r="H14" s="4158">
        <f t="shared" si="1"/>
        <v>8.3460868238952754E-2</v>
      </c>
      <c r="I14" s="3199">
        <f>IF(SUM(I15:I19)=0,"NO",SUM(I15:I19))</f>
        <v>0.83779184151767261</v>
      </c>
      <c r="J14" s="3085">
        <f>IF(SUM(J15:J19)=0,"NO",SUM(J15:J19))</f>
        <v>3.7250388775620084E-2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195.60651041181401</v>
      </c>
      <c r="G15" s="4159">
        <f t="shared" si="0"/>
        <v>1.8666666666666631</v>
      </c>
      <c r="H15" s="4160">
        <f t="shared" si="1"/>
        <v>9.5542857142856943E-2</v>
      </c>
      <c r="I15" s="3328">
        <v>0.3651321527687188</v>
      </c>
      <c r="J15" s="3327">
        <v>1.8688804880488706E-2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114.181098730698</v>
      </c>
      <c r="G16" s="4161">
        <f t="shared" si="0"/>
        <v>1.8666666666666731</v>
      </c>
      <c r="H16" s="4162">
        <f t="shared" si="1"/>
        <v>7.16571428571431E-2</v>
      </c>
      <c r="I16" s="3329">
        <v>0.21313805096397034</v>
      </c>
      <c r="J16" s="3327">
        <v>8.1818913033311867E-3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38.5088172503607</v>
      </c>
      <c r="G17" s="4161">
        <f t="shared" si="0"/>
        <v>1.8666666666666658</v>
      </c>
      <c r="H17" s="4162">
        <f t="shared" si="1"/>
        <v>7.165714285714285E-2</v>
      </c>
      <c r="I17" s="3329">
        <v>7.1883125534006609E-2</v>
      </c>
      <c r="J17" s="3327">
        <v>2.7594318189687033E-3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49.909033113600003</v>
      </c>
      <c r="G18" s="4161">
        <f t="shared" si="0"/>
        <v>1.9599999999999995</v>
      </c>
      <c r="H18" s="4162">
        <f t="shared" si="1"/>
        <v>8.3599999999999994E-2</v>
      </c>
      <c r="I18" s="3329">
        <v>9.7821704902655987E-2</v>
      </c>
      <c r="J18" s="3327">
        <v>4.1723951682969603E-3</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48.116146793743397</v>
      </c>
      <c r="G19" s="4161">
        <f t="shared" si="0"/>
        <v>1.8666666666666663</v>
      </c>
      <c r="H19" s="4162">
        <f t="shared" si="1"/>
        <v>7.1657142857142836E-2</v>
      </c>
      <c r="I19" s="3329">
        <v>8.9816807348320982E-2</v>
      </c>
      <c r="J19" s="3327">
        <v>3.4478656045345258E-3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147.73608592622901</v>
      </c>
      <c r="G20" s="4165">
        <f t="shared" si="0"/>
        <v>1.8666666666666614</v>
      </c>
      <c r="H20" s="4166">
        <f t="shared" si="1"/>
        <v>0.10748571428571396</v>
      </c>
      <c r="I20" s="3220">
        <f>I21</f>
        <v>0.27577402706229337</v>
      </c>
      <c r="J20" s="449">
        <f>J21</f>
        <v>1.5879518721556338E-2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147.73608592622901</v>
      </c>
      <c r="G21" s="4168">
        <f t="shared" si="0"/>
        <v>1.8666666666666614</v>
      </c>
      <c r="H21" s="4158">
        <f t="shared" si="1"/>
        <v>0.10748571428571396</v>
      </c>
      <c r="I21" s="3199">
        <f>I22</f>
        <v>0.27577402706229337</v>
      </c>
      <c r="J21" s="3085">
        <f>J22</f>
        <v>1.5879518721556338E-2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147.73608592622901</v>
      </c>
      <c r="G22" s="4170">
        <f t="shared" si="0"/>
        <v>1.8666666666666614</v>
      </c>
      <c r="H22" s="4171">
        <f t="shared" si="1"/>
        <v>0.10748571428571396</v>
      </c>
      <c r="I22" s="3330">
        <v>0.27577402706229337</v>
      </c>
      <c r="J22" s="3331">
        <v>1.5879518721556338E-2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448.92755985456</v>
      </c>
      <c r="G26" s="4175">
        <f t="shared" si="0"/>
        <v>1.8666666666666667</v>
      </c>
      <c r="H26" s="4176">
        <f t="shared" si="1"/>
        <v>5.9714285714285727E-2</v>
      </c>
      <c r="I26" s="3332">
        <v>0.83799811172851202</v>
      </c>
      <c r="J26" s="3333">
        <v>2.6807388574172301E-2</v>
      </c>
      <c r="L26" s="159"/>
    </row>
    <row r="27" spans="2:24" ht="18" customHeight="1" x14ac:dyDescent="0.2">
      <c r="B27" s="446" t="s">
        <v>963</v>
      </c>
      <c r="C27" s="447"/>
      <c r="D27" s="448"/>
      <c r="E27" s="448"/>
      <c r="F27" s="4164">
        <f>IF(SUM(F28:F29)=0,"NO",SUM(F28:F29))</f>
        <v>254.18940693436622</v>
      </c>
      <c r="G27" s="4165">
        <f t="shared" si="0"/>
        <v>1.8668515508279739</v>
      </c>
      <c r="H27" s="4166">
        <f t="shared" si="1"/>
        <v>0.10765131767019806</v>
      </c>
      <c r="I27" s="3220">
        <f>IF(SUM(I28:I29)=0,"NO",SUM(I28:I29))</f>
        <v>0.47453388853946449</v>
      </c>
      <c r="J27" s="449">
        <f>IF(SUM(J28:J29)=0,"NO",SUM(J28:J29))</f>
        <v>2.7363824594290705E-2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0.50352423550519998</v>
      </c>
      <c r="G28" s="4161">
        <f t="shared" si="0"/>
        <v>1.9599999999999882</v>
      </c>
      <c r="H28" s="4162">
        <f t="shared" si="1"/>
        <v>0.19108571428571319</v>
      </c>
      <c r="I28" s="3329">
        <v>9.8690750159018603E-4</v>
      </c>
      <c r="J28" s="3327">
        <v>9.6216288201678805E-5</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253.68588269886101</v>
      </c>
      <c r="G29" s="4161">
        <f t="shared" ref="G29" si="2">IF(SUM($F29)=0,"NA",I29/$F29*1000)</f>
        <v>1.8666666666666685</v>
      </c>
      <c r="H29" s="4162">
        <f t="shared" ref="H29" si="3">IF(SUM($F29)=0,"NA",J29/$F29*1000)</f>
        <v>0.10748571428571439</v>
      </c>
      <c r="I29" s="3329">
        <v>0.47354698103787429</v>
      </c>
      <c r="J29" s="3327">
        <v>2.7267608306089028E-2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1159.4904844523769</v>
      </c>
    </row>
    <row r="11" spans="2:5" s="83" customFormat="1" ht="18" customHeight="1" x14ac:dyDescent="0.2">
      <c r="B11" s="1854" t="s">
        <v>972</v>
      </c>
      <c r="C11" s="4187">
        <v>2696157.6913501699</v>
      </c>
      <c r="D11" s="3594">
        <f>IF(SUM(C11)=0,"NA",E11*1000/(44/12)/C11)</f>
        <v>0.10800000000000015</v>
      </c>
      <c r="E11" s="3431">
        <v>1067.6784457746689</v>
      </c>
    </row>
    <row r="12" spans="2:5" s="83" customFormat="1" ht="18" customHeight="1" x14ac:dyDescent="0.2">
      <c r="B12" s="1854" t="s">
        <v>973</v>
      </c>
      <c r="C12" s="4187">
        <v>202750.17742592801</v>
      </c>
      <c r="D12" s="3594">
        <f t="shared" ref="D12:D16" si="0">IF(SUM(C12)=0,"NA",E12*1000/(44/12)/C12)</f>
        <v>0.12350000000000022</v>
      </c>
      <c r="E12" s="3431">
        <v>91.812038677707903</v>
      </c>
    </row>
    <row r="13" spans="2:5" s="83" customFormat="1" ht="18" customHeight="1" x14ac:dyDescent="0.2">
      <c r="B13" s="846" t="s">
        <v>974</v>
      </c>
      <c r="C13" s="4188">
        <v>1068672.61108543</v>
      </c>
      <c r="D13" s="4189">
        <f t="shared" si="0"/>
        <v>0.20000000000000037</v>
      </c>
      <c r="E13" s="3432">
        <v>783.69324812931677</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53642.717751712669</v>
      </c>
      <c r="D10" s="2989">
        <f t="shared" ref="D10:H10" si="0">IF(SUM(D11,D14,D17,D20,D23,D26,D29:D30)=0,"NO",SUM(D11,D14,D17,D20,D23,D26,D29:D30))</f>
        <v>727.17919715437347</v>
      </c>
      <c r="E10" s="2989">
        <f t="shared" si="0"/>
        <v>18.020612939584151</v>
      </c>
      <c r="F10" s="2989">
        <f t="shared" si="0"/>
        <v>959.23071308278702</v>
      </c>
      <c r="G10" s="2989">
        <f t="shared" si="0"/>
        <v>25196.598548877424</v>
      </c>
      <c r="H10" s="2990">
        <f t="shared" si="0"/>
        <v>688.54674927089593</v>
      </c>
      <c r="I10" s="2991">
        <f>IF(SUM(C10:E10)=0,"NO",SUM(C10)+28*SUM(D10)+265*SUM(E10))</f>
        <v>78779.197701024925</v>
      </c>
    </row>
    <row r="11" spans="2:9" ht="18" customHeight="1" x14ac:dyDescent="0.2">
      <c r="B11" s="473" t="s">
        <v>981</v>
      </c>
      <c r="C11" s="2992">
        <f>IF(SUM(C12:C13)=0,"NO",SUM(C12:C13))</f>
        <v>-26117.059401995764</v>
      </c>
      <c r="D11" s="2992">
        <f t="shared" ref="D11:H11" si="1">IF(SUM(D12:D13)=0,"NO",SUM(D12:D13))</f>
        <v>309.07159808133144</v>
      </c>
      <c r="E11" s="2992">
        <f t="shared" si="1"/>
        <v>5.800150747224726</v>
      </c>
      <c r="F11" s="2992">
        <f t="shared" si="1"/>
        <v>300.34979668489535</v>
      </c>
      <c r="G11" s="2992">
        <f t="shared" si="1"/>
        <v>8236.7232140583674</v>
      </c>
      <c r="H11" s="2993">
        <f t="shared" si="1"/>
        <v>326.11874909367691</v>
      </c>
      <c r="I11" s="2994">
        <f t="shared" ref="I11:I32" si="2">IF(SUM(C11:E11)=0,"NO",SUM(C11)+28*SUM(D11)+265*SUM(E11))</f>
        <v>-15926.014707703933</v>
      </c>
    </row>
    <row r="12" spans="2:9" ht="18" customHeight="1" x14ac:dyDescent="0.2">
      <c r="B12" s="474" t="s">
        <v>982</v>
      </c>
      <c r="C12" s="2995">
        <f>IF(SUM(Table4.A!U11,'Table4(IV)'!J12)=0,"NO",SUM(Table4.A!U11,'Table4(IV)'!J12))</f>
        <v>-404.26273896816383</v>
      </c>
      <c r="D12" s="2995">
        <f>'Table4(IV)'!K12</f>
        <v>306.42521182789505</v>
      </c>
      <c r="E12" s="2995">
        <f>IF(SUM('Table4(III)'!I12,'Table4(IV)'!L12)=0,"NO",SUM('Table4(III)'!I12,'Table4(IV)'!L12))</f>
        <v>5.2639594259279807</v>
      </c>
      <c r="F12" s="2905">
        <v>298.62952426180698</v>
      </c>
      <c r="G12" s="2905">
        <v>8171.573904632276</v>
      </c>
      <c r="H12" s="2906">
        <v>318.66618712878915</v>
      </c>
      <c r="I12" s="2996">
        <f t="shared" si="2"/>
        <v>9570.5924400838121</v>
      </c>
    </row>
    <row r="13" spans="2:9" ht="18" customHeight="1" thickBot="1" x14ac:dyDescent="0.25">
      <c r="B13" s="475" t="s">
        <v>983</v>
      </c>
      <c r="C13" s="2997">
        <f>IF(SUM(Table4.A!U16,'Table4(IV)'!J19)=0,"NO",SUM(Table4.A!U16,'Table4(IV)'!J19))</f>
        <v>-25712.796663027599</v>
      </c>
      <c r="D13" s="2997">
        <f>'Table4(IV)'!K19</f>
        <v>2.6463862534363907</v>
      </c>
      <c r="E13" s="2997">
        <f>IF(SUM('Table4(III)'!I13,'Table4(IV)'!L19)=0,"NO",SUM('Table4(III)'!I13,'Table4(IV)'!L19))</f>
        <v>0.53619132129674518</v>
      </c>
      <c r="F13" s="2908">
        <v>1.7202724230883724</v>
      </c>
      <c r="G13" s="2908">
        <v>65.149309426091008</v>
      </c>
      <c r="H13" s="2907">
        <v>7.4525619648877601</v>
      </c>
      <c r="I13" s="2998">
        <f t="shared" si="2"/>
        <v>-25496.607147787741</v>
      </c>
    </row>
    <row r="14" spans="2:9" ht="18" customHeight="1" x14ac:dyDescent="0.2">
      <c r="B14" s="473" t="s">
        <v>984</v>
      </c>
      <c r="C14" s="2992">
        <f>IF(SUM(C15:C16)=0,"NO",SUM(C15:C16))</f>
        <v>11084.152476448246</v>
      </c>
      <c r="D14" s="2992">
        <f t="shared" ref="D14" si="3">IF(SUM(D15:D16)=0,"NO",SUM(D15:D16))</f>
        <v>2.052864</v>
      </c>
      <c r="E14" s="2992">
        <f t="shared" ref="E14" si="4">IF(SUM(E15:E16)=0,"NO",SUM(E15:E16))</f>
        <v>0.14814045161818612</v>
      </c>
      <c r="F14" s="2992">
        <f t="shared" ref="F14" si="5">IF(SUM(F15:F16)=0,"NO",SUM(F15:F16))</f>
        <v>1.5457577142857142</v>
      </c>
      <c r="G14" s="2992">
        <f t="shared" ref="G14" si="6">IF(SUM(G15:G16)=0,"NO",SUM(G15:G16))</f>
        <v>60.540479999999995</v>
      </c>
      <c r="H14" s="2993">
        <f t="shared" ref="H14" si="7">IF(SUM(H15:H16)=0,"NO",SUM(H15:H16))</f>
        <v>7.3180799999999993</v>
      </c>
      <c r="I14" s="2999">
        <f t="shared" si="2"/>
        <v>11180.889888127065</v>
      </c>
    </row>
    <row r="15" spans="2:9" ht="18" customHeight="1" x14ac:dyDescent="0.2">
      <c r="B15" s="474" t="s">
        <v>985</v>
      </c>
      <c r="C15" s="2995">
        <f>IF(SUM(Table4.B!S11,'Table4(IV)'!J26)=0,"NO",SUM(Table4.B!S11,'Table4(IV)'!J26))</f>
        <v>7386.4776363065348</v>
      </c>
      <c r="D15" s="2995" t="str">
        <f>'Table4(IV)'!K26</f>
        <v>IE</v>
      </c>
      <c r="E15" s="2995" t="str">
        <f>'Table4(IV)'!L26</f>
        <v>IE</v>
      </c>
      <c r="F15" s="2905" t="s">
        <v>2153</v>
      </c>
      <c r="G15" s="2905" t="s">
        <v>2153</v>
      </c>
      <c r="H15" s="2906" t="s">
        <v>2153</v>
      </c>
      <c r="I15" s="2996">
        <f t="shared" si="2"/>
        <v>7386.4776363065348</v>
      </c>
    </row>
    <row r="16" spans="2:9" ht="18" customHeight="1" thickBot="1" x14ac:dyDescent="0.25">
      <c r="B16" s="475" t="s">
        <v>986</v>
      </c>
      <c r="C16" s="2997">
        <f>IF(SUM(Table4.B!S13,'Table4(IV)'!J31)=0,"IE",SUM(Table4.B!S13,'Table4(IV)'!J31))</f>
        <v>3697.6748401417117</v>
      </c>
      <c r="D16" s="2997">
        <f>'Table4(IV)'!K31</f>
        <v>2.052864</v>
      </c>
      <c r="E16" s="2997">
        <f>IF(SUM('Table4(III)'!I21,'Table4(IV)'!L31)=0,"IE",SUM('Table4(III)'!I21,'Table4(IV)'!L31))</f>
        <v>0.14814045161818612</v>
      </c>
      <c r="F16" s="2908">
        <v>1.5457577142857142</v>
      </c>
      <c r="G16" s="2908">
        <v>60.540479999999995</v>
      </c>
      <c r="H16" s="2907">
        <v>7.3180799999999993</v>
      </c>
      <c r="I16" s="2998">
        <f t="shared" si="2"/>
        <v>3794.4122518205309</v>
      </c>
    </row>
    <row r="17" spans="2:9" ht="18" customHeight="1" x14ac:dyDescent="0.2">
      <c r="B17" s="473" t="s">
        <v>987</v>
      </c>
      <c r="C17" s="2992">
        <f>IF(SUM(C18:C19)=0,"NO",SUM(C18:C19))</f>
        <v>67256.97019360619</v>
      </c>
      <c r="D17" s="2992">
        <f t="shared" ref="D17" si="8">IF(SUM(D18:D19)=0,"NO",SUM(D18:D19))</f>
        <v>323.98690675263538</v>
      </c>
      <c r="E17" s="2992">
        <f t="shared" ref="E17" si="9">IF(SUM(E18:E19)=0,"NO",SUM(E18:E19))</f>
        <v>11.462288683163898</v>
      </c>
      <c r="F17" s="2992">
        <f t="shared" ref="F17" si="10">IF(SUM(F18:F19)=0,"NO",SUM(F18:F19))</f>
        <v>625.76976710775386</v>
      </c>
      <c r="G17" s="2992">
        <f t="shared" ref="G17" si="11">IF(SUM(G18:G19)=0,"NO",SUM(G18:G19))</f>
        <v>16108.055300764368</v>
      </c>
      <c r="H17" s="2993">
        <f t="shared" ref="H17" si="12">IF(SUM(H18:H19)=0,"NO",SUM(H18:H19))</f>
        <v>343.94279832818108</v>
      </c>
      <c r="I17" s="2999">
        <f t="shared" si="2"/>
        <v>79366.110083718406</v>
      </c>
    </row>
    <row r="18" spans="2:9" ht="18" customHeight="1" x14ac:dyDescent="0.2">
      <c r="B18" s="474" t="s">
        <v>988</v>
      </c>
      <c r="C18" s="2995">
        <f>IF(SUM(Table4.C!S11,'Table4(IV)'!J37)=0,"IE",SUM(Table4.C!S11,'Table4(IV)'!J37))</f>
        <v>13246.249745874564</v>
      </c>
      <c r="D18" s="2995">
        <f>'Table4(IV)'!K37</f>
        <v>256.52058134730879</v>
      </c>
      <c r="E18" s="2995">
        <f>IF(SUM('Table4(III)'!I29,'Table4(IV)'!L37)=0,"NO",SUM('Table4(III)'!I29,'Table4(IV)'!L37))</f>
        <v>9.6679384891264117</v>
      </c>
      <c r="F18" s="2905">
        <v>573.91732383863473</v>
      </c>
      <c r="G18" s="2905">
        <v>14105.074822440016</v>
      </c>
      <c r="H18" s="2906">
        <v>107.11155377370486</v>
      </c>
      <c r="I18" s="2996">
        <f t="shared" si="2"/>
        <v>22990.829723217706</v>
      </c>
    </row>
    <row r="19" spans="2:9" ht="18" customHeight="1" thickBot="1" x14ac:dyDescent="0.25">
      <c r="B19" s="475" t="s">
        <v>989</v>
      </c>
      <c r="C19" s="2997">
        <f>IF(SUM(Table4.C!S15,'Table4(IV)'!J42)=0,"IE",SUM(Table4.C!S15,'Table4(IV)'!J42))</f>
        <v>54010.720447731626</v>
      </c>
      <c r="D19" s="2997">
        <f>'Table4(IV)'!K42</f>
        <v>67.466325405326586</v>
      </c>
      <c r="E19" s="2997">
        <f>IF(SUM('Table4(III)'!I30,'Table4(IV)'!L42)=0,"NO",SUM('Table4(III)'!I30,'Table4(IV)'!L42))</f>
        <v>1.7943501940374855</v>
      </c>
      <c r="F19" s="2908">
        <v>51.852443269119171</v>
      </c>
      <c r="G19" s="2908">
        <v>2002.980478324353</v>
      </c>
      <c r="H19" s="2907">
        <v>236.83124455447626</v>
      </c>
      <c r="I19" s="2998">
        <f t="shared" si="2"/>
        <v>56375.280360500707</v>
      </c>
    </row>
    <row r="20" spans="2:9" ht="18" customHeight="1" x14ac:dyDescent="0.2">
      <c r="B20" s="473" t="s">
        <v>2027</v>
      </c>
      <c r="C20" s="2992">
        <f>IF(SUM(C21:C22)=0,"NO",SUM(C21:C22))</f>
        <v>1389.7699748607338</v>
      </c>
      <c r="D20" s="2992">
        <f t="shared" ref="D20" si="13">IF(SUM(D21:D22)=0,"NO",SUM(D21:D22))</f>
        <v>89.061705920406652</v>
      </c>
      <c r="E20" s="2992">
        <f t="shared" ref="E20" si="14">IF(SUM(E21:E22)=0,"NO",SUM(E21:E22))</f>
        <v>0.39522643228248899</v>
      </c>
      <c r="F20" s="2992">
        <f t="shared" ref="F20" si="15">IF(SUM(F21:F22)=0,"NO",SUM(F21:F22))</f>
        <v>29.301852982994916</v>
      </c>
      <c r="G20" s="2992">
        <f t="shared" ref="G20" si="16">IF(SUM(G21:G22)=0,"NO",SUM(G21:G22))</f>
        <v>702.62677772135385</v>
      </c>
      <c r="H20" s="2993">
        <f t="shared" ref="H20" si="17">IF(SUM(H21:H22)=0,"NO",SUM(H21:H22))</f>
        <v>0.45085218237120211</v>
      </c>
      <c r="I20" s="2999">
        <f t="shared" si="2"/>
        <v>3988.2327451869796</v>
      </c>
    </row>
    <row r="21" spans="2:9" ht="18" customHeight="1" x14ac:dyDescent="0.2">
      <c r="B21" s="474" t="s">
        <v>990</v>
      </c>
      <c r="C21" s="2995">
        <f>IF(SUM(Table4.D!S11,'Table4(IV)'!J49)=0,"IE",SUM(Table4.D!S11,'Table4(IV)'!J49))</f>
        <v>1383.8226415274005</v>
      </c>
      <c r="D21" s="2995">
        <f>IF(SUM('Table4(IV)'!K49,'Table4(II)'!J270)=0,"NO",SUM('Table4(IV)'!K49,'Table4(II)'!J270))</f>
        <v>87.077397265198314</v>
      </c>
      <c r="E21" s="2995">
        <f>IF(SUM('Table4(II)'!I270,'Table4(III)'!I38,'Table4(IV)'!L49)=0,"NO",SUM('Table4(II)'!I270,'Table4(III)'!I38,'Table4(IV)'!L49))</f>
        <v>0.39522643228248899</v>
      </c>
      <c r="F21" s="2905">
        <v>29.301852982994916</v>
      </c>
      <c r="G21" s="2905">
        <v>702.62677772135385</v>
      </c>
      <c r="H21" s="2906">
        <v>0.45085218237120211</v>
      </c>
      <c r="I21" s="2996">
        <f t="shared" si="2"/>
        <v>3926.7247695078127</v>
      </c>
    </row>
    <row r="22" spans="2:9" ht="18" customHeight="1" thickBot="1" x14ac:dyDescent="0.25">
      <c r="B22" s="475" t="s">
        <v>991</v>
      </c>
      <c r="C22" s="2997">
        <f>IF(SUM(Table4.D!S23,'Table4(II)'!H320,'Table4(IV)'!J54)=0,"NO",SUM(Table4.D!S23,'Table4(II)'!H320,'Table4(IV)'!J54))</f>
        <v>5.9473333333333338</v>
      </c>
      <c r="D22" s="2997">
        <f>IF(SUM('Table4(IV)'!K54,'Table4(II)'!J320)=0,"NO",SUM('Table4(IV)'!K54,'Table4(II)'!J320))</f>
        <v>1.9843086552083331</v>
      </c>
      <c r="E22" s="2997" t="str">
        <f>IF(SUM('Table4(II)'!I320,'Table4(III)'!I39,'Table4(IV)'!L54)=0,"NO",SUM('Table4(II)'!I320,'Table4(III)'!I39,'Table4(IV)'!L54))</f>
        <v>NO</v>
      </c>
      <c r="F22" s="2908" t="s">
        <v>2153</v>
      </c>
      <c r="G22" s="2908" t="s">
        <v>2153</v>
      </c>
      <c r="H22" s="2907" t="s">
        <v>2153</v>
      </c>
      <c r="I22" s="2998">
        <f t="shared" si="2"/>
        <v>61.507975679166663</v>
      </c>
    </row>
    <row r="23" spans="2:9" ht="18" customHeight="1" x14ac:dyDescent="0.2">
      <c r="B23" s="473" t="s">
        <v>992</v>
      </c>
      <c r="C23" s="2992">
        <f>IF(SUM(C24:C25)=0,"NO",SUM(C24:C25))</f>
        <v>4791.8709359467648</v>
      </c>
      <c r="D23" s="2992">
        <f t="shared" ref="D23" si="18">IF(SUM(D24:D25)=0,"NO",SUM(D24:D25))</f>
        <v>3.0061223999999998</v>
      </c>
      <c r="E23" s="2992">
        <f t="shared" ref="E23" si="19">IF(SUM(E24:E25)=0,"NO",SUM(E24:E25))</f>
        <v>9.3216906580797843E-2</v>
      </c>
      <c r="F23" s="2992">
        <f>IF(SUM(F24:F25)=0,"NO",SUM(F24:F25))</f>
        <v>2.2635385928571425</v>
      </c>
      <c r="G23" s="2992">
        <f t="shared" ref="G23" si="20">IF(SUM(G24:G25)=0,"NO",SUM(G24:G25))</f>
        <v>88.652776333333335</v>
      </c>
      <c r="H23" s="2993">
        <f t="shared" ref="H23" si="21">IF(SUM(H24:H25)=0,"NO",SUM(H24:H25))</f>
        <v>10.716269666666665</v>
      </c>
      <c r="I23" s="2999">
        <f t="shared" si="2"/>
        <v>4900.7448433906766</v>
      </c>
    </row>
    <row r="24" spans="2:9" ht="18" customHeight="1" x14ac:dyDescent="0.2">
      <c r="B24" s="474" t="s">
        <v>993</v>
      </c>
      <c r="C24" s="2995">
        <f>IF(SUM(Table4.E!S11,'Table4(IV)'!J60)=0,"IE",SUM(Table4.E!S11,'Table4(IV)'!J60))</f>
        <v>26.275495383423848</v>
      </c>
      <c r="D24" s="2995" t="str">
        <f>'Table4(IV)'!K60</f>
        <v>IE</v>
      </c>
      <c r="E24" s="2995">
        <f>IF(SUM('Table4(III)'!I47,'Table4(IV)'!L60)=0,"IE",SUM('Table4(III)'!I47,'Table4(IV)'!L60))</f>
        <v>9.2842637098418726E-4</v>
      </c>
      <c r="F24" s="2905" t="s">
        <v>2154</v>
      </c>
      <c r="G24" s="2905" t="s">
        <v>2154</v>
      </c>
      <c r="H24" s="2906" t="s">
        <v>2154</v>
      </c>
      <c r="I24" s="2996">
        <f t="shared" si="2"/>
        <v>26.521528371734657</v>
      </c>
    </row>
    <row r="25" spans="2:9" ht="18" customHeight="1" thickBot="1" x14ac:dyDescent="0.25">
      <c r="B25" s="475" t="s">
        <v>994</v>
      </c>
      <c r="C25" s="2997">
        <f>IF(SUM(Table4.E!S13,'Table4(IV)'!J65)=0,"IE",SUM(Table4.E!S13,'Table4(IV)'!J65))</f>
        <v>4765.5954405633411</v>
      </c>
      <c r="D25" s="2997">
        <f>'Table4(IV)'!K65</f>
        <v>3.0061223999999998</v>
      </c>
      <c r="E25" s="2997">
        <f>IF(SUM('Table4(III)'!I48,'Table4(IV)'!L65)=0,"NO",SUM('Table4(III)'!I48,'Table4(IV)'!L65))</f>
        <v>9.2288480209813659E-2</v>
      </c>
      <c r="F25" s="2908">
        <v>2.2635385928571425</v>
      </c>
      <c r="G25" s="2908">
        <v>88.652776333333335</v>
      </c>
      <c r="H25" s="2907">
        <v>10.716269666666665</v>
      </c>
      <c r="I25" s="2998">
        <f t="shared" si="2"/>
        <v>4874.2233150189413</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-4763.393118684573</v>
      </c>
      <c r="D29" s="3004"/>
      <c r="E29" s="3004"/>
      <c r="F29" s="3004"/>
      <c r="G29" s="3004"/>
      <c r="H29" s="3005"/>
      <c r="I29" s="3006">
        <f t="shared" si="2"/>
        <v>-4763.393118684573</v>
      </c>
    </row>
    <row r="30" spans="2:9" ht="18" customHeight="1" x14ac:dyDescent="0.2">
      <c r="B30" s="1168" t="s">
        <v>2063</v>
      </c>
      <c r="C30" s="3007">
        <f>IF(SUM(C31:C32)=0,"NO",SUM(C31:C32))</f>
        <v>0.40669153106816663</v>
      </c>
      <c r="D30" s="3007" t="str">
        <f t="shared" ref="D30" si="27">IF(SUM(D31:D32)=0,"NO",SUM(D31:D32))</f>
        <v>NO</v>
      </c>
      <c r="E30" s="3007">
        <f t="shared" ref="E30" si="28">IF(SUM(E31:E32)=0,"NO",SUM(E31:E32))</f>
        <v>0.12158971871405545</v>
      </c>
      <c r="F30" s="3007" t="str">
        <f t="shared" ref="F30" si="29">IF(SUM(F31:F32)=0,"NO",SUM(F31:F32))</f>
        <v>NO</v>
      </c>
      <c r="G30" s="3007" t="str">
        <f t="shared" ref="G30" si="30">IF(SUM(G31:G32)=0,"NO",SUM(G31:G32))</f>
        <v>NO</v>
      </c>
      <c r="H30" s="3008" t="str">
        <f t="shared" ref="H30" si="31">IF(SUM(H31:H32)=0,"NO",SUM(H31:H32))</f>
        <v>NO</v>
      </c>
      <c r="I30" s="3009">
        <f t="shared" si="2"/>
        <v>32.627966990292862</v>
      </c>
    </row>
    <row r="31" spans="2:9" ht="18" customHeight="1" x14ac:dyDescent="0.2">
      <c r="B31" s="2677" t="s">
        <v>2218</v>
      </c>
      <c r="C31" s="3010" t="s">
        <v>2146</v>
      </c>
      <c r="D31" s="3010" t="s">
        <v>2146</v>
      </c>
      <c r="E31" s="3010">
        <v>0.12158971871405545</v>
      </c>
      <c r="F31" s="3010" t="s">
        <v>2146</v>
      </c>
      <c r="G31" s="3010" t="s">
        <v>2146</v>
      </c>
      <c r="H31" s="3011" t="s">
        <v>2146</v>
      </c>
      <c r="I31" s="3012">
        <f t="shared" si="2"/>
        <v>32.221275459224692</v>
      </c>
    </row>
    <row r="32" spans="2:9" ht="18" customHeight="1" thickBot="1" x14ac:dyDescent="0.25">
      <c r="B32" s="2676" t="s">
        <v>2219</v>
      </c>
      <c r="C32" s="3013">
        <v>0.40669153106816663</v>
      </c>
      <c r="D32" s="3013" t="s">
        <v>2146</v>
      </c>
      <c r="E32" s="3013" t="s">
        <v>2146</v>
      </c>
      <c r="F32" s="3014" t="s">
        <v>2146</v>
      </c>
      <c r="G32" s="3014" t="s">
        <v>2146</v>
      </c>
      <c r="H32" s="3014" t="s">
        <v>2146</v>
      </c>
      <c r="I32" s="2998">
        <f t="shared" si="2"/>
        <v>0.40669153106816663</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-30441.477531108972</v>
      </c>
      <c r="D35" s="3013" t="s">
        <v>2146</v>
      </c>
      <c r="E35" s="3013" t="s">
        <v>2146</v>
      </c>
      <c r="F35" s="3013" t="s">
        <v>2146</v>
      </c>
      <c r="G35" s="3013" t="s">
        <v>2146</v>
      </c>
      <c r="H35" s="3013" t="s">
        <v>2146</v>
      </c>
      <c r="I35" s="3018">
        <f t="shared" ref="I35" si="32">IF(SUM(C35:E35)=0,"NO",SUM(C35)+28*SUM(D35)+265*SUM(E35))</f>
        <v>-30441.477531108972</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384382.39784356515</v>
      </c>
      <c r="D10" s="3765">
        <f t="shared" ref="D10:I10" si="0">IF(SUM(D11,D37,D47)=0,"NO",SUM(D11,D37,D47))</f>
        <v>1428.7291130169033</v>
      </c>
      <c r="E10" s="3765">
        <f t="shared" si="0"/>
        <v>12.390214503255736</v>
      </c>
      <c r="F10" s="3765">
        <f t="shared" si="0"/>
        <v>2200.5869169614311</v>
      </c>
      <c r="G10" s="3765">
        <f t="shared" si="0"/>
        <v>2841.5112798599671</v>
      </c>
      <c r="H10" s="3765">
        <f t="shared" si="0"/>
        <v>702.89347701757663</v>
      </c>
      <c r="I10" s="3766">
        <f t="shared" si="0"/>
        <v>777.73535122906696</v>
      </c>
      <c r="J10" s="3028">
        <f t="shared" ref="J10:J40" si="1">IF(SUM(C10:E10)=0,"NO",SUM(C10,IFERROR(28*D10,0),IFERROR(265*E10,0)))</f>
        <v>427670.21985140123</v>
      </c>
    </row>
    <row r="11" spans="2:10" s="83" customFormat="1" ht="18" customHeight="1" thickBot="1" x14ac:dyDescent="0.25">
      <c r="B11" s="18" t="s">
        <v>75</v>
      </c>
      <c r="C11" s="3029">
        <f>IF(SUM(C12,C16,C24,C30,C34)=0,"NO",SUM(C12,C16,C24,C30,C34))</f>
        <v>376416.2992935949</v>
      </c>
      <c r="D11" s="3029">
        <f t="shared" ref="D11:I11" si="2">IF(SUM(D12,D16,D24,D30,D34)=0,"NO",SUM(D12,D16,D24,D30,D34))</f>
        <v>85.852319846765141</v>
      </c>
      <c r="E11" s="3029">
        <f t="shared" si="2"/>
        <v>12.292639584731466</v>
      </c>
      <c r="F11" s="3029">
        <f t="shared" si="2"/>
        <v>2198.9646668396563</v>
      </c>
      <c r="G11" s="3029">
        <f t="shared" si="2"/>
        <v>2832.1022291536724</v>
      </c>
      <c r="H11" s="3029">
        <f t="shared" si="2"/>
        <v>483.63265949964847</v>
      </c>
      <c r="I11" s="3030">
        <f t="shared" si="2"/>
        <v>777.73535122906696</v>
      </c>
      <c r="J11" s="3031">
        <f t="shared" si="1"/>
        <v>382077.71373925818</v>
      </c>
    </row>
    <row r="12" spans="2:10" s="83" customFormat="1" ht="18" customHeight="1" x14ac:dyDescent="0.2">
      <c r="B12" s="26" t="s">
        <v>76</v>
      </c>
      <c r="C12" s="3029">
        <f>IF(SUM(C13:C15)=0,"NO",SUM(C13:C15))</f>
        <v>231140.21991732303</v>
      </c>
      <c r="D12" s="3029">
        <f t="shared" ref="D12:I12" si="3">IF(SUM(D13:D15)=0,"NO",SUM(D13:D15))</f>
        <v>22.726523867498472</v>
      </c>
      <c r="E12" s="3029">
        <f t="shared" si="3"/>
        <v>3.9406827398383077</v>
      </c>
      <c r="F12" s="3029">
        <f t="shared" si="3"/>
        <v>966.14112560601563</v>
      </c>
      <c r="G12" s="3029">
        <f t="shared" si="3"/>
        <v>190.28312286420254</v>
      </c>
      <c r="H12" s="3029">
        <f>IF(SUM(H13:H15)=0,"NO",SUM(H13:H15))</f>
        <v>43.276732684329609</v>
      </c>
      <c r="I12" s="3030">
        <f t="shared" si="3"/>
        <v>651.58816662573645</v>
      </c>
      <c r="J12" s="3031">
        <f t="shared" si="1"/>
        <v>232820.84351167013</v>
      </c>
    </row>
    <row r="13" spans="2:10" s="83" customFormat="1" ht="18" customHeight="1" x14ac:dyDescent="0.2">
      <c r="B13" s="20" t="s">
        <v>77</v>
      </c>
      <c r="C13" s="3032">
        <f>'Table1.A(a)s1'!H24</f>
        <v>210253.99342354812</v>
      </c>
      <c r="D13" s="3032">
        <f>'Table1.A(a)s1'!I24</f>
        <v>15.701786207807048</v>
      </c>
      <c r="E13" s="3032">
        <f>'Table1.A(a)s1'!J24</f>
        <v>3.5168888254111561</v>
      </c>
      <c r="F13" s="3033">
        <v>667.62836144861581</v>
      </c>
      <c r="G13" s="3033">
        <v>106.99076314320641</v>
      </c>
      <c r="H13" s="3033">
        <v>10.27062397568673</v>
      </c>
      <c r="I13" s="3034">
        <v>631.39438046046507</v>
      </c>
      <c r="J13" s="3035">
        <f t="shared" si="1"/>
        <v>211625.6189761007</v>
      </c>
    </row>
    <row r="14" spans="2:10" s="83" customFormat="1" ht="18" customHeight="1" x14ac:dyDescent="0.2">
      <c r="B14" s="20" t="s">
        <v>78</v>
      </c>
      <c r="C14" s="3032">
        <f>'Table1.A(a)s1'!H53</f>
        <v>5191.8922962258321</v>
      </c>
      <c r="D14" s="3032">
        <f>'Table1.A(a)s1'!I53</f>
        <v>8.1899229502998161E-2</v>
      </c>
      <c r="E14" s="3032">
        <f>'Table1.A(a)s1'!J53</f>
        <v>1.6247878718440242E-2</v>
      </c>
      <c r="F14" s="3033">
        <v>32.901269704923244</v>
      </c>
      <c r="G14" s="3033">
        <v>4.1270817370927526</v>
      </c>
      <c r="H14" s="3033">
        <v>7.9730117130887596E-2</v>
      </c>
      <c r="I14" s="3034">
        <v>8.7447628192439417</v>
      </c>
      <c r="J14" s="3035">
        <f t="shared" si="1"/>
        <v>5198.4911625123023</v>
      </c>
    </row>
    <row r="15" spans="2:10" s="83" customFormat="1" ht="18" customHeight="1" thickBot="1" x14ac:dyDescent="0.25">
      <c r="B15" s="21" t="s">
        <v>79</v>
      </c>
      <c r="C15" s="3036">
        <f>'Table1.A(a)s1'!H60</f>
        <v>15694.334197549106</v>
      </c>
      <c r="D15" s="3036">
        <f>'Table1.A(a)s1'!I60</f>
        <v>6.9428384301884254</v>
      </c>
      <c r="E15" s="3036">
        <f>'Table1.A(a)s1'!J60</f>
        <v>0.40754603570871134</v>
      </c>
      <c r="F15" s="3037">
        <v>265.61149445247656</v>
      </c>
      <c r="G15" s="3037">
        <v>79.165277983903394</v>
      </c>
      <c r="H15" s="3037">
        <v>32.926378591511991</v>
      </c>
      <c r="I15" s="3038">
        <v>11.449023346027344</v>
      </c>
      <c r="J15" s="3039">
        <f t="shared" si="1"/>
        <v>15996.73337305719</v>
      </c>
    </row>
    <row r="16" spans="2:10" s="83" customFormat="1" ht="18" customHeight="1" x14ac:dyDescent="0.2">
      <c r="B16" s="25" t="s">
        <v>80</v>
      </c>
      <c r="C16" s="3029">
        <f>IF(SUM(C17:C23)=0,"NO",SUM(C17:C23))</f>
        <v>40172.086958314503</v>
      </c>
      <c r="D16" s="3029">
        <f t="shared" ref="D16:I16" si="4">IF(SUM(D17:D23)=0,"NO",SUM(D17:D23))</f>
        <v>1.9433927180238111</v>
      </c>
      <c r="E16" s="3029">
        <f t="shared" si="4"/>
        <v>1.0925420454198598</v>
      </c>
      <c r="F16" s="3029">
        <f t="shared" si="4"/>
        <v>571.68468143535006</v>
      </c>
      <c r="G16" s="3029">
        <f t="shared" si="4"/>
        <v>176.54295137617436</v>
      </c>
      <c r="H16" s="3029">
        <f t="shared" si="4"/>
        <v>75.239114976277136</v>
      </c>
      <c r="I16" s="3030">
        <f t="shared" si="4"/>
        <v>90.665465774169817</v>
      </c>
      <c r="J16" s="3031">
        <f t="shared" si="1"/>
        <v>40516.025596455431</v>
      </c>
    </row>
    <row r="17" spans="2:10" s="83" customFormat="1" ht="18" customHeight="1" x14ac:dyDescent="0.2">
      <c r="B17" s="20" t="s">
        <v>81</v>
      </c>
      <c r="C17" s="3032">
        <f>'Table1.A(a)s2'!H17</f>
        <v>2005.4708286980167</v>
      </c>
      <c r="D17" s="3032">
        <f>'Table1.A(a)s2'!I17</f>
        <v>4.2297152717200553E-2</v>
      </c>
      <c r="E17" s="3032">
        <f>'Table1.A(a)s2'!J17</f>
        <v>2.3881137993757101E-2</v>
      </c>
      <c r="F17" s="3033">
        <v>20.613200549704487</v>
      </c>
      <c r="G17" s="3033">
        <v>3.4487762871745513</v>
      </c>
      <c r="H17" s="3033">
        <v>0.39892240809351914</v>
      </c>
      <c r="I17" s="3034">
        <v>7.4736280284985703</v>
      </c>
      <c r="J17" s="3035">
        <f t="shared" si="1"/>
        <v>2012.9836505424439</v>
      </c>
    </row>
    <row r="18" spans="2:10" s="83" customFormat="1" ht="18" customHeight="1" x14ac:dyDescent="0.2">
      <c r="B18" s="20" t="s">
        <v>82</v>
      </c>
      <c r="C18" s="3032">
        <f>'Table1.A(a)s2'!H24</f>
        <v>13379.420453521227</v>
      </c>
      <c r="D18" s="3032">
        <f>'Table1.A(a)s2'!I24</f>
        <v>0.25511838545221599</v>
      </c>
      <c r="E18" s="3032">
        <f>'Table1.A(a)s2'!J24</f>
        <v>0.15360732574741109</v>
      </c>
      <c r="F18" s="3033">
        <v>97.887146680200772</v>
      </c>
      <c r="G18" s="3033">
        <v>17.054670786822108</v>
      </c>
      <c r="H18" s="3033">
        <v>3.0343382928775759</v>
      </c>
      <c r="I18" s="3034">
        <v>50.661211116285152</v>
      </c>
      <c r="J18" s="3035">
        <f t="shared" si="1"/>
        <v>13427.269709636952</v>
      </c>
    </row>
    <row r="19" spans="2:10" s="83" customFormat="1" ht="18" customHeight="1" x14ac:dyDescent="0.2">
      <c r="B19" s="20" t="s">
        <v>83</v>
      </c>
      <c r="C19" s="3032">
        <f>'Table1.A(a)s2'!H31</f>
        <v>6765.7724917991673</v>
      </c>
      <c r="D19" s="3032">
        <f>'Table1.A(a)s2'!I31</f>
        <v>0.24370673157552558</v>
      </c>
      <c r="E19" s="3032">
        <f>'Table1.A(a)s2'!J31</f>
        <v>8.1202751168407986E-2</v>
      </c>
      <c r="F19" s="3033">
        <v>49.189996629196713</v>
      </c>
      <c r="G19" s="3033">
        <v>18.030488820349873</v>
      </c>
      <c r="H19" s="3033">
        <v>11.866570326357401</v>
      </c>
      <c r="I19" s="3034">
        <v>4.2007265271174088</v>
      </c>
      <c r="J19" s="3035">
        <f t="shared" si="1"/>
        <v>6794.1150093429096</v>
      </c>
    </row>
    <row r="20" spans="2:10" s="83" customFormat="1" ht="18" customHeight="1" x14ac:dyDescent="0.2">
      <c r="B20" s="20" t="s">
        <v>84</v>
      </c>
      <c r="C20" s="3032">
        <f>'Table1.A(a)s2'!H38</f>
        <v>1323.431797843321</v>
      </c>
      <c r="D20" s="3032">
        <f>'Table1.A(a)s2'!I38</f>
        <v>0.21152686182847433</v>
      </c>
      <c r="E20" s="3032">
        <f>'Table1.A(a)s2'!J38</f>
        <v>0.13987905289017249</v>
      </c>
      <c r="F20" s="3033">
        <v>5.8054901970868187</v>
      </c>
      <c r="G20" s="3033">
        <v>5.103979831286912</v>
      </c>
      <c r="H20" s="3033">
        <v>0.16583667905123819</v>
      </c>
      <c r="I20" s="3034">
        <v>1.9514271112210693</v>
      </c>
      <c r="J20" s="3035">
        <f t="shared" si="1"/>
        <v>1366.4224989904139</v>
      </c>
    </row>
    <row r="21" spans="2:10" s="83" customFormat="1" ht="18" customHeight="1" x14ac:dyDescent="0.2">
      <c r="B21" s="20" t="s">
        <v>85</v>
      </c>
      <c r="C21" s="3032">
        <f>'Table1.A(a)s2'!H45</f>
        <v>3085.2563482307519</v>
      </c>
      <c r="D21" s="3032">
        <f>'Table1.A(a)s2'!I45</f>
        <v>0.51274512493844271</v>
      </c>
      <c r="E21" s="3032">
        <f>'Table1.A(a)s2'!J45</f>
        <v>0.33346826833305143</v>
      </c>
      <c r="F21" s="3033">
        <v>16.389808364603336</v>
      </c>
      <c r="G21" s="3033">
        <v>14.811533780375058</v>
      </c>
      <c r="H21" s="3033">
        <v>1.0913381443158754</v>
      </c>
      <c r="I21" s="3034">
        <v>5.7439062286357228</v>
      </c>
      <c r="J21" s="3035">
        <f t="shared" si="1"/>
        <v>3187.9823028372866</v>
      </c>
    </row>
    <row r="22" spans="2:10" s="83" customFormat="1" ht="18" customHeight="1" x14ac:dyDescent="0.2">
      <c r="B22" s="20" t="s">
        <v>86</v>
      </c>
      <c r="C22" s="3032">
        <f>'Table1.A(a)s2'!H52</f>
        <v>6149.549290756715</v>
      </c>
      <c r="D22" s="3032">
        <f>'Table1.A(a)s2'!I52</f>
        <v>0.30908418505810747</v>
      </c>
      <c r="E22" s="3032">
        <f>'Table1.A(a)s2'!J52</f>
        <v>5.7170486810388964E-2</v>
      </c>
      <c r="F22" s="3033">
        <v>93.120879576031157</v>
      </c>
      <c r="G22" s="3033">
        <v>25.550307782410549</v>
      </c>
      <c r="H22" s="3033">
        <v>15.669166207594944</v>
      </c>
      <c r="I22" s="3034">
        <v>10.968976112112831</v>
      </c>
      <c r="J22" s="3035">
        <f t="shared" si="1"/>
        <v>6173.3538269430956</v>
      </c>
    </row>
    <row r="23" spans="2:10" s="83" customFormat="1" ht="18" customHeight="1" thickBot="1" x14ac:dyDescent="0.25">
      <c r="B23" s="3060" t="s">
        <v>2115</v>
      </c>
      <c r="C23" s="3032">
        <f>'Table1.A(a)s2'!H59</f>
        <v>7463.1857474653061</v>
      </c>
      <c r="D23" s="3032">
        <f>'Table1.A(a)s2'!I59</f>
        <v>0.36891427645384445</v>
      </c>
      <c r="E23" s="3032">
        <f>'Table1.A(a)s2'!J59</f>
        <v>0.30333302247667082</v>
      </c>
      <c r="F23" s="3033">
        <v>288.67815943852679</v>
      </c>
      <c r="G23" s="3033">
        <v>92.543194087755296</v>
      </c>
      <c r="H23" s="3033">
        <v>43.012942917986578</v>
      </c>
      <c r="I23" s="3034">
        <v>9.6655906502990607</v>
      </c>
      <c r="J23" s="3035">
        <f t="shared" si="1"/>
        <v>7553.8985981623318</v>
      </c>
    </row>
    <row r="24" spans="2:10" s="83" customFormat="1" ht="18" customHeight="1" x14ac:dyDescent="0.2">
      <c r="B24" s="25" t="s">
        <v>87</v>
      </c>
      <c r="C24" s="3029">
        <f>IF(SUM(C25:C29)=0,"NO",SUM(C25:C29))</f>
        <v>84939.139138535204</v>
      </c>
      <c r="D24" s="3029">
        <f t="shared" ref="D24:I24" si="5">IF(SUM(D25:D29)=0,"NO",SUM(D25:D29))</f>
        <v>18.131143587407117</v>
      </c>
      <c r="E24" s="3029">
        <f t="shared" si="5"/>
        <v>6.5901892421657928</v>
      </c>
      <c r="F24" s="3029">
        <f t="shared" si="5"/>
        <v>312.56618461879549</v>
      </c>
      <c r="G24" s="3029">
        <f t="shared" si="5"/>
        <v>1751.0240095809397</v>
      </c>
      <c r="H24" s="3029">
        <f t="shared" si="5"/>
        <v>247.83160070217801</v>
      </c>
      <c r="I24" s="3030">
        <f t="shared" si="5"/>
        <v>27.872073736617608</v>
      </c>
      <c r="J24" s="3031">
        <f t="shared" si="1"/>
        <v>87193.211308156533</v>
      </c>
    </row>
    <row r="25" spans="2:10" s="83" customFormat="1" ht="18" customHeight="1" x14ac:dyDescent="0.2">
      <c r="B25" s="20" t="s">
        <v>88</v>
      </c>
      <c r="C25" s="1878">
        <f>'Table1.A(a)s3'!H16</f>
        <v>6653.2227368495523</v>
      </c>
      <c r="D25" s="1878">
        <f>'Table1.A(a)s3'!I16</f>
        <v>3.3143373003848113E-2</v>
      </c>
      <c r="E25" s="1878">
        <f>'Table1.A(a)s3'!J16</f>
        <v>5.0781130509167008E-2</v>
      </c>
      <c r="F25" s="3033">
        <v>22.454351063486065</v>
      </c>
      <c r="G25" s="3033">
        <v>15.049431532556552</v>
      </c>
      <c r="H25" s="3033">
        <v>1.4763834537068943</v>
      </c>
      <c r="I25" s="3034">
        <v>0.78464249711591938</v>
      </c>
      <c r="J25" s="3035">
        <f t="shared" si="1"/>
        <v>6667.6077508785902</v>
      </c>
    </row>
    <row r="26" spans="2:10" s="83" customFormat="1" ht="18" customHeight="1" x14ac:dyDescent="0.2">
      <c r="B26" s="20" t="s">
        <v>89</v>
      </c>
      <c r="C26" s="1878">
        <f>'Table1.A(a)s3'!H20</f>
        <v>73091.804287065781</v>
      </c>
      <c r="D26" s="1878">
        <f>'Table1.A(a)s3'!I20</f>
        <v>13.552882039561226</v>
      </c>
      <c r="E26" s="1878">
        <f>'Table1.A(a)s3'!J20</f>
        <v>5.4644996375773243</v>
      </c>
      <c r="F26" s="3033">
        <v>210.84812004585842</v>
      </c>
      <c r="G26" s="3033">
        <v>1494.7684855653629</v>
      </c>
      <c r="H26" s="3033">
        <v>205.17347622132453</v>
      </c>
      <c r="I26" s="3034">
        <v>14.662741406907355</v>
      </c>
      <c r="J26" s="3035">
        <f t="shared" si="1"/>
        <v>74919.377388131485</v>
      </c>
    </row>
    <row r="27" spans="2:10" s="83" customFormat="1" ht="18" customHeight="1" x14ac:dyDescent="0.2">
      <c r="B27" s="20" t="s">
        <v>90</v>
      </c>
      <c r="C27" s="1878">
        <f>'Table1.A(a)s3'!H81</f>
        <v>2405.0702700000002</v>
      </c>
      <c r="D27" s="1878">
        <f>'Table1.A(a)s3'!I81</f>
        <v>0.13762920000000001</v>
      </c>
      <c r="E27" s="1878">
        <f>'Table1.A(a)s3'!J81</f>
        <v>1.032219</v>
      </c>
      <c r="F27" s="3033">
        <v>52.643169000000007</v>
      </c>
      <c r="G27" s="3033">
        <v>6.9502746000000002</v>
      </c>
      <c r="H27" s="3033">
        <v>2.4429182999999997</v>
      </c>
      <c r="I27" s="3034">
        <v>1.9618197368421049</v>
      </c>
      <c r="J27" s="3035">
        <f t="shared" si="1"/>
        <v>2682.4619226</v>
      </c>
    </row>
    <row r="28" spans="2:10" s="83" customFormat="1" ht="18" customHeight="1" x14ac:dyDescent="0.2">
      <c r="B28" s="20" t="s">
        <v>91</v>
      </c>
      <c r="C28" s="1878">
        <f>'Table1.A(a)s3'!H88</f>
        <v>2132.344918442951</v>
      </c>
      <c r="D28" s="1878">
        <f>'Table1.A(a)s3'!I88</f>
        <v>4.2798250910068072</v>
      </c>
      <c r="E28" s="1878">
        <f>'Table1.A(a)s3'!J88</f>
        <v>4.1364710133106969E-2</v>
      </c>
      <c r="F28" s="3033">
        <v>24.141923208192903</v>
      </c>
      <c r="G28" s="3033">
        <v>229.03675743663447</v>
      </c>
      <c r="H28" s="3033">
        <v>38.00601719437433</v>
      </c>
      <c r="I28" s="3034">
        <v>10.457511091172028</v>
      </c>
      <c r="J28" s="3035">
        <f t="shared" si="1"/>
        <v>2263.1416691764148</v>
      </c>
    </row>
    <row r="29" spans="2:10" s="83" customFormat="1" ht="18" customHeight="1" thickBot="1" x14ac:dyDescent="0.25">
      <c r="B29" s="22" t="s">
        <v>92</v>
      </c>
      <c r="C29" s="1881">
        <f>'Table1.A(a)s3'!H99</f>
        <v>656.69692617692931</v>
      </c>
      <c r="D29" s="1881">
        <f>'Table1.A(a)s3'!I99</f>
        <v>0.12766388383523478</v>
      </c>
      <c r="E29" s="1881">
        <f>'Table1.A(a)s3'!J99</f>
        <v>1.3247639461952902E-3</v>
      </c>
      <c r="F29" s="3040">
        <v>2.4786213012581157</v>
      </c>
      <c r="G29" s="3040">
        <v>5.219060446385857</v>
      </c>
      <c r="H29" s="3040">
        <v>0.73280553277226668</v>
      </c>
      <c r="I29" s="3041">
        <v>5.3590045801999E-3</v>
      </c>
      <c r="J29" s="3042">
        <f t="shared" si="1"/>
        <v>660.62257737005757</v>
      </c>
    </row>
    <row r="30" spans="2:10" ht="18" customHeight="1" x14ac:dyDescent="0.2">
      <c r="B30" s="26" t="s">
        <v>93</v>
      </c>
      <c r="C30" s="3029">
        <f>IF(SUM(C31:C33)=0,"NO",SUM(C31:C33))</f>
        <v>19338.07645335851</v>
      </c>
      <c r="D30" s="3029">
        <f t="shared" ref="D30" si="6">IF(SUM(D31:D33)=0,"NO",SUM(D31:D33))</f>
        <v>43.022614033889141</v>
      </c>
      <c r="E30" s="3029">
        <f t="shared" ref="E30" si="7">IF(SUM(E31:E33)=0,"NO",SUM(E31:E33))</f>
        <v>0.64602842966627461</v>
      </c>
      <c r="F30" s="3029">
        <f t="shared" ref="F30" si="8">IF(SUM(F31:F33)=0,"NO",SUM(F31:F33))</f>
        <v>342.2149898552629</v>
      </c>
      <c r="G30" s="3029">
        <f t="shared" ref="G30" si="9">IF(SUM(G31:G33)=0,"NO",SUM(G31:G33))</f>
        <v>710.35214536333058</v>
      </c>
      <c r="H30" s="3029">
        <f t="shared" ref="H30" si="10">IF(SUM(H31:H33)=0,"NO",SUM(H31:H33))</f>
        <v>116.80511652884233</v>
      </c>
      <c r="I30" s="3030">
        <f t="shared" ref="I30" si="11">IF(SUM(I31:I33)=0,"NO",SUM(I31:I33))</f>
        <v>7.3696348439695258</v>
      </c>
      <c r="J30" s="3043">
        <f t="shared" si="1"/>
        <v>20713.907180168968</v>
      </c>
    </row>
    <row r="31" spans="2:10" ht="18" customHeight="1" x14ac:dyDescent="0.2">
      <c r="B31" s="20" t="s">
        <v>94</v>
      </c>
      <c r="C31" s="3032">
        <f>'Table1.A(a)s4'!H17</f>
        <v>4841.3548908914563</v>
      </c>
      <c r="D31" s="3032">
        <f>'Table1.A(a)s4'!I17</f>
        <v>0.10703895079394607</v>
      </c>
      <c r="E31" s="3032">
        <f>'Table1.A(a)s4'!J17</f>
        <v>8.8171441288576E-2</v>
      </c>
      <c r="F31" s="3033">
        <v>24.389199178918645</v>
      </c>
      <c r="G31" s="3033">
        <v>10.026639206625973</v>
      </c>
      <c r="H31" s="3033">
        <v>3.2171196566829057</v>
      </c>
      <c r="I31" s="3034">
        <v>2.2957149437154278</v>
      </c>
      <c r="J31" s="3035">
        <f t="shared" si="1"/>
        <v>4867.7174134551597</v>
      </c>
    </row>
    <row r="32" spans="2:10" ht="18" customHeight="1" x14ac:dyDescent="0.2">
      <c r="B32" s="20" t="s">
        <v>95</v>
      </c>
      <c r="C32" s="3032">
        <f>'Table1.A(a)s4'!H38</f>
        <v>8545.8755722663409</v>
      </c>
      <c r="D32" s="3032">
        <f>'Table1.A(a)s4'!I38</f>
        <v>42.396391239805148</v>
      </c>
      <c r="E32" s="3032">
        <f>'Table1.A(a)s4'!J38</f>
        <v>0.24875190699241717</v>
      </c>
      <c r="F32" s="3033">
        <v>11.825220650370168</v>
      </c>
      <c r="G32" s="3033">
        <v>574.37047648570888</v>
      </c>
      <c r="H32" s="3033">
        <v>66.918678039258992</v>
      </c>
      <c r="I32" s="3034">
        <v>0.52852288937690695</v>
      </c>
      <c r="J32" s="3035">
        <f t="shared" si="1"/>
        <v>9798.8937823338747</v>
      </c>
    </row>
    <row r="33" spans="2:10" ht="18" customHeight="1" thickBot="1" x14ac:dyDescent="0.25">
      <c r="B33" s="20" t="s">
        <v>96</v>
      </c>
      <c r="C33" s="3032">
        <f>'Table1.A(a)s4'!H59</f>
        <v>5950.8459902007144</v>
      </c>
      <c r="D33" s="3032">
        <f>'Table1.A(a)s4'!I59</f>
        <v>0.5191838432900433</v>
      </c>
      <c r="E33" s="3032">
        <f>'Table1.A(a)s4'!J59</f>
        <v>0.30910508138528142</v>
      </c>
      <c r="F33" s="3033">
        <v>306.00057002597407</v>
      </c>
      <c r="G33" s="3033">
        <v>125.95502967099567</v>
      </c>
      <c r="H33" s="3033">
        <v>46.66931883290043</v>
      </c>
      <c r="I33" s="3034">
        <v>4.5453970108771911</v>
      </c>
      <c r="J33" s="3035">
        <f t="shared" si="1"/>
        <v>6047.2959843799345</v>
      </c>
    </row>
    <row r="34" spans="2:10" ht="18" customHeight="1" x14ac:dyDescent="0.2">
      <c r="B34" s="25" t="s">
        <v>2116</v>
      </c>
      <c r="C34" s="3029">
        <f>IF(SUM(C35:C36)=0,"NO",SUM(C35:C36))</f>
        <v>826.77682606361236</v>
      </c>
      <c r="D34" s="3029">
        <f t="shared" ref="D34:E34" si="12">IF(SUM(D35:D36)=0,"NO",SUM(D35:D36))</f>
        <v>2.8645639946599452E-2</v>
      </c>
      <c r="E34" s="3029">
        <f t="shared" si="12"/>
        <v>2.3197127641231184E-2</v>
      </c>
      <c r="F34" s="3029">
        <f t="shared" ref="F34:I34" si="13">IF(SUM(F35:F36)=0,"NO",SUM(F35:F36))</f>
        <v>6.35768532423217</v>
      </c>
      <c r="G34" s="3029">
        <f t="shared" si="13"/>
        <v>3.8999999690251372</v>
      </c>
      <c r="H34" s="3029">
        <f t="shared" si="13"/>
        <v>0.48009460802135057</v>
      </c>
      <c r="I34" s="3030">
        <f t="shared" si="13"/>
        <v>0.24001024857362832</v>
      </c>
      <c r="J34" s="3031">
        <f t="shared" si="1"/>
        <v>833.7261428070434</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826.77682606361236</v>
      </c>
      <c r="D36" s="3044">
        <f>'Table1.A(a)s4'!I108</f>
        <v>2.8645639946599452E-2</v>
      </c>
      <c r="E36" s="3044">
        <f>'Table1.A(a)s4'!J108</f>
        <v>2.3197127641231184E-2</v>
      </c>
      <c r="F36" s="3040">
        <v>6.35768532423217</v>
      </c>
      <c r="G36" s="3040">
        <v>3.8999999690251372</v>
      </c>
      <c r="H36" s="3040">
        <v>0.48009460802135057</v>
      </c>
      <c r="I36" s="3041">
        <v>0.24001024857362832</v>
      </c>
      <c r="J36" s="3042">
        <f t="shared" si="1"/>
        <v>833.7261428070434</v>
      </c>
    </row>
    <row r="37" spans="2:10" ht="18" customHeight="1" thickBot="1" x14ac:dyDescent="0.25">
      <c r="B37" s="18" t="s">
        <v>99</v>
      </c>
      <c r="C37" s="3029">
        <f>IF(SUM(C38,C42)=0,"NO",SUM(C38,C42))</f>
        <v>7966.0985499702711</v>
      </c>
      <c r="D37" s="3029">
        <f t="shared" ref="D37:I37" si="14">IF(SUM(D38,D42)=0,"NO",SUM(D38,D42))</f>
        <v>1342.8767931701382</v>
      </c>
      <c r="E37" s="3029">
        <f t="shared" si="14"/>
        <v>9.7574918524269652E-2</v>
      </c>
      <c r="F37" s="3029">
        <f t="shared" si="14"/>
        <v>1.6222501217749361</v>
      </c>
      <c r="G37" s="3029">
        <f t="shared" si="14"/>
        <v>9.4090507062946305</v>
      </c>
      <c r="H37" s="3029">
        <f t="shared" si="14"/>
        <v>219.26081751792816</v>
      </c>
      <c r="I37" s="3030" t="str">
        <f t="shared" si="14"/>
        <v>NO</v>
      </c>
      <c r="J37" s="3031">
        <f t="shared" si="1"/>
        <v>45592.50611214307</v>
      </c>
    </row>
    <row r="38" spans="2:10" ht="18" customHeight="1" x14ac:dyDescent="0.2">
      <c r="B38" s="26" t="s">
        <v>100</v>
      </c>
      <c r="C38" s="3029">
        <f>IF(SUM(C39:C41)=0,"NO",SUM(C39:C41))</f>
        <v>1308.4125121797349</v>
      </c>
      <c r="D38" s="3029">
        <f t="shared" ref="D38" si="15">IF(SUM(D39:D41)=0,"NO",SUM(D39:D41))</f>
        <v>1139.2162164153619</v>
      </c>
      <c r="E38" s="3029">
        <f t="shared" ref="E38" si="16">IF(SUM(E39:E41)=0,"NO",SUM(E39:E41))</f>
        <v>3.4002767032537785E-4</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33206.556679142508</v>
      </c>
    </row>
    <row r="39" spans="2:10" ht="18" customHeight="1" x14ac:dyDescent="0.2">
      <c r="B39" s="20" t="s">
        <v>101</v>
      </c>
      <c r="C39" s="3032">
        <f>'Table1.B.1'!G10</f>
        <v>1308.4125121797349</v>
      </c>
      <c r="D39" s="3032">
        <f>SUM('Table1.B.1'!F10,'Table1.B.1'!H10)</f>
        <v>1139.2162164153619</v>
      </c>
      <c r="E39" s="3033">
        <v>3.4002767032537785E-4</v>
      </c>
      <c r="F39" s="3033" t="s">
        <v>2146</v>
      </c>
      <c r="G39" s="3033" t="s">
        <v>2146</v>
      </c>
      <c r="H39" s="3033" t="s">
        <v>2146</v>
      </c>
      <c r="I39" s="2931"/>
      <c r="J39" s="3035">
        <f t="shared" si="1"/>
        <v>33206.556679142508</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6657.6860377905359</v>
      </c>
      <c r="D42" s="3029">
        <f t="shared" ref="D42:I42" si="21">IF(SUM(D43:D46)=0,"NO",SUM(D43:D46))</f>
        <v>203.6605767547762</v>
      </c>
      <c r="E42" s="3029">
        <f t="shared" si="21"/>
        <v>9.7234890853944281E-2</v>
      </c>
      <c r="F42" s="3029">
        <f t="shared" si="21"/>
        <v>1.6222501217749361</v>
      </c>
      <c r="G42" s="3029">
        <f t="shared" si="21"/>
        <v>9.4090507062946305</v>
      </c>
      <c r="H42" s="3029">
        <f t="shared" si="21"/>
        <v>219.26081751792816</v>
      </c>
      <c r="I42" s="3030" t="str">
        <f t="shared" si="21"/>
        <v>NO</v>
      </c>
      <c r="J42" s="3031">
        <f t="shared" ref="J42:J59" si="22">IF(SUM(C42:E42)=0,"NO",SUM(C42,IFERROR(28*D42,0),IFERROR(265*E42,0)))</f>
        <v>12385.949433000565</v>
      </c>
    </row>
    <row r="43" spans="2:10" ht="18" customHeight="1" x14ac:dyDescent="0.2">
      <c r="B43" s="20" t="s">
        <v>103</v>
      </c>
      <c r="C43" s="3032">
        <f>'Table1.B.2'!I10</f>
        <v>291.858230005</v>
      </c>
      <c r="D43" s="3032">
        <f>'Table1.B.2'!J10</f>
        <v>3.8451879054070752</v>
      </c>
      <c r="E43" s="3032">
        <f>'Table1.B.2'!K10</f>
        <v>8.9261885790000006E-3</v>
      </c>
      <c r="F43" s="3033">
        <v>0.16529978849999999</v>
      </c>
      <c r="G43" s="3033">
        <v>0.9587387732999999</v>
      </c>
      <c r="H43" s="3033">
        <v>126.51860042962738</v>
      </c>
      <c r="I43" s="3034" t="s">
        <v>2146</v>
      </c>
      <c r="J43" s="3035">
        <f t="shared" si="22"/>
        <v>401.8889313298331</v>
      </c>
    </row>
    <row r="44" spans="2:10" ht="18" customHeight="1" x14ac:dyDescent="0.2">
      <c r="B44" s="20" t="s">
        <v>104</v>
      </c>
      <c r="C44" s="3032">
        <f>SUM('Table1.B.2'!I21,'Table1.B.2'!L21)</f>
        <v>44.827856879532739</v>
      </c>
      <c r="D44" s="3032">
        <f>'Table1.B.2'!J21</f>
        <v>147.3107406446299</v>
      </c>
      <c r="E44" s="3032">
        <f>'Table1.B.2'!K21</f>
        <v>1.0490113169999999E-3</v>
      </c>
      <c r="F44" s="3033">
        <v>1.94261355E-2</v>
      </c>
      <c r="G44" s="3033">
        <v>0.11267158590000001</v>
      </c>
      <c r="H44" s="3033">
        <v>78.366975110551408</v>
      </c>
      <c r="I44" s="3034" t="s">
        <v>2146</v>
      </c>
      <c r="J44" s="3035">
        <f t="shared" si="22"/>
        <v>4169.806582928175</v>
      </c>
    </row>
    <row r="45" spans="2:10" ht="18" customHeight="1" x14ac:dyDescent="0.2">
      <c r="B45" s="20" t="s">
        <v>105</v>
      </c>
      <c r="C45" s="3032">
        <f>'Table1.B.2'!I35</f>
        <v>6320.9999509060035</v>
      </c>
      <c r="D45" s="3032">
        <f>'Table1.B.2'!J35</f>
        <v>52.504648204739226</v>
      </c>
      <c r="E45" s="3032">
        <f>'Table1.B.2'!K35</f>
        <v>8.725969095794428E-2</v>
      </c>
      <c r="F45" s="3033">
        <v>1.4375241977749362</v>
      </c>
      <c r="G45" s="3033">
        <v>8.3376403470946308</v>
      </c>
      <c r="H45" s="3033">
        <v>14.375241977749365</v>
      </c>
      <c r="I45" s="3034" t="s">
        <v>2146</v>
      </c>
      <c r="J45" s="3035">
        <f t="shared" si="22"/>
        <v>7814.2539187425573</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12188.047604479998</v>
      </c>
      <c r="D52" s="3032">
        <f t="shared" ref="D52:I52" si="23">IF(SUM(D53:D54)=0,"NO",SUM(D53:D54))</f>
        <v>0.27563272536585365</v>
      </c>
      <c r="E52" s="3032">
        <f t="shared" si="23"/>
        <v>0.12281481179620027</v>
      </c>
      <c r="F52" s="3032">
        <f t="shared" si="23"/>
        <v>121.12027496280872</v>
      </c>
      <c r="G52" s="3032">
        <f t="shared" si="23"/>
        <v>16.876835716636712</v>
      </c>
      <c r="H52" s="3032">
        <f t="shared" si="23"/>
        <v>9.5183339781448009</v>
      </c>
      <c r="I52" s="3055">
        <f t="shared" si="23"/>
        <v>45.514006201342184</v>
      </c>
      <c r="J52" s="3035">
        <f t="shared" si="22"/>
        <v>12228.311245916235</v>
      </c>
    </row>
    <row r="53" spans="2:10" ht="18" customHeight="1" x14ac:dyDescent="0.2">
      <c r="B53" s="164" t="s">
        <v>111</v>
      </c>
      <c r="C53" s="3032">
        <f>Table1.D!G10</f>
        <v>9474.0236044799985</v>
      </c>
      <c r="D53" s="3032">
        <f>Table1.D!H10</f>
        <v>1.6632725365853661E-2</v>
      </c>
      <c r="E53" s="3032">
        <f>Table1.D!I10</f>
        <v>4.8814811796200265E-2</v>
      </c>
      <c r="F53" s="3033">
        <v>48.161874962808724</v>
      </c>
      <c r="G53" s="3033">
        <v>14.953715716636713</v>
      </c>
      <c r="H53" s="3033">
        <v>7.2294939781448004</v>
      </c>
      <c r="I53" s="3034">
        <v>1.11619243616</v>
      </c>
      <c r="J53" s="3035">
        <f t="shared" si="22"/>
        <v>9487.4252459162362</v>
      </c>
    </row>
    <row r="54" spans="2:10" ht="18" customHeight="1" x14ac:dyDescent="0.2">
      <c r="B54" s="164" t="s">
        <v>112</v>
      </c>
      <c r="C54" s="3032">
        <f>Table1.D!G14</f>
        <v>2714.0239999999994</v>
      </c>
      <c r="D54" s="3032">
        <f>Table1.D!H14</f>
        <v>0.25900000000000001</v>
      </c>
      <c r="E54" s="3032">
        <f>Table1.D!I14</f>
        <v>7.3999999999999996E-2</v>
      </c>
      <c r="F54" s="3033">
        <v>72.958399999999997</v>
      </c>
      <c r="G54" s="3033">
        <v>1.9231199999999999</v>
      </c>
      <c r="H54" s="3033">
        <v>2.28884</v>
      </c>
      <c r="I54" s="3034">
        <v>44.397813765182185</v>
      </c>
      <c r="J54" s="3035">
        <f t="shared" si="22"/>
        <v>2740.8859999999995</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14734.32202037581</v>
      </c>
      <c r="D56" s="3056"/>
      <c r="E56" s="3056"/>
      <c r="F56" s="3056"/>
      <c r="G56" s="3056"/>
      <c r="H56" s="3056"/>
      <c r="I56" s="2971"/>
      <c r="J56" s="3039">
        <f t="shared" si="22"/>
        <v>14734.32202037581</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130561.509398069</v>
      </c>
      <c r="D10" s="3549" t="s">
        <v>2146</v>
      </c>
      <c r="E10" s="3549">
        <v>18.845575057000001</v>
      </c>
      <c r="F10" s="3549">
        <v>441.84238764899999</v>
      </c>
      <c r="G10" s="3549" t="s">
        <v>2146</v>
      </c>
      <c r="H10" s="3549">
        <v>0.31703307200000003</v>
      </c>
      <c r="I10" s="3549" t="s">
        <v>2146</v>
      </c>
      <c r="J10" s="3549">
        <v>23.210287885</v>
      </c>
      <c r="K10" s="3549" t="s">
        <v>2146</v>
      </c>
      <c r="L10" s="3549" t="s">
        <v>2146</v>
      </c>
      <c r="M10" s="3550">
        <f>IF(SUM(C10:L10)=0,"NO",SUM(C10:L10))</f>
        <v>131045.724681732</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15.638386007999999</v>
      </c>
      <c r="D12" s="3549" t="s">
        <v>2146</v>
      </c>
      <c r="E12" s="3549">
        <v>39951.516958132997</v>
      </c>
      <c r="F12" s="3549" t="s">
        <v>2153</v>
      </c>
      <c r="G12" s="3549" t="s">
        <v>2146</v>
      </c>
      <c r="H12" s="3549" t="s">
        <v>2153</v>
      </c>
      <c r="I12" s="3549" t="s">
        <v>2146</v>
      </c>
      <c r="J12" s="3549" t="s">
        <v>2153</v>
      </c>
      <c r="K12" s="3549" t="s">
        <v>2146</v>
      </c>
      <c r="L12" s="3549" t="s">
        <v>2146</v>
      </c>
      <c r="M12" s="3550">
        <f t="shared" si="0"/>
        <v>39967.155344141</v>
      </c>
    </row>
    <row r="13" spans="2:13" ht="18" customHeight="1" x14ac:dyDescent="0.2">
      <c r="B13" s="2277" t="s">
        <v>1961</v>
      </c>
      <c r="C13" s="3549">
        <v>593.12588655299999</v>
      </c>
      <c r="D13" s="3549" t="s">
        <v>2146</v>
      </c>
      <c r="E13" s="3549" t="s">
        <v>2153</v>
      </c>
      <c r="F13" s="3549">
        <v>521827.41071902402</v>
      </c>
      <c r="G13" s="3549" t="s">
        <v>2146</v>
      </c>
      <c r="H13" s="3549" t="s">
        <v>2153</v>
      </c>
      <c r="I13" s="3549" t="s">
        <v>2146</v>
      </c>
      <c r="J13" s="3549" t="s">
        <v>2153</v>
      </c>
      <c r="K13" s="3549" t="s">
        <v>2146</v>
      </c>
      <c r="L13" s="3549" t="s">
        <v>2146</v>
      </c>
      <c r="M13" s="3550">
        <f t="shared" si="0"/>
        <v>522420.53660557704</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7.1009063609999998</v>
      </c>
      <c r="D15" s="3549" t="s">
        <v>2146</v>
      </c>
      <c r="E15" s="3549">
        <v>0.63304705100000003</v>
      </c>
      <c r="F15" s="3549">
        <v>2.443871627</v>
      </c>
      <c r="G15" s="3549" t="s">
        <v>2146</v>
      </c>
      <c r="H15" s="3549">
        <v>13224.448401082</v>
      </c>
      <c r="I15" s="3549" t="s">
        <v>2146</v>
      </c>
      <c r="J15" s="3549" t="s">
        <v>2146</v>
      </c>
      <c r="K15" s="3549" t="s">
        <v>2146</v>
      </c>
      <c r="L15" s="3549" t="s">
        <v>2146</v>
      </c>
      <c r="M15" s="3550">
        <f t="shared" si="0"/>
        <v>13234.626226120999</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9.2309118429999995</v>
      </c>
      <c r="D17" s="3549" t="s">
        <v>2146</v>
      </c>
      <c r="E17" s="3549" t="s">
        <v>2146</v>
      </c>
      <c r="F17" s="3549" t="s">
        <v>2146</v>
      </c>
      <c r="G17" s="3549" t="s">
        <v>2146</v>
      </c>
      <c r="H17" s="3549" t="s">
        <v>2146</v>
      </c>
      <c r="I17" s="3549" t="s">
        <v>2146</v>
      </c>
      <c r="J17" s="3549">
        <v>1459.097384765</v>
      </c>
      <c r="K17" s="3549" t="s">
        <v>2146</v>
      </c>
      <c r="L17" s="3549" t="s">
        <v>2146</v>
      </c>
      <c r="M17" s="3550">
        <f t="shared" si="0"/>
        <v>1468.3282966080001</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131186.60548883403</v>
      </c>
      <c r="D20" s="3551" t="str">
        <f t="shared" ref="D20:L20" si="1">IF(SUM(D10:D19)=0,"NO",SUM(D10:D19))</f>
        <v>NO</v>
      </c>
      <c r="E20" s="3551">
        <f t="shared" si="1"/>
        <v>39970.995580240997</v>
      </c>
      <c r="F20" s="3551">
        <f t="shared" si="1"/>
        <v>522271.69697829999</v>
      </c>
      <c r="G20" s="3551" t="str">
        <f t="shared" si="1"/>
        <v>NO</v>
      </c>
      <c r="H20" s="3551">
        <f t="shared" si="1"/>
        <v>13224.765434154</v>
      </c>
      <c r="I20" s="3551" t="str">
        <f t="shared" si="1"/>
        <v>NO</v>
      </c>
      <c r="J20" s="3551">
        <f t="shared" si="1"/>
        <v>1482.3076726500001</v>
      </c>
      <c r="K20" s="3551">
        <f t="shared" si="1"/>
        <v>60692.328845821001</v>
      </c>
      <c r="L20" s="3551" t="str">
        <f t="shared" si="1"/>
        <v>NO</v>
      </c>
      <c r="M20" s="3550">
        <f t="shared" si="0"/>
        <v>768828.7</v>
      </c>
    </row>
    <row r="21" spans="2:13" ht="18" customHeight="1" thickBot="1" x14ac:dyDescent="0.25">
      <c r="B21" s="2279" t="s">
        <v>1968</v>
      </c>
      <c r="C21" s="3552">
        <f>IF(SUM(C20)=0,"NO",C20-M10)</f>
        <v>140.88080710203212</v>
      </c>
      <c r="D21" s="3552" t="str">
        <f>IF(SUM(D20)=0,"NO",D20-M11)</f>
        <v>NO</v>
      </c>
      <c r="E21" s="3552">
        <f>IF(SUM(E20)=0,"NO",E20-M12)</f>
        <v>3.8402360999971279</v>
      </c>
      <c r="F21" s="3552">
        <f>IF(SUM(F20)=0,"NO",F20-M13)</f>
        <v>-148.83962727704784</v>
      </c>
      <c r="G21" s="3552" t="str">
        <f>IF(SUM(G20)=0,"NO",G20-M14)</f>
        <v>NO</v>
      </c>
      <c r="H21" s="3552">
        <f>IF(SUM(H20)=0,"NO",H20-M15)</f>
        <v>-9.8607919669993862</v>
      </c>
      <c r="I21" s="3552" t="str">
        <f>IF(SUM(I20)=0,"NO",I20-M16)</f>
        <v>NO</v>
      </c>
      <c r="J21" s="3552">
        <f>IF(SUM(J20)=0,"NO",J20-M17)</f>
        <v>13.979376042000013</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131334.25522632076</v>
      </c>
      <c r="E10" s="3556">
        <f t="shared" ref="E10:U10" si="0">IF(SUM(E11,E16)=0,"IE",SUM(E11,E16))</f>
        <v>131186.60548883438</v>
      </c>
      <c r="F10" s="3557">
        <f t="shared" si="0"/>
        <v>147.64973748636916</v>
      </c>
      <c r="G10" s="3558">
        <f t="shared" ref="G10:K11" si="1">IFERROR(IF(SUM($D10)=0,"NA",N10/$D10),"NA")</f>
        <v>8.6562234388605566E-2</v>
      </c>
      <c r="H10" s="3078">
        <f t="shared" si="1"/>
        <v>-1.6109745047350837E-2</v>
      </c>
      <c r="I10" s="3078">
        <f t="shared" si="1"/>
        <v>7.0452489341254712E-2</v>
      </c>
      <c r="J10" s="3078">
        <f t="shared" si="1"/>
        <v>-2.1798835910683064E-3</v>
      </c>
      <c r="K10" s="3078">
        <f t="shared" si="1"/>
        <v>4.3606884882728828E-3</v>
      </c>
      <c r="L10" s="3078">
        <f>IFERROR(IF(SUM(E10)=0,"NA",S10/E10),"NA")</f>
        <v>-1.8258842953269062E-2</v>
      </c>
      <c r="M10" s="3128">
        <f>IFERROR(IF(SUM(F10)=0,"NA",T10/F10),"NA")</f>
        <v>-0.14283529551577664</v>
      </c>
      <c r="N10" s="3559">
        <f t="shared" si="0"/>
        <v>11368.586584153723</v>
      </c>
      <c r="O10" s="3560">
        <f t="shared" si="0"/>
        <v>-2115.7613676797318</v>
      </c>
      <c r="P10" s="3560">
        <f t="shared" si="0"/>
        <v>9252.8252164739897</v>
      </c>
      <c r="Q10" s="3560">
        <f t="shared" si="0"/>
        <v>-286.2933879130336</v>
      </c>
      <c r="R10" s="3560">
        <f t="shared" si="0"/>
        <v>572.70777488130966</v>
      </c>
      <c r="S10" s="3560">
        <f t="shared" si="0"/>
        <v>-2395.315627193092</v>
      </c>
      <c r="T10" s="3561">
        <f t="shared" si="0"/>
        <v>-21.089593886692384</v>
      </c>
      <c r="U10" s="3562">
        <f t="shared" si="0"/>
        <v>-26117.059401995764</v>
      </c>
      <c r="W10" s="2396"/>
    </row>
    <row r="11" spans="2:23" ht="18" customHeight="1" x14ac:dyDescent="0.2">
      <c r="B11" s="502" t="s">
        <v>982</v>
      </c>
      <c r="C11" s="2256"/>
      <c r="D11" s="3563">
        <f>IF(SUM(D12:D15)=0,"IE",SUM(D12:D15))</f>
        <v>121605.423088904</v>
      </c>
      <c r="E11" s="3564">
        <f t="shared" ref="E11:U11" si="2">IF(SUM(E12:E15)=0,"IE",SUM(E12:E15))</f>
        <v>121605.423088904</v>
      </c>
      <c r="F11" s="3565" t="str">
        <f t="shared" si="2"/>
        <v>IE</v>
      </c>
      <c r="G11" s="3558">
        <f t="shared" si="1"/>
        <v>3.403846189276917E-2</v>
      </c>
      <c r="H11" s="3078">
        <f t="shared" si="1"/>
        <v>-1.7398577414865196E-2</v>
      </c>
      <c r="I11" s="3078">
        <f t="shared" si="1"/>
        <v>1.6639884477903974E-2</v>
      </c>
      <c r="J11" s="3078">
        <f t="shared" si="1"/>
        <v>-8.7444246211402683E-3</v>
      </c>
      <c r="K11" s="3078">
        <f t="shared" si="1"/>
        <v>-6.7665874106215629E-5</v>
      </c>
      <c r="L11" s="3078">
        <f t="shared" ref="L11:L28" si="3">IFERROR(IF(SUM(E11)=0,"NA",S11/E11),"NA")</f>
        <v>-6.9211446617350189E-3</v>
      </c>
      <c r="M11" s="3128" t="str">
        <f t="shared" ref="M11:M28" si="4">IFERROR(IF(SUM(F11)=0,"NA",T11/F11),"NA")</f>
        <v>NA</v>
      </c>
      <c r="N11" s="3109">
        <f t="shared" si="2"/>
        <v>4139.2615597657314</v>
      </c>
      <c r="O11" s="3109">
        <f t="shared" si="2"/>
        <v>-2115.7613676797318</v>
      </c>
      <c r="P11" s="3109">
        <f t="shared" si="2"/>
        <v>2023.5001920859993</v>
      </c>
      <c r="Q11" s="3109">
        <f t="shared" si="2"/>
        <v>-1063.3694557227914</v>
      </c>
      <c r="R11" s="3566">
        <f t="shared" si="2"/>
        <v>-8.228537249366866</v>
      </c>
      <c r="S11" s="3566">
        <f t="shared" si="2"/>
        <v>-841.64872484979639</v>
      </c>
      <c r="T11" s="3566" t="str">
        <f t="shared" si="2"/>
        <v>IE</v>
      </c>
      <c r="U11" s="3567">
        <f t="shared" si="2"/>
        <v>-404.26273896816383</v>
      </c>
      <c r="W11" s="2397"/>
    </row>
    <row r="12" spans="2:23" ht="18" customHeight="1" x14ac:dyDescent="0.2">
      <c r="B12" s="500"/>
      <c r="C12" s="508" t="s">
        <v>2220</v>
      </c>
      <c r="D12" s="3568">
        <f>IF(SUM(E12:F12)=0,E12,SUM(E12:F12))</f>
        <v>12273.799384084101</v>
      </c>
      <c r="E12" s="3569">
        <v>12273.799384084101</v>
      </c>
      <c r="F12" s="3554" t="s">
        <v>2153</v>
      </c>
      <c r="G12" s="3558">
        <f>IFERROR(IF(SUM($D12)=0,"NA",N12/$D12),"NA")</f>
        <v>0.33724370345610083</v>
      </c>
      <c r="H12" s="3078" t="str">
        <f>IFERROR(IF(SUM($D12)=0,"NA",O12/$D12),"NA")</f>
        <v>NA</v>
      </c>
      <c r="I12" s="3078">
        <f>IFERROR(IF(SUM($D12)=0,"NA",P12/$D12),"NA")</f>
        <v>0.33724370345610083</v>
      </c>
      <c r="J12" s="3078">
        <f>IFERROR(IF(SUM($D12)=0,"NA",Q12/$D12),"NA")</f>
        <v>3.1061259290528567E-3</v>
      </c>
      <c r="K12" s="3078">
        <f>IFERROR(IF(SUM($D12)=0,"NA",R12/$D12),"NA")</f>
        <v>3.3842048216067462E-2</v>
      </c>
      <c r="L12" s="3078">
        <f t="shared" si="3"/>
        <v>-0.11983657031819298</v>
      </c>
      <c r="M12" s="3128" t="str">
        <f t="shared" si="4"/>
        <v>NA</v>
      </c>
      <c r="N12" s="2905">
        <v>4139.2615597657314</v>
      </c>
      <c r="O12" s="2905" t="s">
        <v>2153</v>
      </c>
      <c r="P12" s="3109">
        <f>IF(SUM(N12:O12)=0,N12,SUM(N12:O12))</f>
        <v>4139.2615597657314</v>
      </c>
      <c r="Q12" s="2905">
        <v>38.123966514896608</v>
      </c>
      <c r="R12" s="2906">
        <v>415.37051055051325</v>
      </c>
      <c r="S12" s="2906">
        <v>-1470.8500229621879</v>
      </c>
      <c r="T12" s="2906" t="s">
        <v>2153</v>
      </c>
      <c r="U12" s="3570">
        <f>IF(SUM(P12:T12)=0,P12,SUM(P12:T12)*-44/12)</f>
        <v>-11446.988717519496</v>
      </c>
      <c r="W12" s="2398"/>
    </row>
    <row r="13" spans="2:23" ht="18" customHeight="1" x14ac:dyDescent="0.2">
      <c r="B13" s="500"/>
      <c r="C13" s="508" t="s">
        <v>2221</v>
      </c>
      <c r="D13" s="3568">
        <f t="shared" ref="D13:D15" si="5">IF(SUM(E13:F13)=0,E13,SUM(E13:F13))</f>
        <v>682.24894237664364</v>
      </c>
      <c r="E13" s="3569">
        <v>682.24894237664364</v>
      </c>
      <c r="F13" s="3554" t="s">
        <v>2153</v>
      </c>
      <c r="G13" s="3558" t="str">
        <f t="shared" ref="G13:K28" si="6">IFERROR(IF(SUM($D13)=0,"NA",N13/$D13),"NA")</f>
        <v>NA</v>
      </c>
      <c r="H13" s="3078">
        <f t="shared" si="6"/>
        <v>-0.35721472084642369</v>
      </c>
      <c r="I13" s="3078">
        <f t="shared" si="6"/>
        <v>-0.35721472084642369</v>
      </c>
      <c r="J13" s="3078">
        <f t="shared" si="6"/>
        <v>-1.6558996173475223E-2</v>
      </c>
      <c r="K13" s="3078">
        <f t="shared" si="6"/>
        <v>-4.9635056313920907E-2</v>
      </c>
      <c r="L13" s="3078">
        <f t="shared" si="3"/>
        <v>0.92224591205746931</v>
      </c>
      <c r="M13" s="3128" t="str">
        <f t="shared" si="4"/>
        <v>NA</v>
      </c>
      <c r="N13" s="2905" t="s">
        <v>2153</v>
      </c>
      <c r="O13" s="2905">
        <v>-243.70936549884055</v>
      </c>
      <c r="P13" s="3109">
        <f t="shared" ref="P13:P15" si="7">IF(SUM(N13:O13)=0,N13,SUM(N13:O13))</f>
        <v>-243.70936549884055</v>
      </c>
      <c r="Q13" s="2905">
        <v>-11.29735762617236</v>
      </c>
      <c r="R13" s="2906">
        <v>-33.863464674977685</v>
      </c>
      <c r="S13" s="2906">
        <v>629.20129811239156</v>
      </c>
      <c r="T13" s="2906" t="s">
        <v>2153</v>
      </c>
      <c r="U13" s="3570">
        <f t="shared" ref="U13:U15" si="8">IF(SUM(P13:T13)=0,P13,SUM(P13:T13)*-44/12)</f>
        <v>-1247.8807378121367</v>
      </c>
      <c r="W13" s="2398"/>
    </row>
    <row r="14" spans="2:23" ht="18" customHeight="1" x14ac:dyDescent="0.2">
      <c r="B14" s="500"/>
      <c r="C14" s="508" t="s">
        <v>2222</v>
      </c>
      <c r="D14" s="3568">
        <f t="shared" si="5"/>
        <v>108649.37476244326</v>
      </c>
      <c r="E14" s="3569">
        <v>108649.37476244326</v>
      </c>
      <c r="F14" s="3554" t="s">
        <v>2153</v>
      </c>
      <c r="G14" s="3558" t="str">
        <f t="shared" si="6"/>
        <v>NA</v>
      </c>
      <c r="H14" s="3078">
        <f t="shared" si="6"/>
        <v>-6.9881479967951561E-3</v>
      </c>
      <c r="I14" s="3078">
        <f t="shared" si="6"/>
        <v>-6.9881479967951561E-3</v>
      </c>
      <c r="J14" s="3078">
        <f t="shared" si="6"/>
        <v>-8.8298663159273576E-3</v>
      </c>
      <c r="K14" s="3078">
        <f t="shared" si="6"/>
        <v>-3.5870945781054046E-3</v>
      </c>
      <c r="L14" s="3078" t="str">
        <f t="shared" si="3"/>
        <v>NA</v>
      </c>
      <c r="M14" s="3128" t="str">
        <f t="shared" si="4"/>
        <v>NA</v>
      </c>
      <c r="N14" s="2905" t="s">
        <v>2153</v>
      </c>
      <c r="O14" s="2905">
        <v>-759.25791059921403</v>
      </c>
      <c r="P14" s="3109">
        <f t="shared" si="7"/>
        <v>-759.25791059921403</v>
      </c>
      <c r="Q14" s="2905">
        <v>-959.35945446146559</v>
      </c>
      <c r="R14" s="2906">
        <v>-389.7355831249024</v>
      </c>
      <c r="S14" s="2906" t="s">
        <v>2147</v>
      </c>
      <c r="T14" s="2906" t="s">
        <v>2147</v>
      </c>
      <c r="U14" s="3570">
        <f t="shared" si="8"/>
        <v>7730.6274766804681</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-1112.7940915816773</v>
      </c>
      <c r="P15" s="3109">
        <f t="shared" si="7"/>
        <v>-1112.7940915816773</v>
      </c>
      <c r="Q15" s="2905">
        <v>-130.83661015005009</v>
      </c>
      <c r="R15" s="2906" t="s">
        <v>2147</v>
      </c>
      <c r="S15" s="2906" t="s">
        <v>2147</v>
      </c>
      <c r="T15" s="2906" t="s">
        <v>2147</v>
      </c>
      <c r="U15" s="3570">
        <f t="shared" si="8"/>
        <v>4559.9792396830007</v>
      </c>
      <c r="W15" s="2398"/>
    </row>
    <row r="16" spans="2:23" ht="18" customHeight="1" x14ac:dyDescent="0.2">
      <c r="B16" s="485" t="s">
        <v>1041</v>
      </c>
      <c r="C16" s="504"/>
      <c r="D16" s="3568">
        <f>IF(SUM(D17,D19,D23,D25,D27)=0,"IE",SUM(D17,D19,D23,D25,D27))</f>
        <v>9728.8321374167535</v>
      </c>
      <c r="E16" s="3571">
        <f t="shared" ref="E16:T16" si="9">IF(SUM(E17,E19,E23,E25,E27)=0,"IE",SUM(E17,E19,E23,E25,E27))</f>
        <v>9581.1823999303851</v>
      </c>
      <c r="F16" s="3572">
        <f t="shared" si="9"/>
        <v>147.64973748636916</v>
      </c>
      <c r="G16" s="3558">
        <f t="shared" si="6"/>
        <v>0.74308251209148279</v>
      </c>
      <c r="H16" s="3078" t="str">
        <f t="shared" si="6"/>
        <v>NA</v>
      </c>
      <c r="I16" s="3078">
        <f t="shared" si="6"/>
        <v>0.74308251209148279</v>
      </c>
      <c r="J16" s="3078">
        <f t="shared" si="6"/>
        <v>7.9873519949136537E-2</v>
      </c>
      <c r="K16" s="3078">
        <f t="shared" si="6"/>
        <v>5.9712851853658301E-2</v>
      </c>
      <c r="L16" s="3078">
        <f t="shared" si="3"/>
        <v>-0.16215815934728309</v>
      </c>
      <c r="M16" s="3128">
        <f t="shared" si="4"/>
        <v>-0.14283529551577664</v>
      </c>
      <c r="N16" s="3078">
        <f t="shared" si="9"/>
        <v>7229.3250243879911</v>
      </c>
      <c r="O16" s="3078" t="str">
        <f t="shared" si="9"/>
        <v>IE</v>
      </c>
      <c r="P16" s="3078">
        <f t="shared" si="9"/>
        <v>7229.3250243879911</v>
      </c>
      <c r="Q16" s="3078">
        <f t="shared" si="9"/>
        <v>777.07606780975777</v>
      </c>
      <c r="R16" s="3573">
        <f t="shared" si="9"/>
        <v>580.93631213067647</v>
      </c>
      <c r="S16" s="3573">
        <f t="shared" si="9"/>
        <v>-1553.6669023432955</v>
      </c>
      <c r="T16" s="3573">
        <f t="shared" si="9"/>
        <v>-21.089593886692384</v>
      </c>
      <c r="U16" s="3570">
        <f>IF(SUM(U17,U19,U23,U25,U27)=0,"IE",SUM(U17,U19,U23,U25,U27))</f>
        <v>-25712.796663027599</v>
      </c>
      <c r="W16" s="2019"/>
    </row>
    <row r="17" spans="2:23" ht="18" customHeight="1" x14ac:dyDescent="0.2">
      <c r="B17" s="487" t="s">
        <v>1042</v>
      </c>
      <c r="C17" s="504"/>
      <c r="D17" s="3568">
        <f>D18</f>
        <v>58.207000000000001</v>
      </c>
      <c r="E17" s="3571">
        <f t="shared" ref="E17:U17" si="10">E18</f>
        <v>58.207000000000001</v>
      </c>
      <c r="F17" s="3572" t="str">
        <f t="shared" si="10"/>
        <v>NO</v>
      </c>
      <c r="G17" s="3558">
        <f t="shared" si="6"/>
        <v>1.2942945006614326</v>
      </c>
      <c r="H17" s="3078" t="str">
        <f t="shared" si="6"/>
        <v>NA</v>
      </c>
      <c r="I17" s="3078">
        <f t="shared" si="6"/>
        <v>1.2942945006614326</v>
      </c>
      <c r="J17" s="3078">
        <f t="shared" si="6"/>
        <v>1.8296768429913925E-2</v>
      </c>
      <c r="K17" s="3078">
        <f t="shared" si="6"/>
        <v>1.5788479048911643E-2</v>
      </c>
      <c r="L17" s="3078">
        <f t="shared" si="3"/>
        <v>-0.33654027866064218</v>
      </c>
      <c r="M17" s="3128" t="str">
        <f t="shared" si="4"/>
        <v>NA</v>
      </c>
      <c r="N17" s="3078">
        <f t="shared" si="10"/>
        <v>75.337000000000003</v>
      </c>
      <c r="O17" s="3078" t="str">
        <f t="shared" si="10"/>
        <v>IE</v>
      </c>
      <c r="P17" s="3078">
        <f t="shared" si="10"/>
        <v>75.337000000000003</v>
      </c>
      <c r="Q17" s="3078">
        <f t="shared" si="10"/>
        <v>1.0649999999999999</v>
      </c>
      <c r="R17" s="3573">
        <f t="shared" si="10"/>
        <v>0.91900000000000004</v>
      </c>
      <c r="S17" s="3573">
        <f t="shared" si="10"/>
        <v>-19.588999999999999</v>
      </c>
      <c r="T17" s="3573" t="str">
        <f t="shared" si="10"/>
        <v>NO</v>
      </c>
      <c r="U17" s="3570">
        <f t="shared" si="10"/>
        <v>-211.684</v>
      </c>
      <c r="W17" s="2019"/>
    </row>
    <row r="18" spans="2:23" ht="18" customHeight="1" x14ac:dyDescent="0.2">
      <c r="B18" s="488"/>
      <c r="C18" s="508" t="s">
        <v>278</v>
      </c>
      <c r="D18" s="3568">
        <f>IF(SUM(E18:F18)=0,E18,SUM(E18:F18))</f>
        <v>58.207000000000001</v>
      </c>
      <c r="E18" s="3569">
        <v>58.207000000000001</v>
      </c>
      <c r="F18" s="3554" t="s">
        <v>2146</v>
      </c>
      <c r="G18" s="3558">
        <f t="shared" si="6"/>
        <v>1.2942945006614326</v>
      </c>
      <c r="H18" s="3078" t="str">
        <f t="shared" si="6"/>
        <v>NA</v>
      </c>
      <c r="I18" s="3078">
        <f t="shared" si="6"/>
        <v>1.2942945006614326</v>
      </c>
      <c r="J18" s="3078">
        <f t="shared" si="6"/>
        <v>1.8296768429913925E-2</v>
      </c>
      <c r="K18" s="3078">
        <f t="shared" si="6"/>
        <v>1.5788479048911643E-2</v>
      </c>
      <c r="L18" s="3078">
        <f t="shared" si="3"/>
        <v>-0.33654027866064218</v>
      </c>
      <c r="M18" s="3128" t="str">
        <f t="shared" si="4"/>
        <v>NA</v>
      </c>
      <c r="N18" s="2905">
        <v>75.337000000000003</v>
      </c>
      <c r="O18" s="2905" t="s">
        <v>2153</v>
      </c>
      <c r="P18" s="3109">
        <f>IF(SUM(N18:O18)=0,N18,SUM(N18:O18))</f>
        <v>75.337000000000003</v>
      </c>
      <c r="Q18" s="2905">
        <v>1.0649999999999999</v>
      </c>
      <c r="R18" s="2906">
        <v>0.91900000000000004</v>
      </c>
      <c r="S18" s="2906">
        <v>-19.588999999999999</v>
      </c>
      <c r="T18" s="2906" t="s">
        <v>2146</v>
      </c>
      <c r="U18" s="3570">
        <f t="shared" ref="U18" si="11">IF(SUM(P18:T18)=0,P18,SUM(P18:T18)*-44/12)</f>
        <v>-211.684</v>
      </c>
      <c r="W18" s="2398"/>
    </row>
    <row r="19" spans="2:23" ht="18" customHeight="1" x14ac:dyDescent="0.2">
      <c r="B19" s="487" t="s">
        <v>1043</v>
      </c>
      <c r="C19" s="504"/>
      <c r="D19" s="3563">
        <f>IF(SUM(D20:D22)=0,"IE",SUM(D20:D22))</f>
        <v>9475.7523999303849</v>
      </c>
      <c r="E19" s="3571">
        <f t="shared" ref="E19:U19" si="12">IF(SUM(E20:E22)=0,"IE",SUM(E20:E22))</f>
        <v>9475.7523999303849</v>
      </c>
      <c r="F19" s="3572" t="str">
        <f t="shared" si="12"/>
        <v>IE</v>
      </c>
      <c r="G19" s="3558">
        <f t="shared" si="6"/>
        <v>0.63171238608839553</v>
      </c>
      <c r="H19" s="3078" t="str">
        <f t="shared" si="6"/>
        <v>NA</v>
      </c>
      <c r="I19" s="3078">
        <f t="shared" si="6"/>
        <v>0.63171238608839553</v>
      </c>
      <c r="J19" s="3078">
        <f t="shared" si="6"/>
        <v>9.3354501636839213E-2</v>
      </c>
      <c r="K19" s="3078">
        <f t="shared" si="6"/>
        <v>5.8334690881019245E-2</v>
      </c>
      <c r="L19" s="3078">
        <f t="shared" si="3"/>
        <v>-0.15847405450931029</v>
      </c>
      <c r="M19" s="3128" t="str">
        <f t="shared" si="4"/>
        <v>NA</v>
      </c>
      <c r="N19" s="3078">
        <f t="shared" si="12"/>
        <v>5985.9501585428634</v>
      </c>
      <c r="O19" s="3078" t="str">
        <f t="shared" si="12"/>
        <v>IE</v>
      </c>
      <c r="P19" s="3078">
        <f t="shared" si="12"/>
        <v>5985.9501585428634</v>
      </c>
      <c r="Q19" s="3078">
        <f t="shared" si="12"/>
        <v>884.60414292958421</v>
      </c>
      <c r="R19" s="3573">
        <f t="shared" si="12"/>
        <v>552.76508711501526</v>
      </c>
      <c r="S19" s="3573">
        <f t="shared" si="12"/>
        <v>-1501.6609023432957</v>
      </c>
      <c r="T19" s="3573" t="str">
        <f t="shared" si="12"/>
        <v>IE</v>
      </c>
      <c r="U19" s="3570">
        <f t="shared" si="12"/>
        <v>-21712.747782895276</v>
      </c>
      <c r="W19" s="2019"/>
    </row>
    <row r="20" spans="2:23" ht="18" customHeight="1" x14ac:dyDescent="0.2">
      <c r="B20" s="496"/>
      <c r="C20" s="508" t="s">
        <v>2223</v>
      </c>
      <c r="D20" s="3568">
        <f>IF(SUM(E20:F20)=0,E20,SUM(E20:F20))</f>
        <v>2172.3960000000006</v>
      </c>
      <c r="E20" s="3569">
        <v>2172.3960000000006</v>
      </c>
      <c r="F20" s="3554" t="s">
        <v>2146</v>
      </c>
      <c r="G20" s="3558">
        <f t="shared" si="6"/>
        <v>1.3201170504825095</v>
      </c>
      <c r="H20" s="3078" t="str">
        <f t="shared" si="6"/>
        <v>NA</v>
      </c>
      <c r="I20" s="3078">
        <f t="shared" si="6"/>
        <v>1.3201170504825095</v>
      </c>
      <c r="J20" s="3078">
        <f t="shared" si="6"/>
        <v>2.8750283097556669E-2</v>
      </c>
      <c r="K20" s="3078">
        <f t="shared" si="6"/>
        <v>2.1465699623825527E-2</v>
      </c>
      <c r="L20" s="3078">
        <f t="shared" si="3"/>
        <v>-0.39831596081009124</v>
      </c>
      <c r="M20" s="3128" t="str">
        <f t="shared" si="4"/>
        <v>NA</v>
      </c>
      <c r="N20" s="2905">
        <v>2867.8170000000027</v>
      </c>
      <c r="O20" s="2905" t="s">
        <v>2153</v>
      </c>
      <c r="P20" s="3109">
        <f>IF(SUM(N20:O20)=0,N20,SUM(N20:O20))</f>
        <v>2867.8170000000027</v>
      </c>
      <c r="Q20" s="2905">
        <v>62.456999999999738</v>
      </c>
      <c r="R20" s="2906">
        <v>46.63200000000009</v>
      </c>
      <c r="S20" s="2906">
        <v>-865.29999999999927</v>
      </c>
      <c r="T20" s="2906" t="s">
        <v>2146</v>
      </c>
      <c r="U20" s="3570">
        <f t="shared" ref="U20:U22" si="13">IF(SUM(P20:T20)=0,P20,SUM(P20:T20)*-44/12)</f>
        <v>-7742.5553333333455</v>
      </c>
      <c r="W20" s="2398"/>
    </row>
    <row r="21" spans="2:23" ht="18" customHeight="1" x14ac:dyDescent="0.2">
      <c r="B21" s="500"/>
      <c r="C21" s="508" t="s">
        <v>2291</v>
      </c>
      <c r="D21" s="3568">
        <f>IF(SUM(E21:F21)=0,E21,SUM(E21:F21))</f>
        <v>7303.3563999303842</v>
      </c>
      <c r="E21" s="3569">
        <v>7303.3563999303842</v>
      </c>
      <c r="F21" s="3554" t="s">
        <v>2146</v>
      </c>
      <c r="G21" s="3558">
        <f t="shared" si="6"/>
        <v>0.42689769584884446</v>
      </c>
      <c r="H21" s="3078" t="str">
        <f t="shared" si="6"/>
        <v>NA</v>
      </c>
      <c r="I21" s="3078">
        <f t="shared" si="6"/>
        <v>0.42689769584884446</v>
      </c>
      <c r="J21" s="3078">
        <f t="shared" si="6"/>
        <v>0.11259704356808796</v>
      </c>
      <c r="K21" s="3078">
        <f t="shared" si="6"/>
        <v>6.9301436134191624E-2</v>
      </c>
      <c r="L21" s="3078">
        <f t="shared" si="3"/>
        <v>-8.7132664421164255E-2</v>
      </c>
      <c r="M21" s="3128" t="str">
        <f t="shared" si="4"/>
        <v>NA</v>
      </c>
      <c r="N21" s="2905">
        <v>3117.7860190931929</v>
      </c>
      <c r="O21" s="2905" t="s">
        <v>2153</v>
      </c>
      <c r="P21" s="3109">
        <f t="shared" ref="P21:P28" si="14">IF(SUM(N21:O21)=0,N21,SUM(N21:O21))</f>
        <v>3117.7860190931929</v>
      </c>
      <c r="Q21" s="2905">
        <v>822.33633875623548</v>
      </c>
      <c r="R21" s="2906">
        <v>506.1330871150152</v>
      </c>
      <c r="S21" s="2906">
        <v>-636.3609023432964</v>
      </c>
      <c r="T21" s="2906" t="s">
        <v>2146</v>
      </c>
      <c r="U21" s="3570">
        <f t="shared" si="13"/>
        <v>-13969.613322944206</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0.34713944966738686</v>
      </c>
      <c r="O22" s="2905" t="s">
        <v>2153</v>
      </c>
      <c r="P22" s="3109">
        <f t="shared" si="14"/>
        <v>0.34713944966738686</v>
      </c>
      <c r="Q22" s="2905">
        <v>-0.18919582665101922</v>
      </c>
      <c r="R22" s="2906" t="s">
        <v>2147</v>
      </c>
      <c r="S22" s="2906" t="s">
        <v>2147</v>
      </c>
      <c r="T22" s="2906" t="s">
        <v>2147</v>
      </c>
      <c r="U22" s="3570">
        <f t="shared" si="13"/>
        <v>-0.57912661772668128</v>
      </c>
      <c r="W22" s="2398"/>
    </row>
    <row r="23" spans="2:23" ht="18" customHeight="1" x14ac:dyDescent="0.2">
      <c r="B23" s="487" t="s">
        <v>1044</v>
      </c>
      <c r="C23" s="504"/>
      <c r="D23" s="3568">
        <f>D24</f>
        <v>147.64973748636916</v>
      </c>
      <c r="E23" s="3571" t="str">
        <f t="shared" ref="E23" si="15">E24</f>
        <v>NO</v>
      </c>
      <c r="F23" s="3572">
        <f t="shared" ref="F23" si="16">F24</f>
        <v>147.64973748636916</v>
      </c>
      <c r="G23" s="3558">
        <f t="shared" si="6"/>
        <v>7.3690470729456834</v>
      </c>
      <c r="H23" s="3078" t="str">
        <f t="shared" si="6"/>
        <v>NA</v>
      </c>
      <c r="I23" s="3078">
        <f t="shared" si="6"/>
        <v>7.3690470729456834</v>
      </c>
      <c r="J23" s="3078">
        <f t="shared" si="6"/>
        <v>-0.75289043524434984</v>
      </c>
      <c r="K23" s="3078">
        <f t="shared" si="6"/>
        <v>0.17125140515739545</v>
      </c>
      <c r="L23" s="3078" t="str">
        <f t="shared" si="3"/>
        <v>NA</v>
      </c>
      <c r="M23" s="3128">
        <f t="shared" si="4"/>
        <v>-0.14283529551577664</v>
      </c>
      <c r="N23" s="3078">
        <f t="shared" ref="N23" si="17">N24</f>
        <v>1088.0378658451273</v>
      </c>
      <c r="O23" s="3078" t="str">
        <f t="shared" ref="O23" si="18">O24</f>
        <v>IE</v>
      </c>
      <c r="P23" s="3078">
        <f t="shared" ref="P23" si="19">P24</f>
        <v>1088.0378658451273</v>
      </c>
      <c r="Q23" s="3078">
        <f t="shared" ref="Q23" si="20">Q24</f>
        <v>-111.16407511982648</v>
      </c>
      <c r="R23" s="3573">
        <f t="shared" ref="R23" si="21">R24</f>
        <v>25.285225015661286</v>
      </c>
      <c r="S23" s="3573" t="str">
        <f t="shared" ref="S23" si="22">S24</f>
        <v>NO</v>
      </c>
      <c r="T23" s="3573">
        <f t="shared" ref="T23" si="23">T24</f>
        <v>-21.089593886692384</v>
      </c>
      <c r="U23" s="3570">
        <f t="shared" ref="U23" si="24">U24</f>
        <v>-3597.2545467989889</v>
      </c>
      <c r="W23" s="2019"/>
    </row>
    <row r="24" spans="2:23" ht="18" customHeight="1" x14ac:dyDescent="0.2">
      <c r="B24" s="488"/>
      <c r="C24" s="508" t="s">
        <v>278</v>
      </c>
      <c r="D24" s="3568">
        <f>IF(SUM(E24:F24)=0,E24,SUM(E24:F24))</f>
        <v>147.64973748636916</v>
      </c>
      <c r="E24" s="3569" t="s">
        <v>2146</v>
      </c>
      <c r="F24" s="3554">
        <v>147.64973748636916</v>
      </c>
      <c r="G24" s="3558">
        <f t="shared" si="6"/>
        <v>7.3690470729456834</v>
      </c>
      <c r="H24" s="3078" t="str">
        <f t="shared" si="6"/>
        <v>NA</v>
      </c>
      <c r="I24" s="3078">
        <f t="shared" si="6"/>
        <v>7.3690470729456834</v>
      </c>
      <c r="J24" s="3078">
        <f t="shared" si="6"/>
        <v>-0.75289043524434984</v>
      </c>
      <c r="K24" s="3078">
        <f t="shared" si="6"/>
        <v>0.17125140515739545</v>
      </c>
      <c r="L24" s="3078" t="str">
        <f t="shared" si="3"/>
        <v>NA</v>
      </c>
      <c r="M24" s="3128">
        <f t="shared" si="4"/>
        <v>-0.14283529551577664</v>
      </c>
      <c r="N24" s="2905">
        <v>1088.0378658451273</v>
      </c>
      <c r="O24" s="2905" t="s">
        <v>2153</v>
      </c>
      <c r="P24" s="3109">
        <f t="shared" si="14"/>
        <v>1088.0378658451273</v>
      </c>
      <c r="Q24" s="2905">
        <v>-111.16407511982648</v>
      </c>
      <c r="R24" s="2906">
        <v>25.285225015661286</v>
      </c>
      <c r="S24" s="2906" t="s">
        <v>2146</v>
      </c>
      <c r="T24" s="2906">
        <v>-21.089593886692384</v>
      </c>
      <c r="U24" s="3570">
        <f t="shared" ref="U24" si="25">IF(SUM(P24:T24)=0,P24,SUM(P24:T24)*-44/12)</f>
        <v>-3597.2545467989889</v>
      </c>
      <c r="W24" s="2398"/>
    </row>
    <row r="25" spans="2:23" ht="18" customHeight="1" x14ac:dyDescent="0.2">
      <c r="B25" s="487" t="s">
        <v>1045</v>
      </c>
      <c r="C25" s="504"/>
      <c r="D25" s="3568">
        <f>D26</f>
        <v>47.222999999999999</v>
      </c>
      <c r="E25" s="3571">
        <f t="shared" ref="E25" si="26">E26</f>
        <v>47.222999999999999</v>
      </c>
      <c r="F25" s="3572" t="str">
        <f t="shared" ref="F25" si="27">F26</f>
        <v>NO</v>
      </c>
      <c r="G25" s="3558">
        <f t="shared" si="6"/>
        <v>1.6940897444042098</v>
      </c>
      <c r="H25" s="3078" t="str">
        <f t="shared" si="6"/>
        <v>NA</v>
      </c>
      <c r="I25" s="3078">
        <f t="shared" si="6"/>
        <v>1.6940897444042098</v>
      </c>
      <c r="J25" s="3078">
        <f t="shared" si="6"/>
        <v>5.44438091607903E-2</v>
      </c>
      <c r="K25" s="3078">
        <f t="shared" si="6"/>
        <v>4.1653431590538512E-2</v>
      </c>
      <c r="L25" s="3078">
        <f t="shared" si="3"/>
        <v>-0.68646634055439093</v>
      </c>
      <c r="M25" s="3128" t="str">
        <f t="shared" si="4"/>
        <v>NA</v>
      </c>
      <c r="N25" s="3078">
        <f t="shared" ref="N25" si="28">N26</f>
        <v>80</v>
      </c>
      <c r="O25" s="3078" t="str">
        <f t="shared" ref="O25" si="29">O26</f>
        <v>IE</v>
      </c>
      <c r="P25" s="3078">
        <f t="shared" ref="P25" si="30">P26</f>
        <v>80</v>
      </c>
      <c r="Q25" s="3078">
        <f t="shared" ref="Q25" si="31">Q26</f>
        <v>2.5710000000000002</v>
      </c>
      <c r="R25" s="3573">
        <f t="shared" ref="R25" si="32">R26</f>
        <v>1.9670000000000001</v>
      </c>
      <c r="S25" s="3573">
        <f t="shared" ref="S25" si="33">S26</f>
        <v>-32.417000000000002</v>
      </c>
      <c r="T25" s="3573" t="str">
        <f t="shared" ref="T25" si="34">T26</f>
        <v>NO</v>
      </c>
      <c r="U25" s="3570">
        <f t="shared" ref="U25" si="35">U26</f>
        <v>-191.1103333333333</v>
      </c>
      <c r="W25" s="2019"/>
    </row>
    <row r="26" spans="2:23" ht="18" customHeight="1" x14ac:dyDescent="0.2">
      <c r="B26" s="488"/>
      <c r="C26" s="508" t="s">
        <v>278</v>
      </c>
      <c r="D26" s="3568">
        <f>IF(SUM(E26:F26)=0,E26,SUM(E26:F26))</f>
        <v>47.222999999999999</v>
      </c>
      <c r="E26" s="3569">
        <v>47.222999999999999</v>
      </c>
      <c r="F26" s="3554" t="s">
        <v>2146</v>
      </c>
      <c r="G26" s="3558">
        <f t="shared" si="6"/>
        <v>1.6940897444042098</v>
      </c>
      <c r="H26" s="3078" t="str">
        <f t="shared" si="6"/>
        <v>NA</v>
      </c>
      <c r="I26" s="3078">
        <f t="shared" si="6"/>
        <v>1.6940897444042098</v>
      </c>
      <c r="J26" s="3078">
        <f t="shared" si="6"/>
        <v>5.44438091607903E-2</v>
      </c>
      <c r="K26" s="3078">
        <f t="shared" si="6"/>
        <v>4.1653431590538512E-2</v>
      </c>
      <c r="L26" s="3078">
        <f t="shared" si="3"/>
        <v>-0.68646634055439093</v>
      </c>
      <c r="M26" s="3128" t="str">
        <f t="shared" si="4"/>
        <v>NA</v>
      </c>
      <c r="N26" s="2905">
        <v>80</v>
      </c>
      <c r="O26" s="2905" t="s">
        <v>2153</v>
      </c>
      <c r="P26" s="3109">
        <f t="shared" si="14"/>
        <v>80</v>
      </c>
      <c r="Q26" s="2905">
        <v>2.5710000000000002</v>
      </c>
      <c r="R26" s="2906">
        <v>1.9670000000000001</v>
      </c>
      <c r="S26" s="2906">
        <v>-32.417000000000002</v>
      </c>
      <c r="T26" s="2906" t="s">
        <v>2146</v>
      </c>
      <c r="U26" s="3570">
        <f t="shared" ref="U26" si="36">IF(SUM(P26:T26)=0,P26,SUM(P26:T26)*-44/12)</f>
        <v>-191.1103333333333</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39970.995580240808</v>
      </c>
      <c r="E10" s="3583">
        <f t="shared" ref="E10:F10" si="0">IF(SUM(E11,E13)=0,"IE",SUM(E11,E13))</f>
        <v>39967.995580240808</v>
      </c>
      <c r="F10" s="3584">
        <f t="shared" si="0"/>
        <v>3</v>
      </c>
      <c r="G10" s="3558">
        <f>IFERROR(IF(SUM($D10)=0,"NA",M10/$D10),"NA")</f>
        <v>9.97637352500197E-4</v>
      </c>
      <c r="H10" s="3583">
        <f t="shared" ref="H10:J10" si="1">IFERROR(IF(SUM($D10)=0,"NA",N10/$D10),"NA")</f>
        <v>-8.7391618579718052E-3</v>
      </c>
      <c r="I10" s="3583">
        <f t="shared" si="1"/>
        <v>-7.7415245054716078E-3</v>
      </c>
      <c r="J10" s="3583">
        <f t="shared" si="1"/>
        <v>-3.7247508559330976E-3</v>
      </c>
      <c r="K10" s="3585">
        <f>IFERROR(IF(SUM(E10)=0,"NA",Q10/E10),"NA")</f>
        <v>-6.3230772444636527E-2</v>
      </c>
      <c r="L10" s="3584">
        <f>IFERROR(IF(SUM(F10)=0,"NA",R10/F10),"NA")</f>
        <v>-12.475</v>
      </c>
      <c r="M10" s="3586">
        <f>IF(SUM(M11,M13)=0,"IE",SUM(M11,M13))</f>
        <v>39.876558207468513</v>
      </c>
      <c r="N10" s="3583">
        <f t="shared" ref="N10:S10" si="2">IF(SUM(N11,N13)=0,"IE",SUM(N11,N13))</f>
        <v>-349.31300000000005</v>
      </c>
      <c r="O10" s="3587">
        <f t="shared" si="2"/>
        <v>-309.43644179253153</v>
      </c>
      <c r="P10" s="3583">
        <f t="shared" si="2"/>
        <v>-148.88200000000001</v>
      </c>
      <c r="Q10" s="3585">
        <f t="shared" si="2"/>
        <v>-2527.2072336024448</v>
      </c>
      <c r="R10" s="3585">
        <f t="shared" si="2"/>
        <v>-37.424999999999997</v>
      </c>
      <c r="S10" s="3588">
        <f t="shared" si="2"/>
        <v>11084.152476448246</v>
      </c>
      <c r="U10" s="2261"/>
    </row>
    <row r="11" spans="2:21" ht="18" customHeight="1" x14ac:dyDescent="0.2">
      <c r="B11" s="499" t="s">
        <v>985</v>
      </c>
      <c r="C11" s="2256"/>
      <c r="D11" s="3589">
        <f>D12</f>
        <v>37672.878639212999</v>
      </c>
      <c r="E11" s="3078">
        <f t="shared" ref="E11" si="3">E12</f>
        <v>37672.878639212999</v>
      </c>
      <c r="F11" s="3078" t="str">
        <f t="shared" ref="F11" si="4">F12</f>
        <v>IE</v>
      </c>
      <c r="G11" s="3558">
        <f t="shared" ref="G11:G23" si="5">IFERROR(IF(SUM($D11)=0,"NA",M11/$D11),"NA")</f>
        <v>1.0584951203055067E-3</v>
      </c>
      <c r="H11" s="3078" t="str">
        <f t="shared" ref="H11:H23" si="6">IFERROR(IF(SUM($D11)=0,"NA",N11/$D11),"NA")</f>
        <v>NA</v>
      </c>
      <c r="I11" s="3078">
        <f t="shared" ref="I11:I23" si="7">IFERROR(IF(SUM($D11)=0,"NA",O11/$D11),"NA")</f>
        <v>1.0584951203055067E-3</v>
      </c>
      <c r="J11" s="3078" t="str">
        <f t="shared" ref="J11:J23" si="8">IFERROR(IF(SUM($D11)=0,"NA",P11/$D11),"NA")</f>
        <v>NA</v>
      </c>
      <c r="K11" s="3573">
        <f t="shared" ref="K11:K23" si="9">IFERROR(IF(SUM(E11)=0,"NA",Q11/E11),"NA")</f>
        <v>-5.4531815279971349E-2</v>
      </c>
      <c r="L11" s="3128" t="str">
        <f t="shared" ref="L11:L23" si="10">IFERROR(IF(SUM(F11)=0,"NA",R11/F11),"NA")</f>
        <v>NA</v>
      </c>
      <c r="M11" s="3590">
        <f t="shared" ref="M11" si="11">M12</f>
        <v>39.876558207468513</v>
      </c>
      <c r="N11" s="3591" t="str">
        <f t="shared" ref="N11" si="12">N12</f>
        <v>IE</v>
      </c>
      <c r="O11" s="3592">
        <f t="shared" ref="O11" si="13">O12</f>
        <v>39.876558207468513</v>
      </c>
      <c r="P11" s="3591" t="str">
        <f t="shared" ref="P11" si="14">P12</f>
        <v>NA</v>
      </c>
      <c r="Q11" s="3593">
        <f t="shared" ref="Q11" si="15">Q12</f>
        <v>-2054.3704590183415</v>
      </c>
      <c r="R11" s="3593" t="str">
        <f t="shared" ref="R11" si="16">R12</f>
        <v>IE</v>
      </c>
      <c r="S11" s="3594">
        <f t="shared" ref="S11" si="17">S12</f>
        <v>7386.4776363065348</v>
      </c>
      <c r="U11" s="2258"/>
    </row>
    <row r="12" spans="2:21" ht="18" customHeight="1" x14ac:dyDescent="0.2">
      <c r="B12" s="501"/>
      <c r="C12" s="508" t="s">
        <v>278</v>
      </c>
      <c r="D12" s="3568">
        <f>IF(SUM(E12:F12)=0,E12,SUM(E12:F12))</f>
        <v>37672.878639212999</v>
      </c>
      <c r="E12" s="3569">
        <v>37672.878639212999</v>
      </c>
      <c r="F12" s="3554" t="s">
        <v>2153</v>
      </c>
      <c r="G12" s="3558">
        <f t="shared" si="5"/>
        <v>1.0584951203055067E-3</v>
      </c>
      <c r="H12" s="3078" t="str">
        <f t="shared" si="6"/>
        <v>NA</v>
      </c>
      <c r="I12" s="3078">
        <f t="shared" si="7"/>
        <v>1.0584951203055067E-3</v>
      </c>
      <c r="J12" s="3078" t="str">
        <f t="shared" si="8"/>
        <v>NA</v>
      </c>
      <c r="K12" s="3573">
        <f t="shared" si="9"/>
        <v>-5.4531815279971349E-2</v>
      </c>
      <c r="L12" s="3128" t="str">
        <f t="shared" si="10"/>
        <v>NA</v>
      </c>
      <c r="M12" s="2905">
        <v>39.876558207468513</v>
      </c>
      <c r="N12" s="2905" t="s">
        <v>2153</v>
      </c>
      <c r="O12" s="3109">
        <f>IF(SUM(M12:N12)=0,M12,SUM(M12:N12))</f>
        <v>39.876558207468513</v>
      </c>
      <c r="P12" s="2905" t="s">
        <v>2147</v>
      </c>
      <c r="Q12" s="2906">
        <v>-2054.3704590183415</v>
      </c>
      <c r="R12" s="2906" t="s">
        <v>2153</v>
      </c>
      <c r="S12" s="3594">
        <f>IF(SUM(O12:R12)=0,Q12,SUM(O12:R12)*-44/12)</f>
        <v>7386.4776363065348</v>
      </c>
      <c r="U12" s="2398"/>
    </row>
    <row r="13" spans="2:21" ht="18" customHeight="1" x14ac:dyDescent="0.2">
      <c r="B13" s="485" t="s">
        <v>1054</v>
      </c>
      <c r="C13" s="504"/>
      <c r="D13" s="3589">
        <f>IF(SUM(D14,D16,D18,D20,D22)=0,"IE",SUM(D14,D16,D18,D20,D22))</f>
        <v>2298.1169410278121</v>
      </c>
      <c r="E13" s="3591">
        <f t="shared" ref="E13:F13" si="18">IF(SUM(E14,E16,E18,E20,E22)=0,"IE",SUM(E14,E16,E18,E20,E22))</f>
        <v>2295.1169410278121</v>
      </c>
      <c r="F13" s="3595">
        <f t="shared" si="18"/>
        <v>3</v>
      </c>
      <c r="G13" s="3558" t="str">
        <f t="shared" si="5"/>
        <v>NA</v>
      </c>
      <c r="H13" s="3078">
        <f t="shared" si="6"/>
        <v>-0.15199966275161478</v>
      </c>
      <c r="I13" s="3078">
        <f t="shared" si="7"/>
        <v>-0.15199966275161478</v>
      </c>
      <c r="J13" s="3078">
        <f t="shared" si="8"/>
        <v>-6.4784344670212421E-2</v>
      </c>
      <c r="K13" s="3573">
        <f t="shared" si="9"/>
        <v>-0.20601859806426898</v>
      </c>
      <c r="L13" s="3128">
        <f t="shared" si="10"/>
        <v>-12.475</v>
      </c>
      <c r="M13" s="3590" t="str">
        <f>IF(SUM(M14,M16,M18,M20,M22)=0,"IE",SUM(M14,M16,M18,M20,M22))</f>
        <v>IE</v>
      </c>
      <c r="N13" s="3591">
        <f t="shared" ref="N13" si="19">IF(SUM(N14,N16,N18,N20,N22)=0,"IE",SUM(N14,N16,N18,N20,N22))</f>
        <v>-349.31300000000005</v>
      </c>
      <c r="O13" s="3592">
        <f t="shared" ref="O13" si="20">IF(SUM(O14,O16,O18,O20,O22)=0,"IE",SUM(O14,O16,O18,O20,O22))</f>
        <v>-349.31300000000005</v>
      </c>
      <c r="P13" s="3592">
        <f t="shared" ref="P13" si="21">IF(SUM(P14,P16,P18,P20,P22)=0,"IE",SUM(P14,P16,P18,P20,P22))</f>
        <v>-148.88200000000001</v>
      </c>
      <c r="Q13" s="3592">
        <f t="shared" ref="Q13" si="22">IF(SUM(Q14,Q16,Q18,Q20,Q22)=0,"IE",SUM(Q14,Q16,Q18,Q20,Q22))</f>
        <v>-472.83677458410335</v>
      </c>
      <c r="R13" s="3592">
        <f t="shared" ref="R13" si="23">IF(SUM(R14,R16,R18,R20,R22)=0,"IE",SUM(R14,R16,R18,R20,R22))</f>
        <v>-37.424999999999997</v>
      </c>
      <c r="S13" s="3594">
        <f t="shared" ref="S13" si="24">IF(SUM(S14,S16,S18,S20,S22)=0,"IE",SUM(S14,S16,S18,S20,S22))</f>
        <v>3697.6748401417117</v>
      </c>
      <c r="U13" s="503"/>
    </row>
    <row r="14" spans="2:21" ht="18" customHeight="1" x14ac:dyDescent="0.2">
      <c r="B14" s="487" t="s">
        <v>1055</v>
      </c>
      <c r="C14" s="504"/>
      <c r="D14" s="3589">
        <f>D15</f>
        <v>2285.4560000000001</v>
      </c>
      <c r="E14" s="3078">
        <f t="shared" ref="E14" si="25">E15</f>
        <v>2285.4560000000001</v>
      </c>
      <c r="F14" s="3078" t="str">
        <f t="shared" ref="F14" si="26">F15</f>
        <v>IE</v>
      </c>
      <c r="G14" s="3558" t="str">
        <f t="shared" si="5"/>
        <v>NA</v>
      </c>
      <c r="H14" s="3078">
        <f t="shared" si="6"/>
        <v>-0.15284170861307328</v>
      </c>
      <c r="I14" s="3078">
        <f t="shared" si="7"/>
        <v>-0.15284170861307328</v>
      </c>
      <c r="J14" s="3078">
        <f t="shared" si="8"/>
        <v>-6.5143236185688985E-2</v>
      </c>
      <c r="K14" s="3573">
        <f t="shared" si="9"/>
        <v>-0.19454017053927092</v>
      </c>
      <c r="L14" s="3128" t="str">
        <f t="shared" si="10"/>
        <v>NA</v>
      </c>
      <c r="M14" s="3590" t="str">
        <f t="shared" ref="M14" si="27">M15</f>
        <v>IE</v>
      </c>
      <c r="N14" s="3591">
        <f t="shared" ref="N14" si="28">N15</f>
        <v>-349.31300000000005</v>
      </c>
      <c r="O14" s="3592">
        <f t="shared" ref="O14" si="29">O15</f>
        <v>-349.31300000000005</v>
      </c>
      <c r="P14" s="3591">
        <f t="shared" ref="P14" si="30">P15</f>
        <v>-148.88200000000001</v>
      </c>
      <c r="Q14" s="3593">
        <f t="shared" ref="Q14" si="31">Q15</f>
        <v>-444.613</v>
      </c>
      <c r="R14" s="3593" t="str">
        <f t="shared" ref="R14" si="32">R15</f>
        <v>IE</v>
      </c>
      <c r="S14" s="3594">
        <f t="shared" ref="S14" si="33">S15</f>
        <v>3456.9626666666663</v>
      </c>
      <c r="U14" s="503"/>
    </row>
    <row r="15" spans="2:21" ht="18" customHeight="1" x14ac:dyDescent="0.2">
      <c r="B15" s="501"/>
      <c r="C15" s="508" t="s">
        <v>278</v>
      </c>
      <c r="D15" s="3568">
        <f>IF(SUM(E15:F15)=0,E15,SUM(E15:F15))</f>
        <v>2285.4560000000001</v>
      </c>
      <c r="E15" s="3569">
        <v>2285.4560000000001</v>
      </c>
      <c r="F15" s="3554" t="s">
        <v>2153</v>
      </c>
      <c r="G15" s="3558" t="str">
        <f t="shared" si="5"/>
        <v>NA</v>
      </c>
      <c r="H15" s="3078">
        <f t="shared" si="6"/>
        <v>-0.15284170861307328</v>
      </c>
      <c r="I15" s="3078">
        <f t="shared" si="7"/>
        <v>-0.15284170861307328</v>
      </c>
      <c r="J15" s="3078">
        <f t="shared" si="8"/>
        <v>-6.5143236185688985E-2</v>
      </c>
      <c r="K15" s="3573">
        <f t="shared" si="9"/>
        <v>-0.19454017053927092</v>
      </c>
      <c r="L15" s="3128" t="str">
        <f t="shared" si="10"/>
        <v>NA</v>
      </c>
      <c r="M15" s="2905" t="s">
        <v>2153</v>
      </c>
      <c r="N15" s="2905">
        <v>-349.31300000000005</v>
      </c>
      <c r="O15" s="3109">
        <f>IF(SUM(M15:N15)=0,M15,SUM(M15:N15))</f>
        <v>-349.31300000000005</v>
      </c>
      <c r="P15" s="2905">
        <v>-148.88200000000001</v>
      </c>
      <c r="Q15" s="2906">
        <v>-444.613</v>
      </c>
      <c r="R15" s="2906" t="s">
        <v>2153</v>
      </c>
      <c r="S15" s="3594">
        <f>IF(SUM(O15:R15)=0,Q15,SUM(O15:R15)*-44/12)</f>
        <v>3456.9626666666663</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522271.69697829994</v>
      </c>
      <c r="E10" s="3583">
        <f t="shared" ref="E10:F10" si="0">IF(SUM(E11,E15)=0,"IE",SUM(E11,E15))</f>
        <v>522270.69697829994</v>
      </c>
      <c r="F10" s="3584">
        <f t="shared" si="0"/>
        <v>1</v>
      </c>
      <c r="G10" s="3558">
        <f>IFERROR(IF(SUM($D10)=0,"NA",M10/$D10),"NA")</f>
        <v>4.0256102581366464E-4</v>
      </c>
      <c r="H10" s="3583">
        <f t="shared" ref="H10:J10" si="1">IFERROR(IF(SUM($D10)=0,"NA",N10/$D10),"NA")</f>
        <v>-1.8090377318137573E-2</v>
      </c>
      <c r="I10" s="3583">
        <f t="shared" si="1"/>
        <v>-1.768781629232391E-2</v>
      </c>
      <c r="J10" s="3583">
        <f t="shared" si="1"/>
        <v>-6.0846807622423537E-3</v>
      </c>
      <c r="K10" s="3585">
        <f>IFERROR(IF(SUM(E10)=0,"NA",Q10/E10),"NA")</f>
        <v>-1.1332021323317003E-2</v>
      </c>
      <c r="L10" s="3584">
        <f>IFERROR(IF(SUM(F10)=0,"NA",R10/F10),"NA")</f>
        <v>-8.7249999999999996</v>
      </c>
      <c r="M10" s="3586">
        <f>IF(SUM(M11,M15)=0,"IE",SUM(M11,M15))</f>
        <v>210.24623008902785</v>
      </c>
      <c r="N10" s="3583">
        <f t="shared" ref="N10:S10" si="2">IF(SUM(N11,N15)=0,"IE",SUM(N11,N15))</f>
        <v>-9448.0920609214572</v>
      </c>
      <c r="O10" s="3587">
        <f t="shared" si="2"/>
        <v>-9237.8458308324298</v>
      </c>
      <c r="P10" s="3583">
        <f t="shared" si="2"/>
        <v>-3177.8565472675295</v>
      </c>
      <c r="Q10" s="3585">
        <f t="shared" si="2"/>
        <v>-5918.3826747017274</v>
      </c>
      <c r="R10" s="3585">
        <f t="shared" si="2"/>
        <v>-8.7249999999999996</v>
      </c>
      <c r="S10" s="3588">
        <f t="shared" si="2"/>
        <v>67256.97019360619</v>
      </c>
      <c r="U10" s="2261"/>
    </row>
    <row r="11" spans="2:21" ht="18" customHeight="1" x14ac:dyDescent="0.2">
      <c r="B11" s="493" t="s">
        <v>988</v>
      </c>
      <c r="C11" s="483"/>
      <c r="D11" s="3599">
        <f>IF(SUM(D12:D14)=0,"IE",SUM(D12:D14))</f>
        <v>508513.63428568398</v>
      </c>
      <c r="E11" s="3564">
        <f t="shared" ref="E11:F11" si="3">IF(SUM(E12:E14)=0,"IE",SUM(E12:E14))</f>
        <v>508513.63428568398</v>
      </c>
      <c r="F11" s="3565" t="str">
        <f t="shared" si="3"/>
        <v>IE</v>
      </c>
      <c r="G11" s="3599">
        <f t="shared" ref="G11:G26" si="4">IFERROR(IF(SUM($D11)=0,"NA",M11/$D11),"NA")</f>
        <v>4.1345249352923172E-4</v>
      </c>
      <c r="H11" s="3109" t="str">
        <f t="shared" ref="H11:H26" si="5">IFERROR(IF(SUM($D11)=0,"NA",N11/$D11),"NA")</f>
        <v>NA</v>
      </c>
      <c r="I11" s="3109">
        <f t="shared" ref="I11:I26" si="6">IFERROR(IF(SUM($D11)=0,"NA",O11/$D11),"NA")</f>
        <v>4.1345249352923172E-4</v>
      </c>
      <c r="J11" s="3109">
        <f t="shared" ref="J11:J26" si="7">IFERROR(IF(SUM($D11)=0,"NA",P11/$D11),"NA")</f>
        <v>-7.0855272731237687E-4</v>
      </c>
      <c r="K11" s="3566">
        <f t="shared" ref="K11:K26" si="8">IFERROR(IF(SUM(E11)=0,"NA",Q11/E11),"NA")</f>
        <v>-6.8091607407163622E-3</v>
      </c>
      <c r="L11" s="3249" t="str">
        <f t="shared" ref="L11:L26" si="9">IFERROR(IF(SUM(F11)=0,"NA",R11/F11),"NA")</f>
        <v>NA</v>
      </c>
      <c r="M11" s="3109">
        <f>IF(SUM(M12:M14)=0,"IE",SUM(M12:M14))</f>
        <v>210.24623008902785</v>
      </c>
      <c r="N11" s="3109" t="str">
        <f t="shared" ref="N11:O11" si="10">IF(SUM(N12:N14)=0,"IE",SUM(N12:N14))</f>
        <v>IE</v>
      </c>
      <c r="O11" s="3109">
        <f t="shared" si="10"/>
        <v>210.24623008902785</v>
      </c>
      <c r="P11" s="3109">
        <f t="shared" ref="P11" si="11">IF(SUM(P12:P14)=0,"IE",SUM(P12:P14))</f>
        <v>-360.30872244864997</v>
      </c>
      <c r="Q11" s="3566">
        <f t="shared" ref="Q11" si="12">IF(SUM(Q12:Q14)=0,"IE",SUM(Q12:Q14))</f>
        <v>-3462.5510746970772</v>
      </c>
      <c r="R11" s="3566" t="str">
        <f t="shared" ref="R11" si="13">IF(SUM(R12:R14)=0,"IE",SUM(R12:R14))</f>
        <v>IE</v>
      </c>
      <c r="S11" s="3567">
        <f t="shared" ref="S11" si="14">IF(SUM(S12:S14)=0,"IE",SUM(S12:S14))</f>
        <v>13246.249745874564</v>
      </c>
      <c r="U11" s="2397"/>
    </row>
    <row r="12" spans="2:21" ht="18" customHeight="1" x14ac:dyDescent="0.2">
      <c r="B12" s="499"/>
      <c r="C12" s="484" t="s">
        <v>2226</v>
      </c>
      <c r="D12" s="3600">
        <f>IF(SUM(E12:F12)=0,E12,SUM(E12:F12))</f>
        <v>70456.100045431172</v>
      </c>
      <c r="E12" s="3569">
        <v>70456.100045431172</v>
      </c>
      <c r="F12" s="3554" t="s">
        <v>2153</v>
      </c>
      <c r="G12" s="3558">
        <f t="shared" si="4"/>
        <v>1.3699899902741876E-3</v>
      </c>
      <c r="H12" s="3078" t="str">
        <f t="shared" si="5"/>
        <v>NA</v>
      </c>
      <c r="I12" s="3078">
        <f t="shared" si="6"/>
        <v>1.3699899902741876E-3</v>
      </c>
      <c r="J12" s="3078">
        <f t="shared" si="7"/>
        <v>2.7399799805483886E-4</v>
      </c>
      <c r="K12" s="3573">
        <f t="shared" si="8"/>
        <v>1.0959919922193554E-3</v>
      </c>
      <c r="L12" s="3128" t="str">
        <f t="shared" si="9"/>
        <v>NA</v>
      </c>
      <c r="M12" s="2905">
        <v>96.524151815997442</v>
      </c>
      <c r="N12" s="2905" t="s">
        <v>2153</v>
      </c>
      <c r="O12" s="3109">
        <f>IF(SUM(M12:N12)=0,M12,SUM(M12:N12))</f>
        <v>96.524151815997442</v>
      </c>
      <c r="P12" s="2905">
        <v>19.304830363199581</v>
      </c>
      <c r="Q12" s="2906">
        <v>77.219321452798326</v>
      </c>
      <c r="R12" s="2906" t="s">
        <v>2153</v>
      </c>
      <c r="S12" s="3570">
        <f>IF(SUM(O12:R12)=0,Q12,SUM(O12:R12)*-44/12)</f>
        <v>-707.84377998398293</v>
      </c>
      <c r="U12" s="2398"/>
    </row>
    <row r="13" spans="2:21" ht="18" customHeight="1" x14ac:dyDescent="0.2">
      <c r="B13" s="499"/>
      <c r="C13" s="484" t="s">
        <v>2227</v>
      </c>
      <c r="D13" s="3600">
        <f>IF(SUM(E13:F13)=0,E13,SUM(E13:F13))</f>
        <v>438057.5342402528</v>
      </c>
      <c r="E13" s="3569">
        <v>438057.5342402528</v>
      </c>
      <c r="F13" s="3554" t="s">
        <v>2153</v>
      </c>
      <c r="G13" s="3558" t="str">
        <f t="shared" si="4"/>
        <v>NA</v>
      </c>
      <c r="H13" s="3078" t="str">
        <f t="shared" si="5"/>
        <v>NA</v>
      </c>
      <c r="I13" s="3078" t="str">
        <f t="shared" si="6"/>
        <v>NA</v>
      </c>
      <c r="J13" s="3078" t="str">
        <f t="shared" si="7"/>
        <v>NA</v>
      </c>
      <c r="K13" s="3573">
        <f t="shared" si="8"/>
        <v>-8.0806061292590103E-3</v>
      </c>
      <c r="L13" s="3128" t="str">
        <f t="shared" si="9"/>
        <v>NA</v>
      </c>
      <c r="M13" s="2905" t="s">
        <v>2147</v>
      </c>
      <c r="N13" s="2905" t="s">
        <v>2147</v>
      </c>
      <c r="O13" s="3109" t="str">
        <f>IF(SUM(M13:N13)=0,M13,SUM(M13:N13))</f>
        <v>NA</v>
      </c>
      <c r="P13" s="2905" t="s">
        <v>2147</v>
      </c>
      <c r="Q13" s="2906">
        <v>-3539.7703961498755</v>
      </c>
      <c r="R13" s="2906" t="s">
        <v>2153</v>
      </c>
      <c r="S13" s="3570">
        <f>IF(SUM(O13:R13)=0,Q13,SUM(O13:R13)*-44/12)</f>
        <v>12979.15811921621</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113.72207827303042</v>
      </c>
      <c r="N14" s="2905" t="s">
        <v>2153</v>
      </c>
      <c r="O14" s="3109">
        <f>IF(SUM(M14:N14)=0,M14,SUM(M14:N14))</f>
        <v>113.72207827303042</v>
      </c>
      <c r="P14" s="2905">
        <v>-379.61355281184956</v>
      </c>
      <c r="Q14" s="2906" t="s">
        <v>2147</v>
      </c>
      <c r="R14" s="2906" t="s">
        <v>2147</v>
      </c>
      <c r="S14" s="3570">
        <f>IF(SUM(O14:R14)=0,Q14,SUM(O14:R14)*-44/12)</f>
        <v>974.93540664233672</v>
      </c>
      <c r="U14" s="2398"/>
    </row>
    <row r="15" spans="2:21" ht="18" customHeight="1" x14ac:dyDescent="0.2">
      <c r="B15" s="485" t="s">
        <v>1066</v>
      </c>
      <c r="C15" s="486"/>
      <c r="D15" s="3589">
        <f>IF(SUM(D16,D19,D21,D23,D25)=0,"IE",SUM(D16,D19,D21,D23,D25))</f>
        <v>13758.06269261594</v>
      </c>
      <c r="E15" s="3591">
        <f t="shared" ref="E15:F15" si="15">IF(SUM(E16,E19,E21,E23,E25)=0,"IE",SUM(E16,E19,E21,E23,E25))</f>
        <v>13757.06269261594</v>
      </c>
      <c r="F15" s="3595">
        <f t="shared" si="15"/>
        <v>1</v>
      </c>
      <c r="G15" s="3558" t="str">
        <f t="shared" si="4"/>
        <v>NA</v>
      </c>
      <c r="H15" s="3078">
        <f t="shared" si="5"/>
        <v>-0.68673128419398188</v>
      </c>
      <c r="I15" s="3078">
        <f t="shared" si="6"/>
        <v>-0.68673128419398188</v>
      </c>
      <c r="J15" s="3078">
        <f t="shared" si="7"/>
        <v>-0.20479248334368177</v>
      </c>
      <c r="K15" s="3573">
        <f t="shared" si="8"/>
        <v>-0.17851424063966867</v>
      </c>
      <c r="L15" s="3128">
        <f t="shared" si="9"/>
        <v>-8.7249999999999996</v>
      </c>
      <c r="M15" s="3590" t="str">
        <f>IF(SUM(M16,M19,M21,M23,M25)=0,"IE",SUM(M16,M19,M21,M23,M25))</f>
        <v>IE</v>
      </c>
      <c r="N15" s="3591">
        <f t="shared" ref="N15:S15" si="16">IF(SUM(N16,N19,N21,N23,N25)=0,"IE",SUM(N16,N19,N21,N23,N25))</f>
        <v>-9448.0920609214572</v>
      </c>
      <c r="O15" s="3592">
        <f t="shared" si="16"/>
        <v>-9448.0920609214572</v>
      </c>
      <c r="P15" s="3592">
        <f t="shared" si="16"/>
        <v>-2817.5478248188797</v>
      </c>
      <c r="Q15" s="3592">
        <f t="shared" si="16"/>
        <v>-2455.8316000046502</v>
      </c>
      <c r="R15" s="3592">
        <f t="shared" si="16"/>
        <v>-8.7249999999999996</v>
      </c>
      <c r="S15" s="3594">
        <f t="shared" si="16"/>
        <v>54010.720447731626</v>
      </c>
      <c r="U15" s="2019"/>
    </row>
    <row r="16" spans="2:21" ht="18" customHeight="1" x14ac:dyDescent="0.2">
      <c r="B16" s="500" t="s">
        <v>1067</v>
      </c>
      <c r="C16" s="486"/>
      <c r="D16" s="3599">
        <f>IF(SUM(D17:D18)=0,"IE",SUM(D17:D18))</f>
        <v>13709.185260079394</v>
      </c>
      <c r="E16" s="3564">
        <f t="shared" ref="E16:F16" si="17">IF(SUM(E17:E18)=0,"IE",SUM(E17:E18))</f>
        <v>13709.185260079394</v>
      </c>
      <c r="F16" s="3565" t="str">
        <f t="shared" si="17"/>
        <v>IE</v>
      </c>
      <c r="G16" s="3558" t="str">
        <f t="shared" si="4"/>
        <v>NA</v>
      </c>
      <c r="H16" s="3078">
        <f t="shared" si="5"/>
        <v>-0.68917969096485465</v>
      </c>
      <c r="I16" s="3078">
        <f t="shared" si="6"/>
        <v>-0.68917969096485465</v>
      </c>
      <c r="J16" s="3078">
        <f t="shared" si="7"/>
        <v>-0.20552263109489574</v>
      </c>
      <c r="K16" s="3573">
        <f t="shared" si="8"/>
        <v>-0.17050158405774732</v>
      </c>
      <c r="L16" s="3128" t="str">
        <f t="shared" si="9"/>
        <v>NA</v>
      </c>
      <c r="M16" s="3506" t="str">
        <f>IF(SUM(M17:M18)=0,"IE",SUM(M17:M18))</f>
        <v>IE</v>
      </c>
      <c r="N16" s="3506">
        <f t="shared" ref="N16:O16" si="18">IF(SUM(N17:N18)=0,"IE",SUM(N17:N18))</f>
        <v>-9448.0920609214572</v>
      </c>
      <c r="O16" s="3506">
        <f t="shared" si="18"/>
        <v>-9448.0920609214572</v>
      </c>
      <c r="P16" s="3506">
        <f t="shared" ref="P16" si="19">IF(SUM(P17:P18)=0,"IE",SUM(P17:P18))</f>
        <v>-2817.5478248188797</v>
      </c>
      <c r="Q16" s="3601">
        <f t="shared" ref="Q16" si="20">IF(SUM(Q17:Q18)=0,"IE",SUM(Q17:Q18))</f>
        <v>-2337.4378029846571</v>
      </c>
      <c r="R16" s="3601" t="str">
        <f t="shared" ref="R16" si="21">IF(SUM(R17:R18)=0,"IE",SUM(R17:R18))</f>
        <v>IE</v>
      </c>
      <c r="S16" s="3287">
        <f t="shared" ref="S16" si="22">IF(SUM(S17:S18)=0,"IE",SUM(S17:S18))</f>
        <v>53544.618191991649</v>
      </c>
      <c r="U16" s="2400"/>
    </row>
    <row r="17" spans="2:21" ht="18" customHeight="1" x14ac:dyDescent="0.2">
      <c r="B17" s="500"/>
      <c r="C17" s="484" t="s">
        <v>2228</v>
      </c>
      <c r="D17" s="3600">
        <f>IF(SUM(E17:F17)=0,E17,SUM(E17:F17))</f>
        <v>13709.185260079394</v>
      </c>
      <c r="E17" s="3569">
        <v>13709.185260079394</v>
      </c>
      <c r="F17" s="3554" t="s">
        <v>2153</v>
      </c>
      <c r="G17" s="3558" t="str">
        <f t="shared" si="4"/>
        <v>NA</v>
      </c>
      <c r="H17" s="3078">
        <f t="shared" si="5"/>
        <v>-0.68843568531763177</v>
      </c>
      <c r="I17" s="3078">
        <f t="shared" si="6"/>
        <v>-0.68843568531763177</v>
      </c>
      <c r="J17" s="3078">
        <f t="shared" si="7"/>
        <v>-0.2055013547299909</v>
      </c>
      <c r="K17" s="3573">
        <f t="shared" si="8"/>
        <v>-0.17050158405774732</v>
      </c>
      <c r="L17" s="3128" t="str">
        <f t="shared" si="9"/>
        <v>NA</v>
      </c>
      <c r="M17" s="2905" t="s">
        <v>2153</v>
      </c>
      <c r="N17" s="2905">
        <v>-9437.8923496691332</v>
      </c>
      <c r="O17" s="3109">
        <f>IF(SUM(M17:N17)=0,M17,SUM(M17:N17))</f>
        <v>-9437.8923496691332</v>
      </c>
      <c r="P17" s="2905">
        <v>-2817.2561431907379</v>
      </c>
      <c r="Q17" s="2906">
        <v>-2337.4378029846571</v>
      </c>
      <c r="R17" s="2906" t="s">
        <v>2153</v>
      </c>
      <c r="S17" s="3570">
        <f>IF(SUM(O17:R17)=0,Q17,SUM(O17:R17)*-44/12)</f>
        <v>53506.149751429941</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-10.199711252323443</v>
      </c>
      <c r="O18" s="3109">
        <f>IF(SUM(M18:N18)=0,M18,SUM(M18:N18))</f>
        <v>-10.199711252323443</v>
      </c>
      <c r="P18" s="2905">
        <v>-0.29168162814184562</v>
      </c>
      <c r="Q18" s="2906" t="s">
        <v>2147</v>
      </c>
      <c r="R18" s="2906" t="s">
        <v>2147</v>
      </c>
      <c r="S18" s="3570">
        <f>IF(SUM(O18:R18)=0,Q18,SUM(O18:R18)*-44/12)</f>
        <v>38.468440561706053</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13224.765434154</v>
      </c>
      <c r="E10" s="3583">
        <f>IF(SUM(E11,E23)=0,"IE",SUM(E11,E23))</f>
        <v>13170.516955369685</v>
      </c>
      <c r="F10" s="3584">
        <f>IF(SUM(F11,F23)=0,"IE",SUM(F11,F23))</f>
        <v>54.248478784314841</v>
      </c>
      <c r="G10" s="3608" t="str">
        <f>IFERROR(IF(SUM($D10)=0,"NA",M10/$D10),"NA")</f>
        <v>NA</v>
      </c>
      <c r="H10" s="3609">
        <f t="shared" ref="H10:J10" si="0">IFERROR(IF(SUM($D10)=0,"NA",N10/$D10),"NA")</f>
        <v>-2.4506105630840436E-2</v>
      </c>
      <c r="I10" s="3610">
        <f t="shared" si="0"/>
        <v>-2.4506105630840436E-2</v>
      </c>
      <c r="J10" s="3609">
        <f t="shared" si="0"/>
        <v>-2.1451752934047584E-3</v>
      </c>
      <c r="K10" s="3609">
        <f>IFERROR(IF(SUM(E10)=0,"NA",Q10/E10),"NA")</f>
        <v>-2.0174786084079573E-3</v>
      </c>
      <c r="L10" s="3611" t="str">
        <f>IFERROR(IF(SUM(F10)=0,"NA",R10/F10),"NA")</f>
        <v>NA</v>
      </c>
      <c r="M10" s="3610" t="str">
        <f t="shared" ref="M10:S10" si="1">IF(SUM(M11,M23)=0,"IE",SUM(M11,M23))</f>
        <v>IE</v>
      </c>
      <c r="N10" s="3609">
        <f t="shared" si="1"/>
        <v>-324.0874986724653</v>
      </c>
      <c r="O10" s="3610">
        <f t="shared" si="1"/>
        <v>-324.0874986724653</v>
      </c>
      <c r="P10" s="3609">
        <f t="shared" si="1"/>
        <v>-28.369440070420413</v>
      </c>
      <c r="Q10" s="3612">
        <f t="shared" si="1"/>
        <v>-26.57123621913264</v>
      </c>
      <c r="R10" s="3612" t="str">
        <f t="shared" si="1"/>
        <v>IE</v>
      </c>
      <c r="S10" s="3588">
        <f t="shared" si="1"/>
        <v>1389.7699748607338</v>
      </c>
      <c r="U10" s="2401"/>
    </row>
    <row r="11" spans="1:23" ht="18" customHeight="1" x14ac:dyDescent="0.2">
      <c r="B11" s="501" t="s">
        <v>990</v>
      </c>
      <c r="C11" s="483"/>
      <c r="D11" s="3613">
        <f>IF(SUM(D12,D14,D17)=0,"IE",SUM(D12,D14,D17))</f>
        <v>13185.857434154001</v>
      </c>
      <c r="E11" s="3614">
        <f t="shared" ref="E11:S11" si="2">IF(SUM(E12,E14,E17)=0,"IE",SUM(E12,E14,E17))</f>
        <v>13131.608955369686</v>
      </c>
      <c r="F11" s="3615">
        <f t="shared" si="2"/>
        <v>54.248478784314841</v>
      </c>
      <c r="G11" s="3616" t="str">
        <f t="shared" ref="G11:G56" si="3">IFERROR(IF(SUM($D11)=0,"NA",M11/$D11),"NA")</f>
        <v>NA</v>
      </c>
      <c r="H11" s="3617">
        <f t="shared" ref="H11:H56" si="4">IFERROR(IF(SUM($D11)=0,"NA",N11/$D11),"NA")</f>
        <v>-2.4455406126052549E-2</v>
      </c>
      <c r="I11" s="3618">
        <f t="shared" ref="I11:I56" si="5">IFERROR(IF(SUM($D11)=0,"NA",O11/$D11),"NA")</f>
        <v>-2.4455406126052549E-2</v>
      </c>
      <c r="J11" s="3617">
        <f t="shared" ref="J11:J56" si="6">IFERROR(IF(SUM($D11)=0,"NA",P11/$D11),"NA")</f>
        <v>-2.1515051419362312E-3</v>
      </c>
      <c r="K11" s="3617">
        <f t="shared" ref="K11:K56" si="7">IFERROR(IF(SUM(E11)=0,"NA",Q11/E11),"NA")</f>
        <v>-2.0234562504442624E-3</v>
      </c>
      <c r="L11" s="3619" t="str">
        <f t="shared" ref="L11:L56" si="8">IFERROR(IF(SUM(F11)=0,"NA",R11/F11),"NA")</f>
        <v>NA</v>
      </c>
      <c r="M11" s="3618" t="str">
        <f t="shared" si="2"/>
        <v>IE</v>
      </c>
      <c r="N11" s="3617">
        <f t="shared" si="2"/>
        <v>-322.46549867246529</v>
      </c>
      <c r="O11" s="3618">
        <f t="shared" si="2"/>
        <v>-322.46549867246529</v>
      </c>
      <c r="P11" s="3617">
        <f t="shared" si="2"/>
        <v>-28.369440070420413</v>
      </c>
      <c r="Q11" s="3620">
        <f t="shared" si="2"/>
        <v>-26.57123621913264</v>
      </c>
      <c r="R11" s="3620" t="str">
        <f t="shared" si="2"/>
        <v>IE</v>
      </c>
      <c r="S11" s="3621">
        <f t="shared" si="2"/>
        <v>1383.8226415274005</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868.27549347714034</v>
      </c>
      <c r="E14" s="3564">
        <f>IF(SUM(E15:E16)=0,"IE",SUM(E15:E16))</f>
        <v>868.27549347714034</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535.48540000000003</v>
      </c>
      <c r="E15" s="3569">
        <v>535.48540000000003</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12317.581940676861</v>
      </c>
      <c r="E17" s="3564">
        <f>IF(SUM(E18:E21)=0,"IE",SUM(E18:E21))</f>
        <v>12263.333461892546</v>
      </c>
      <c r="F17" s="3565">
        <f>IF(SUM(F18:F21)=0,"IE",SUM(F18:F21))</f>
        <v>54.248478784314841</v>
      </c>
      <c r="G17" s="3622" t="str">
        <f t="shared" si="3"/>
        <v>NA</v>
      </c>
      <c r="H17" s="3591">
        <f t="shared" si="4"/>
        <v>-2.6179285855414052E-2</v>
      </c>
      <c r="I17" s="3623">
        <f t="shared" si="5"/>
        <v>-2.6179285855414052E-2</v>
      </c>
      <c r="J17" s="3591">
        <f t="shared" si="6"/>
        <v>-2.3031663363029748E-3</v>
      </c>
      <c r="K17" s="3591">
        <f t="shared" si="7"/>
        <v>-2.1667221479136083E-3</v>
      </c>
      <c r="L17" s="3595" t="str">
        <f t="shared" si="8"/>
        <v>NA</v>
      </c>
      <c r="M17" s="3564" t="str">
        <f t="shared" ref="M17:S17" si="16">IF(SUM(M18:M21)=0,"IE",SUM(M18:M21))</f>
        <v>IE</v>
      </c>
      <c r="N17" s="3617">
        <f t="shared" si="16"/>
        <v>-322.46549867246529</v>
      </c>
      <c r="O17" s="3618">
        <f t="shared" si="16"/>
        <v>-322.46549867246529</v>
      </c>
      <c r="P17" s="3617">
        <f t="shared" si="16"/>
        <v>-28.369440070420413</v>
      </c>
      <c r="Q17" s="3620">
        <f t="shared" si="16"/>
        <v>-26.57123621913264</v>
      </c>
      <c r="R17" s="3620" t="str">
        <f t="shared" si="16"/>
        <v>IE</v>
      </c>
      <c r="S17" s="3634">
        <f t="shared" si="16"/>
        <v>1383.8226415274005</v>
      </c>
      <c r="U17" s="2402"/>
    </row>
    <row r="18" spans="1:23" ht="18" customHeight="1" x14ac:dyDescent="0.2">
      <c r="A18" s="2502"/>
      <c r="B18" s="2682"/>
      <c r="C18" s="2503" t="s">
        <v>2231</v>
      </c>
      <c r="D18" s="3600">
        <f>IF(SUM(E18:F18)=0,E18,SUM(E18:F18))</f>
        <v>1716.6986404464246</v>
      </c>
      <c r="E18" s="3569">
        <v>1716.6986404464246</v>
      </c>
      <c r="F18" s="3635" t="s">
        <v>2153</v>
      </c>
      <c r="G18" s="3630" t="str">
        <f t="shared" si="3"/>
        <v>NA</v>
      </c>
      <c r="H18" s="3631">
        <f t="shared" si="4"/>
        <v>-1.9347627178919743E-2</v>
      </c>
      <c r="I18" s="3632">
        <f t="shared" si="5"/>
        <v>-1.9347627178919743E-2</v>
      </c>
      <c r="J18" s="3631">
        <f t="shared" si="6"/>
        <v>-3.8695254357839466E-3</v>
      </c>
      <c r="K18" s="3631">
        <f t="shared" si="7"/>
        <v>-1.5478101743135787E-2</v>
      </c>
      <c r="L18" s="3633" t="str">
        <f t="shared" si="8"/>
        <v>NA</v>
      </c>
      <c r="M18" s="3624" t="s">
        <v>2153</v>
      </c>
      <c r="N18" s="3625">
        <v>-33.214045273915815</v>
      </c>
      <c r="O18" s="3109">
        <f>IF(SUM(M18:N18)=0,M18,SUM(M18:N18))</f>
        <v>-33.214045273915815</v>
      </c>
      <c r="P18" s="3625">
        <v>-6.64280905478316</v>
      </c>
      <c r="Q18" s="3626">
        <v>-26.57123621913264</v>
      </c>
      <c r="R18" s="3636" t="s">
        <v>2153</v>
      </c>
      <c r="S18" s="3570">
        <f>IF(SUM(O18:R18)=0,Q18,SUM(O18:R18)*-44/12)</f>
        <v>243.56966534204926</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-289.25145339854947</v>
      </c>
      <c r="O19" s="3109">
        <f t="shared" ref="O19:O22" si="18">IF(SUM(M19:N19)=0,M19,SUM(M19:N19))</f>
        <v>-289.25145339854947</v>
      </c>
      <c r="P19" s="3625">
        <v>-21.726631015637253</v>
      </c>
      <c r="Q19" s="3628" t="s">
        <v>2147</v>
      </c>
      <c r="R19" s="3627" t="s">
        <v>2147</v>
      </c>
      <c r="S19" s="3570">
        <f t="shared" ref="S19:S22" si="19">IF(SUM(O19:R19)=0,Q19,SUM(O19:R19)*-44/12)</f>
        <v>1140.2529761853511</v>
      </c>
      <c r="T19" s="2502"/>
      <c r="U19" s="2684"/>
      <c r="V19" s="2502"/>
      <c r="W19" s="2502"/>
    </row>
    <row r="20" spans="1:23" ht="18" customHeight="1" x14ac:dyDescent="0.2">
      <c r="A20" s="2502"/>
      <c r="B20" s="2682"/>
      <c r="C20" s="2683" t="s">
        <v>2234</v>
      </c>
      <c r="D20" s="3600">
        <f t="shared" si="17"/>
        <v>10546.634821446121</v>
      </c>
      <c r="E20" s="3607">
        <v>10546.634821446121</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54.248478784314841</v>
      </c>
      <c r="E21" s="3564" t="str">
        <f t="shared" ref="E21:F21" si="20">E22</f>
        <v>IE</v>
      </c>
      <c r="F21" s="3565">
        <f t="shared" si="20"/>
        <v>54.248478784314841</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54.248478784314841</v>
      </c>
      <c r="E22" s="3569" t="s">
        <v>2153</v>
      </c>
      <c r="F22" s="3554">
        <v>54.248478784314841</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38.908000000000001</v>
      </c>
      <c r="E23" s="3591">
        <f t="shared" ref="E23:F23" si="22">IF(SUM(E24,E35,E46)=0,"IE",SUM(E24,E35,E46))</f>
        <v>38.908000000000001</v>
      </c>
      <c r="F23" s="3595" t="str">
        <f t="shared" si="22"/>
        <v>IE</v>
      </c>
      <c r="G23" s="3622" t="str">
        <f t="shared" si="3"/>
        <v>NA</v>
      </c>
      <c r="H23" s="3591">
        <f t="shared" si="4"/>
        <v>-4.1688084712655497E-2</v>
      </c>
      <c r="I23" s="3623">
        <f t="shared" si="5"/>
        <v>-4.1688084712655497E-2</v>
      </c>
      <c r="J23" s="3591" t="str">
        <f t="shared" si="6"/>
        <v>NA</v>
      </c>
      <c r="K23" s="3591" t="str">
        <f t="shared" si="7"/>
        <v>NA</v>
      </c>
      <c r="L23" s="3595" t="str">
        <f t="shared" si="8"/>
        <v>NA</v>
      </c>
      <c r="M23" s="3591" t="str">
        <f t="shared" ref="M23" si="23">IF(SUM(M24,M35,M46)=0,"IE",SUM(M24,M35,M46))</f>
        <v>IE</v>
      </c>
      <c r="N23" s="3591">
        <f t="shared" ref="N23" si="24">IF(SUM(N24,N35,N46)=0,"IE",SUM(N24,N35,N46))</f>
        <v>-1.6220000000000001</v>
      </c>
      <c r="O23" s="3623">
        <f t="shared" ref="O23" si="25">IF(SUM(O24,O35,O46)=0,"IE",SUM(O24,O35,O46))</f>
        <v>-1.6220000000000001</v>
      </c>
      <c r="P23" s="3591" t="str">
        <f>IF(SUM(P24,P35,P46)=0,"NO",SUM(P24,P35,P46))</f>
        <v>NO</v>
      </c>
      <c r="Q23" s="3590" t="str">
        <f>IF(SUM(Q24,Q35,Q46)=0,"NO",SUM(Q24,Q35,Q46))</f>
        <v>NO</v>
      </c>
      <c r="R23" s="3590" t="str">
        <f>IF(SUM(R24,R35,R46)=0,"NO",SUM(R24,R35,R46))</f>
        <v>NO</v>
      </c>
      <c r="S23" s="3594">
        <f t="shared" ref="S23" si="26">IF(SUM(S24,S35,S46)=0,"IE",SUM(S24,S35,S46))</f>
        <v>5.9473333333333338</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38.908000000000001</v>
      </c>
      <c r="E35" s="3591">
        <f>IF(SUM(E36,E38,E40,E42,E44)=0,"IE",SUM(E36,E38,E40,E42,E44))</f>
        <v>38.908000000000001</v>
      </c>
      <c r="F35" s="3595" t="str">
        <f>IF(SUM(F36,F38,F40,F42,F44)=0,"IE",SUM(F36,F38,F40,F42,F44))</f>
        <v>IE</v>
      </c>
      <c r="G35" s="3622" t="str">
        <f t="shared" si="3"/>
        <v>NA</v>
      </c>
      <c r="H35" s="3591">
        <f t="shared" si="4"/>
        <v>-4.1688084712655497E-2</v>
      </c>
      <c r="I35" s="3623">
        <f t="shared" si="5"/>
        <v>-4.1688084712655497E-2</v>
      </c>
      <c r="J35" s="3591" t="str">
        <f t="shared" si="6"/>
        <v>NA</v>
      </c>
      <c r="K35" s="3591" t="str">
        <f t="shared" si="7"/>
        <v>NA</v>
      </c>
      <c r="L35" s="3595" t="str">
        <f t="shared" si="8"/>
        <v>NA</v>
      </c>
      <c r="M35" s="3591" t="str">
        <f t="shared" ref="M35:S35" si="48">IF(SUM(M36,M38,M40,M42,M44)=0,"IE",SUM(M36,M38,M40,M42,M44))</f>
        <v>IE</v>
      </c>
      <c r="N35" s="3591">
        <f t="shared" si="48"/>
        <v>-1.6220000000000001</v>
      </c>
      <c r="O35" s="3623">
        <f t="shared" si="48"/>
        <v>-1.6220000000000001</v>
      </c>
      <c r="P35" s="3591" t="str">
        <f>IF(SUM(P36,P38,P40,P42,P44)=0,"NO",SUM(P36,P38,P40,P42,P44))</f>
        <v>NO</v>
      </c>
      <c r="Q35" s="3590" t="str">
        <f>IF(SUM(Q36,Q38,Q40,Q42,Q44)=0,"NO",SUM(Q36,Q38,Q40,Q42,Q44))</f>
        <v>NO</v>
      </c>
      <c r="R35" s="3590" t="str">
        <f>IF(SUM(R36,R38,R40,R42,R44)=0,"NO",SUM(R36,R38,R40,R42,R44))</f>
        <v>NO</v>
      </c>
      <c r="S35" s="3594">
        <f t="shared" si="48"/>
        <v>5.9473333333333338</v>
      </c>
      <c r="U35" s="503"/>
    </row>
    <row r="36" spans="2:21" ht="18" customHeight="1" x14ac:dyDescent="0.2">
      <c r="B36" s="505" t="s">
        <v>1087</v>
      </c>
      <c r="C36" s="486"/>
      <c r="D36" s="3600">
        <f>D37</f>
        <v>38.908000000000001</v>
      </c>
      <c r="E36" s="3564">
        <f t="shared" ref="E36:F36" si="49">E37</f>
        <v>38.908000000000001</v>
      </c>
      <c r="F36" s="3565" t="str">
        <f t="shared" si="49"/>
        <v>IE</v>
      </c>
      <c r="G36" s="3558" t="str">
        <f t="shared" si="3"/>
        <v>NA</v>
      </c>
      <c r="H36" s="3078">
        <f t="shared" si="4"/>
        <v>-4.1688084712655497E-2</v>
      </c>
      <c r="I36" s="3078">
        <f t="shared" si="5"/>
        <v>-4.1688084712655497E-2</v>
      </c>
      <c r="J36" s="3078" t="str">
        <f t="shared" si="6"/>
        <v>NA</v>
      </c>
      <c r="K36" s="3573" t="str">
        <f t="shared" si="7"/>
        <v>NA</v>
      </c>
      <c r="L36" s="3128" t="str">
        <f t="shared" si="8"/>
        <v>NA</v>
      </c>
      <c r="M36" s="3505" t="str">
        <f t="shared" ref="M36:S36" si="50">M37</f>
        <v>IE</v>
      </c>
      <c r="N36" s="3506">
        <f t="shared" si="50"/>
        <v>-1.6220000000000001</v>
      </c>
      <c r="O36" s="3506">
        <f t="shared" si="50"/>
        <v>-1.6220000000000001</v>
      </c>
      <c r="P36" s="3506" t="str">
        <f t="shared" si="50"/>
        <v>NA</v>
      </c>
      <c r="Q36" s="3601" t="str">
        <f t="shared" si="50"/>
        <v>NA</v>
      </c>
      <c r="R36" s="3601" t="str">
        <f t="shared" si="50"/>
        <v>NA</v>
      </c>
      <c r="S36" s="3287">
        <f t="shared" si="50"/>
        <v>5.9473333333333338</v>
      </c>
      <c r="U36" s="2402"/>
    </row>
    <row r="37" spans="2:21" ht="18" customHeight="1" x14ac:dyDescent="0.2">
      <c r="B37" s="1479"/>
      <c r="C37" s="885" t="s">
        <v>278</v>
      </c>
      <c r="D37" s="3600">
        <f>IF(SUM(E37:F37)=0,E37,SUM(E37:F37))</f>
        <v>38.908000000000001</v>
      </c>
      <c r="E37" s="3569">
        <v>38.908000000000001</v>
      </c>
      <c r="F37" s="3554" t="s">
        <v>2153</v>
      </c>
      <c r="G37" s="3622" t="str">
        <f t="shared" si="3"/>
        <v>NA</v>
      </c>
      <c r="H37" s="3591">
        <f t="shared" si="4"/>
        <v>-4.1688084712655497E-2</v>
      </c>
      <c r="I37" s="3623">
        <f t="shared" si="5"/>
        <v>-4.1688084712655497E-2</v>
      </c>
      <c r="J37" s="3591" t="str">
        <f t="shared" si="6"/>
        <v>NA</v>
      </c>
      <c r="K37" s="3591" t="str">
        <f t="shared" si="7"/>
        <v>NA</v>
      </c>
      <c r="L37" s="3595" t="str">
        <f t="shared" si="8"/>
        <v>NA</v>
      </c>
      <c r="M37" s="3624" t="s">
        <v>2153</v>
      </c>
      <c r="N37" s="3625">
        <v>-1.6220000000000001</v>
      </c>
      <c r="O37" s="3109">
        <f t="shared" ref="O37" si="51">IF(SUM(M37:N37)=0,M37,SUM(M37:N37))</f>
        <v>-1.6220000000000001</v>
      </c>
      <c r="P37" s="3625" t="s">
        <v>2147</v>
      </c>
      <c r="Q37" s="3626" t="s">
        <v>2147</v>
      </c>
      <c r="R37" s="3626" t="s">
        <v>2147</v>
      </c>
      <c r="S37" s="3570">
        <f t="shared" ref="S37" si="52">IF(SUM(O37:R37)=0,Q37,SUM(O37:R37)*-44/12)</f>
        <v>5.9473333333333338</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1482.307672650415</v>
      </c>
      <c r="E10" s="3583">
        <f t="shared" ref="E10:F10" si="0">IF(SUM(E11,E13)=0,"IE",SUM(E11,E13))</f>
        <v>1398.696049956</v>
      </c>
      <c r="F10" s="3584">
        <f t="shared" si="0"/>
        <v>83.611622694415047</v>
      </c>
      <c r="G10" s="3582" t="str">
        <f>IFERROR(IF(SUM($D10)=0,"NA",M10/$D10),"NA")</f>
        <v>NA</v>
      </c>
      <c r="H10" s="3583">
        <f t="shared" ref="H10:J10" si="1">IFERROR(IF(SUM($D10)=0,"NA",N10/$D10),"NA")</f>
        <v>-0.63841573894711112</v>
      </c>
      <c r="I10" s="3583">
        <f t="shared" si="1"/>
        <v>-0.63841573894711112</v>
      </c>
      <c r="J10" s="3583">
        <f t="shared" si="1"/>
        <v>-0.1748154623263084</v>
      </c>
      <c r="K10" s="3585">
        <f>IFERROR(IF(SUM(E10)=0,"NA",Q10/E10),"NA")</f>
        <v>-0.11636868330564878</v>
      </c>
      <c r="L10" s="3584">
        <f>IFERROR(IF(SUM(F10)=0,"NA",R10/F10),"NA")</f>
        <v>0.73374219236087734</v>
      </c>
      <c r="M10" s="3586" t="str">
        <f>IF(SUM(M11,M13)=0,"IE",SUM(M11,M13))</f>
        <v>IE</v>
      </c>
      <c r="N10" s="3583">
        <f t="shared" ref="N10:S10" si="2">IF(SUM(N11,N13)=0,"IE",SUM(N11,N13))</f>
        <v>-946.32854818208727</v>
      </c>
      <c r="O10" s="3587">
        <f t="shared" si="2"/>
        <v>-946.32854818208727</v>
      </c>
      <c r="P10" s="3583">
        <f t="shared" si="2"/>
        <v>-259.13030110421653</v>
      </c>
      <c r="Q10" s="3585">
        <f t="shared" si="2"/>
        <v>-162.76441767819168</v>
      </c>
      <c r="R10" s="3585">
        <f t="shared" si="2"/>
        <v>61.349375342650582</v>
      </c>
      <c r="S10" s="3588">
        <f t="shared" si="2"/>
        <v>4791.8709359467648</v>
      </c>
      <c r="U10" s="2261"/>
    </row>
    <row r="11" spans="2:21" ht="18" customHeight="1" x14ac:dyDescent="0.2">
      <c r="B11" s="493" t="s">
        <v>993</v>
      </c>
      <c r="C11" s="2256"/>
      <c r="D11" s="3589">
        <f>D12</f>
        <v>996.13404995600001</v>
      </c>
      <c r="E11" s="3078">
        <f t="shared" ref="E11:F11" si="3">E12</f>
        <v>996.13404995600001</v>
      </c>
      <c r="F11" s="3078" t="str">
        <f t="shared" si="3"/>
        <v>IE</v>
      </c>
      <c r="G11" s="3558" t="str">
        <f t="shared" ref="G11:G24" si="4">IFERROR(IF(SUM($D11)=0,"NA",M11/$D11),"NA")</f>
        <v>NA</v>
      </c>
      <c r="H11" s="3078">
        <f t="shared" ref="H11:H24" si="5">IFERROR(IF(SUM($D11)=0,"NA",N11/$D11),"NA")</f>
        <v>-3.5969276403089328E-3</v>
      </c>
      <c r="I11" s="3078">
        <f t="shared" ref="I11:I24" si="6">IFERROR(IF(SUM($D11)=0,"NA",O11/$D11),"NA")</f>
        <v>-3.5969276403089328E-3</v>
      </c>
      <c r="J11" s="3078">
        <f t="shared" ref="J11:J24" si="7">IFERROR(IF(SUM($D11)=0,"NA",P11/$D11),"NA")</f>
        <v>-7.1938552806178648E-4</v>
      </c>
      <c r="K11" s="3573">
        <f t="shared" ref="K11:K24" si="8">IFERROR(IF(SUM(E11)=0,"NA",Q11/E11),"NA")</f>
        <v>-2.8775421122471459E-3</v>
      </c>
      <c r="L11" s="3128" t="str">
        <f t="shared" ref="L11:L24" si="9">IFERROR(IF(SUM(F11)=0,"NA",R11/F11),"NA")</f>
        <v>NA</v>
      </c>
      <c r="M11" s="3590" t="str">
        <f t="shared" ref="M11:S11" si="10">M12</f>
        <v>IE</v>
      </c>
      <c r="N11" s="3591">
        <f t="shared" si="10"/>
        <v>-3.5830220977396157</v>
      </c>
      <c r="O11" s="3592">
        <f t="shared" si="10"/>
        <v>-3.5830220977396157</v>
      </c>
      <c r="P11" s="3591">
        <f t="shared" si="10"/>
        <v>-0.71660441954792309</v>
      </c>
      <c r="Q11" s="3593">
        <f t="shared" si="10"/>
        <v>-2.8664176781916924</v>
      </c>
      <c r="R11" s="3593" t="str">
        <f t="shared" si="10"/>
        <v>IE</v>
      </c>
      <c r="S11" s="3594">
        <f t="shared" si="10"/>
        <v>26.275495383423848</v>
      </c>
      <c r="U11" s="2397"/>
    </row>
    <row r="12" spans="2:21" ht="18" customHeight="1" x14ac:dyDescent="0.2">
      <c r="B12" s="501"/>
      <c r="C12" s="885" t="s">
        <v>278</v>
      </c>
      <c r="D12" s="3600">
        <f>IF(SUM(E12:F12)=0,E12,SUM(E12:F12))</f>
        <v>996.13404995600001</v>
      </c>
      <c r="E12" s="3569">
        <v>996.13404995600001</v>
      </c>
      <c r="F12" s="3554" t="s">
        <v>2153</v>
      </c>
      <c r="G12" s="3558" t="str">
        <f t="shared" si="4"/>
        <v>NA</v>
      </c>
      <c r="H12" s="3078">
        <f t="shared" si="5"/>
        <v>-3.5969276403089328E-3</v>
      </c>
      <c r="I12" s="3078">
        <f t="shared" si="6"/>
        <v>-3.5969276403089328E-3</v>
      </c>
      <c r="J12" s="3078">
        <f t="shared" si="7"/>
        <v>-7.1938552806178648E-4</v>
      </c>
      <c r="K12" s="3573">
        <f t="shared" si="8"/>
        <v>-2.8775421122471459E-3</v>
      </c>
      <c r="L12" s="3128" t="str">
        <f t="shared" si="9"/>
        <v>NA</v>
      </c>
      <c r="M12" s="2905" t="s">
        <v>2153</v>
      </c>
      <c r="N12" s="2905">
        <v>-3.5830220977396157</v>
      </c>
      <c r="O12" s="3109">
        <f>IF(SUM(M12:N12)=0,M12,SUM(M12:N12))</f>
        <v>-3.5830220977396157</v>
      </c>
      <c r="P12" s="2905">
        <v>-0.71660441954792309</v>
      </c>
      <c r="Q12" s="2906">
        <v>-2.8664176781916924</v>
      </c>
      <c r="R12" s="2906" t="s">
        <v>2153</v>
      </c>
      <c r="S12" s="3570">
        <f>IF(SUM(O12:R12)=0,Q12,SUM(O12:R12)*-44/12)</f>
        <v>26.275495383423848</v>
      </c>
      <c r="U12" s="2398"/>
    </row>
    <row r="13" spans="2:21" ht="18" customHeight="1" x14ac:dyDescent="0.2">
      <c r="B13" s="493" t="s">
        <v>994</v>
      </c>
      <c r="C13" s="504"/>
      <c r="D13" s="3589">
        <f>IF(SUM(D14,D17,D19,D21,D23)=0,"IE",SUM(D14,D17,D19,D21,D23))</f>
        <v>486.17362269441503</v>
      </c>
      <c r="E13" s="3591">
        <f t="shared" ref="E13:S13" si="11">IF(SUM(E14,E17,E19,E21,E23)=0,"IE",SUM(E14,E17,E19,E21,E23))</f>
        <v>402.56200000000001</v>
      </c>
      <c r="F13" s="3595">
        <f t="shared" si="11"/>
        <v>83.611622694415047</v>
      </c>
      <c r="G13" s="3558" t="str">
        <f t="shared" si="4"/>
        <v>NA</v>
      </c>
      <c r="H13" s="3078">
        <f t="shared" si="5"/>
        <v>-1.9391128643704953</v>
      </c>
      <c r="I13" s="3078">
        <f t="shared" si="6"/>
        <v>-1.9391128643704953</v>
      </c>
      <c r="J13" s="3078">
        <f t="shared" si="7"/>
        <v>-0.53152553865945706</v>
      </c>
      <c r="K13" s="3573">
        <f t="shared" si="8"/>
        <v>-0.39720092805580254</v>
      </c>
      <c r="L13" s="3128">
        <f t="shared" si="9"/>
        <v>0.73374219236087734</v>
      </c>
      <c r="M13" s="3078" t="str">
        <f t="shared" si="11"/>
        <v>IE</v>
      </c>
      <c r="N13" s="3078">
        <f t="shared" si="11"/>
        <v>-942.7455260843476</v>
      </c>
      <c r="O13" s="3078">
        <f t="shared" si="11"/>
        <v>-942.7455260843476</v>
      </c>
      <c r="P13" s="3078">
        <f t="shared" si="11"/>
        <v>-258.41369668466859</v>
      </c>
      <c r="Q13" s="3573">
        <f t="shared" si="11"/>
        <v>-159.898</v>
      </c>
      <c r="R13" s="3573">
        <f t="shared" si="11"/>
        <v>61.349375342650582</v>
      </c>
      <c r="S13" s="3570">
        <f t="shared" si="11"/>
        <v>4765.5954405633411</v>
      </c>
      <c r="U13" s="2019"/>
    </row>
    <row r="14" spans="2:21" ht="18" customHeight="1" x14ac:dyDescent="0.2">
      <c r="B14" s="495" t="s">
        <v>1101</v>
      </c>
      <c r="C14" s="504"/>
      <c r="D14" s="3599">
        <f>IF(SUM(D15:D16)=0,"IE",SUM(D15:D16))</f>
        <v>486.17362269441503</v>
      </c>
      <c r="E14" s="3564">
        <f t="shared" ref="E14:F14" si="12">IF(SUM(E15:E16)=0,"IE",SUM(E15:E16))</f>
        <v>402.56200000000001</v>
      </c>
      <c r="F14" s="3565">
        <f t="shared" si="12"/>
        <v>83.611622694415047</v>
      </c>
      <c r="G14" s="3558" t="str">
        <f t="shared" si="4"/>
        <v>NA</v>
      </c>
      <c r="H14" s="3078">
        <f t="shared" si="5"/>
        <v>-1.9391128643704953</v>
      </c>
      <c r="I14" s="3078">
        <f t="shared" si="6"/>
        <v>-1.9391128643704953</v>
      </c>
      <c r="J14" s="3078">
        <f t="shared" si="7"/>
        <v>-0.53152553865945706</v>
      </c>
      <c r="K14" s="3573">
        <f t="shared" si="8"/>
        <v>-0.39720092805580254</v>
      </c>
      <c r="L14" s="3128">
        <f t="shared" si="9"/>
        <v>0.73374219236087734</v>
      </c>
      <c r="M14" s="3506" t="str">
        <f>IF(SUM(M15:M16)=0,"IE",SUM(M15:M16))</f>
        <v>IE</v>
      </c>
      <c r="N14" s="3506">
        <f t="shared" ref="N14:S14" si="13">IF(SUM(N15:N16)=0,"IE",SUM(N15:N16))</f>
        <v>-942.7455260843476</v>
      </c>
      <c r="O14" s="3506">
        <f t="shared" si="13"/>
        <v>-942.7455260843476</v>
      </c>
      <c r="P14" s="3506">
        <f t="shared" si="13"/>
        <v>-258.41369668466859</v>
      </c>
      <c r="Q14" s="3601">
        <f t="shared" si="13"/>
        <v>-159.898</v>
      </c>
      <c r="R14" s="3601">
        <f t="shared" si="13"/>
        <v>61.349375342650582</v>
      </c>
      <c r="S14" s="3287">
        <f t="shared" si="13"/>
        <v>4765.5954405633411</v>
      </c>
      <c r="U14" s="2019"/>
    </row>
    <row r="15" spans="2:21" ht="18" customHeight="1" x14ac:dyDescent="0.2">
      <c r="B15" s="496"/>
      <c r="C15" s="508" t="s">
        <v>2235</v>
      </c>
      <c r="D15" s="3600">
        <f>IF(SUM(E15:F15)=0,E15,SUM(E15:F15))</f>
        <v>83.611622694415047</v>
      </c>
      <c r="E15" s="3569" t="s">
        <v>2146</v>
      </c>
      <c r="F15" s="3554">
        <v>83.611622694415047</v>
      </c>
      <c r="G15" s="3558" t="str">
        <f t="shared" si="4"/>
        <v>NA</v>
      </c>
      <c r="H15" s="3078">
        <f t="shared" si="5"/>
        <v>-6.4621461547168169</v>
      </c>
      <c r="I15" s="3078">
        <f t="shared" si="6"/>
        <v>-6.4621461547168169</v>
      </c>
      <c r="J15" s="3078">
        <f t="shared" si="7"/>
        <v>-1.4742411726079581</v>
      </c>
      <c r="K15" s="3573" t="str">
        <f t="shared" si="8"/>
        <v>NA</v>
      </c>
      <c r="L15" s="3128">
        <f t="shared" si="9"/>
        <v>0.73374219236087734</v>
      </c>
      <c r="M15" s="2905" t="s">
        <v>2153</v>
      </c>
      <c r="N15" s="2905">
        <v>-540.31052608434754</v>
      </c>
      <c r="O15" s="3109">
        <f>IF(SUM(M15:N15)=0,M15,SUM(M15:N15))</f>
        <v>-540.31052608434754</v>
      </c>
      <c r="P15" s="2905">
        <v>-123.26369668466859</v>
      </c>
      <c r="Q15" s="2906" t="s">
        <v>2146</v>
      </c>
      <c r="R15" s="2906">
        <v>61.349375342650582</v>
      </c>
      <c r="S15" s="3570">
        <f>IF(SUM(O15:R15)=0,Q15,SUM(O15:R15)*-44/12)</f>
        <v>2208.1577738966739</v>
      </c>
      <c r="U15" s="2019"/>
    </row>
    <row r="16" spans="2:21" ht="18" customHeight="1" x14ac:dyDescent="0.2">
      <c r="B16" s="494"/>
      <c r="C16" s="508" t="s">
        <v>2236</v>
      </c>
      <c r="D16" s="3600">
        <f>IF(SUM(E16:F16)=0,E16,SUM(E16:F16))</f>
        <v>402.56200000000001</v>
      </c>
      <c r="E16" s="3569">
        <v>402.56200000000001</v>
      </c>
      <c r="F16" s="3554" t="s">
        <v>2153</v>
      </c>
      <c r="G16" s="3558" t="str">
        <f t="shared" si="4"/>
        <v>NA</v>
      </c>
      <c r="H16" s="3078">
        <f t="shared" si="5"/>
        <v>-0.99968452064526703</v>
      </c>
      <c r="I16" s="3078">
        <f t="shared" si="6"/>
        <v>-0.99968452064526703</v>
      </c>
      <c r="J16" s="3078">
        <f t="shared" si="7"/>
        <v>-0.33572468340280498</v>
      </c>
      <c r="K16" s="3573">
        <f t="shared" si="8"/>
        <v>-0.39720092805580254</v>
      </c>
      <c r="L16" s="3128" t="str">
        <f t="shared" si="9"/>
        <v>NA</v>
      </c>
      <c r="M16" s="2905" t="s">
        <v>2153</v>
      </c>
      <c r="N16" s="2905">
        <v>-402.435</v>
      </c>
      <c r="O16" s="3109">
        <f>IF(SUM(M16:N16)=0,M16,SUM(M16:N16))</f>
        <v>-402.435</v>
      </c>
      <c r="P16" s="2905">
        <v>-135.14999999999998</v>
      </c>
      <c r="Q16" s="2906">
        <v>-159.898</v>
      </c>
      <c r="R16" s="2906" t="s">
        <v>2153</v>
      </c>
      <c r="S16" s="3570">
        <f>IF(SUM(O16:R16)=0,Q16,SUM(O16:R16)*-44/12)</f>
        <v>2557.4376666666672</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69.63434737121662</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69.63434737121662</v>
      </c>
    </row>
    <row r="270" spans="2:10" ht="18" customHeight="1" x14ac:dyDescent="0.2">
      <c r="B270" s="2827" t="s">
        <v>1187</v>
      </c>
      <c r="C270" s="2828"/>
      <c r="D270" s="2808"/>
      <c r="E270" s="2809"/>
      <c r="F270" s="2810"/>
      <c r="G270" s="2811"/>
      <c r="H270" s="2819" t="s">
        <v>2154</v>
      </c>
      <c r="I270" s="2815" t="s">
        <v>2154</v>
      </c>
      <c r="J270" s="3741">
        <f>J277</f>
        <v>67.650038716008282</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642.92320103756856</v>
      </c>
      <c r="E277" s="2755" t="s">
        <v>2147</v>
      </c>
      <c r="F277" s="2753" t="s">
        <v>2147</v>
      </c>
      <c r="G277" s="3735">
        <f>IF(SUM(D277)=0,"NA",J277*1000/D277)</f>
        <v>105.22258118361981</v>
      </c>
      <c r="H277" s="2778" t="str">
        <f t="shared" ref="H277:J277" si="1">H302</f>
        <v>NE</v>
      </c>
      <c r="I277" s="2777" t="str">
        <f t="shared" si="1"/>
        <v>NE</v>
      </c>
      <c r="J277" s="3734">
        <f t="shared" si="1"/>
        <v>67.650038716008282</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343.69058409363367</v>
      </c>
      <c r="E281" s="2755" t="str">
        <f t="shared" si="2"/>
        <v>NA</v>
      </c>
      <c r="F281" s="2753" t="str">
        <f t="shared" si="2"/>
        <v>NA</v>
      </c>
      <c r="G281" s="3735">
        <f t="shared" si="2"/>
        <v>124.08676489971161</v>
      </c>
      <c r="H281" s="2780" t="str">
        <f t="shared" ref="H281" si="3">H306</f>
        <v>NA</v>
      </c>
      <c r="I281" s="2758" t="str">
        <f t="shared" ref="I281:J281" si="4">I306</f>
        <v>NA</v>
      </c>
      <c r="J281" s="3744">
        <f t="shared" si="4"/>
        <v>42.647452706671281</v>
      </c>
    </row>
    <row r="282" spans="2:10" ht="18" customHeight="1" outlineLevel="1" x14ac:dyDescent="0.2">
      <c r="B282" s="2847" t="str">
        <f>B307</f>
        <v>Other Constructed Water Bodies</v>
      </c>
      <c r="C282" s="2835" t="str">
        <f t="shared" si="2"/>
        <v>Other Constructed Water Bodies</v>
      </c>
      <c r="D282" s="3729">
        <f t="shared" si="2"/>
        <v>299.23261694393494</v>
      </c>
      <c r="E282" s="2755" t="str">
        <f t="shared" si="2"/>
        <v>NA</v>
      </c>
      <c r="F282" s="2753" t="str">
        <f t="shared" si="2"/>
        <v>NA</v>
      </c>
      <c r="G282" s="3735">
        <f t="shared" si="2"/>
        <v>83.555684085139561</v>
      </c>
      <c r="H282" s="2845" t="str">
        <f t="shared" ref="H282" si="5">H307</f>
        <v>NA</v>
      </c>
      <c r="I282" s="2846" t="str">
        <f t="shared" ref="I282:J282" si="6">I307</f>
        <v>NA</v>
      </c>
      <c r="J282" s="3744">
        <f t="shared" si="6"/>
        <v>25.002586009337005</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67.650038716008282</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642.92320103756856</v>
      </c>
      <c r="E302" s="2755" t="s">
        <v>2147</v>
      </c>
      <c r="F302" s="2753" t="s">
        <v>2147</v>
      </c>
      <c r="G302" s="3735">
        <f>IF(SUM(D302)=0,"NA",J302*1000/D302)</f>
        <v>105.22258118361981</v>
      </c>
      <c r="H302" s="2778" t="s">
        <v>2154</v>
      </c>
      <c r="I302" s="2777" t="s">
        <v>2154</v>
      </c>
      <c r="J302" s="3734">
        <f t="shared" ref="J302" si="7">IF(SUM(J306:J307)=0,"NO",SUM(J306:J307))</f>
        <v>67.650038716008282</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343.69058409363367</v>
      </c>
      <c r="E306" s="2755" t="s">
        <v>2147</v>
      </c>
      <c r="F306" s="2753" t="s">
        <v>2147</v>
      </c>
      <c r="G306" s="3735">
        <f>IF(SUM(D306)=0,"NA",J306*1000/D306)</f>
        <v>124.08676489971161</v>
      </c>
      <c r="H306" s="2780" t="s">
        <v>2147</v>
      </c>
      <c r="I306" s="2758" t="s">
        <v>2147</v>
      </c>
      <c r="J306" s="3744">
        <v>42.647452706671281</v>
      </c>
    </row>
    <row r="307" spans="2:10" ht="18" customHeight="1" outlineLevel="2" x14ac:dyDescent="0.2">
      <c r="B307" s="2847" t="s">
        <v>2245</v>
      </c>
      <c r="C307" s="2835" t="s">
        <v>2245</v>
      </c>
      <c r="D307" s="3732">
        <v>299.23261694393494</v>
      </c>
      <c r="E307" s="2755" t="s">
        <v>2147</v>
      </c>
      <c r="F307" s="2753" t="s">
        <v>2147</v>
      </c>
      <c r="G307" s="3735">
        <f>IF(SUM(D307)=0,"NA",J307*1000/D307)</f>
        <v>83.555684085139561</v>
      </c>
      <c r="H307" s="2780" t="s">
        <v>2147</v>
      </c>
      <c r="I307" s="2758" t="s">
        <v>2147</v>
      </c>
      <c r="J307" s="3744">
        <v>25.002586009337005</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1.9843086552083331</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11.775184895833332</v>
      </c>
      <c r="E327" s="2776" t="str">
        <f t="shared" ref="E327:J327" si="8">E331</f>
        <v>NA</v>
      </c>
      <c r="F327" s="2777" t="str">
        <f t="shared" si="8"/>
        <v>NA</v>
      </c>
      <c r="G327" s="3737">
        <f t="shared" si="8"/>
        <v>168.51613564985155</v>
      </c>
      <c r="H327" s="2778" t="str">
        <f t="shared" si="8"/>
        <v>IE</v>
      </c>
      <c r="I327" s="2777" t="str">
        <f t="shared" si="8"/>
        <v>NA</v>
      </c>
      <c r="J327" s="3734">
        <f t="shared" si="8"/>
        <v>1.9843086552083331</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11.775184895833332</v>
      </c>
      <c r="E331" s="2755" t="str">
        <f t="shared" si="9"/>
        <v>NA</v>
      </c>
      <c r="F331" s="2753" t="str">
        <f t="shared" si="9"/>
        <v>NA</v>
      </c>
      <c r="G331" s="3735">
        <f t="shared" si="9"/>
        <v>168.51613564985155</v>
      </c>
      <c r="H331" s="2765" t="str">
        <f t="shared" si="9"/>
        <v>IE</v>
      </c>
      <c r="I331" s="2758" t="str">
        <f t="shared" si="9"/>
        <v>NA</v>
      </c>
      <c r="J331" s="3744">
        <f t="shared" si="9"/>
        <v>1.9843086552083331</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1.9843086552083331</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11.775184895833332</v>
      </c>
      <c r="E411" s="2776" t="str">
        <f t="shared" ref="E411:J411" si="10">E415</f>
        <v>NA</v>
      </c>
      <c r="F411" s="2777" t="str">
        <f t="shared" si="10"/>
        <v>NA</v>
      </c>
      <c r="G411" s="3737">
        <f t="shared" si="10"/>
        <v>168.51613564985155</v>
      </c>
      <c r="H411" s="2778" t="str">
        <f t="shared" si="10"/>
        <v>IE</v>
      </c>
      <c r="I411" s="2777" t="str">
        <f t="shared" si="10"/>
        <v>NA</v>
      </c>
      <c r="J411" s="3734">
        <f t="shared" si="10"/>
        <v>1.9843086552083331</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11.775184895833332</v>
      </c>
      <c r="E415" s="2755" t="str">
        <f>E427</f>
        <v>NA</v>
      </c>
      <c r="F415" s="2753" t="str">
        <f>F427</f>
        <v>NA</v>
      </c>
      <c r="G415" s="3735">
        <f t="shared" ref="G415:J415" si="11">G427</f>
        <v>168.51613564985155</v>
      </c>
      <c r="H415" s="2780" t="str">
        <f t="shared" si="11"/>
        <v>IE</v>
      </c>
      <c r="I415" s="2758" t="str">
        <f t="shared" si="11"/>
        <v>NA</v>
      </c>
      <c r="J415" s="3744">
        <f t="shared" si="11"/>
        <v>1.9843086552083331</v>
      </c>
    </row>
    <row r="416" spans="2:10" ht="18" customHeight="1" outlineLevel="2" x14ac:dyDescent="0.2">
      <c r="B416" s="2842" t="s">
        <v>1199</v>
      </c>
      <c r="C416" s="2828"/>
      <c r="D416" s="3731"/>
      <c r="E416" s="2809"/>
      <c r="F416" s="2810"/>
      <c r="G416" s="3738"/>
      <c r="H416" s="2819" t="s">
        <v>2154</v>
      </c>
      <c r="I416" s="2815" t="s">
        <v>2154</v>
      </c>
      <c r="J416" s="3741">
        <f>J423</f>
        <v>1.9843086552083331</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11.775184895833332</v>
      </c>
      <c r="E423" s="2776" t="str">
        <f t="shared" ref="E423:J423" si="12">E427</f>
        <v>NA</v>
      </c>
      <c r="F423" s="2777" t="str">
        <f t="shared" si="12"/>
        <v>NA</v>
      </c>
      <c r="G423" s="3737">
        <f t="shared" si="12"/>
        <v>168.51613564985155</v>
      </c>
      <c r="H423" s="2778" t="str">
        <f t="shared" si="12"/>
        <v>IE</v>
      </c>
      <c r="I423" s="2777" t="str">
        <f t="shared" si="12"/>
        <v>NA</v>
      </c>
      <c r="J423" s="3734">
        <f t="shared" si="12"/>
        <v>1.9843086552083331</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11.775184895833332</v>
      </c>
      <c r="E427" s="2755" t="s">
        <v>2147</v>
      </c>
      <c r="F427" s="2753" t="s">
        <v>2147</v>
      </c>
      <c r="G427" s="3735">
        <f>IF(SUM(D427)=0,"NA",J427*1000/D427)</f>
        <v>168.51613564985155</v>
      </c>
      <c r="H427" s="2780" t="s">
        <v>2153</v>
      </c>
      <c r="I427" s="2758" t="s">
        <v>2147</v>
      </c>
      <c r="J427" s="3744">
        <v>1.9843086552083331</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657093.57708455378</v>
      </c>
      <c r="D10" s="4332">
        <f>IF(SUM(D11,D20,D28,D37,D46,D55)=0,"NO",SUM(D11,D20,D28,D37,D46,D55))</f>
        <v>81914.4856218278</v>
      </c>
      <c r="E10" s="4333">
        <f t="shared" ref="E10:E12" si="0">IF(SUM(C10)=0,"NA",G10/C10*1000/(44/28))</f>
        <v>2.4381666156327517E-3</v>
      </c>
      <c r="F10" s="4332">
        <f t="shared" ref="F10:F11" si="1">IF(SUM(D10)=0,"NA",H10/D10*1000/(44/28))</f>
        <v>7.5000000000000006E-3</v>
      </c>
      <c r="G10" s="4331">
        <f>IF(SUM(G11,G20,G28,G37,G46,G55)=0,"NO",SUM(G11,G20,G28,G37,G46,G55))</f>
        <v>2.5175914075624166</v>
      </c>
      <c r="H10" s="4334">
        <f>IF(SUM(H11,H20,H28,H37,H46,H55)=0,"NO",SUM(H11,H20,H28,H37,H46,H55))</f>
        <v>0.96542072340011342</v>
      </c>
      <c r="I10" s="4335">
        <f t="shared" ref="I10:I11" si="2">IF(SUM(G10:H10)=0,"NO",SUM(G10:H10))</f>
        <v>3.4830121309625302</v>
      </c>
    </row>
    <row r="11" spans="2:10" ht="18" customHeight="1" x14ac:dyDescent="0.2">
      <c r="B11" s="2848" t="s">
        <v>1901</v>
      </c>
      <c r="C11" s="4336">
        <f>IF(SUM(C12:C13)=0,"NO",SUM(C12:C13))</f>
        <v>131186.60548883438</v>
      </c>
      <c r="D11" s="4337">
        <f>IF(SUM(D12:D13)=0,"NO",SUM(D12:D13))</f>
        <v>26501.343068597358</v>
      </c>
      <c r="E11" s="4336">
        <f t="shared" si="0"/>
        <v>3.2183704704760343E-3</v>
      </c>
      <c r="F11" s="4337">
        <f t="shared" si="1"/>
        <v>7.5000000000000006E-3</v>
      </c>
      <c r="G11" s="4336">
        <f>IF(SUM(G12:G13)=0,"NO",SUM(G12:G13))</f>
        <v>0.66346829564282739</v>
      </c>
      <c r="H11" s="4338">
        <f>IF(SUM(H12:H13)=0,"NO",SUM(H12:H13))</f>
        <v>0.31233725759418318</v>
      </c>
      <c r="I11" s="4337">
        <f t="shared" si="2"/>
        <v>0.97580555323701057</v>
      </c>
    </row>
    <row r="12" spans="2:10" ht="18" customHeight="1" x14ac:dyDescent="0.2">
      <c r="B12" s="914" t="s">
        <v>1228</v>
      </c>
      <c r="C12" s="4339">
        <f>Table4.A!E11</f>
        <v>121605.423088904</v>
      </c>
      <c r="D12" s="4340">
        <f>H12/F12*1000/(44/28)</f>
        <v>15024.934858165041</v>
      </c>
      <c r="E12" s="4341">
        <f t="shared" si="0"/>
        <v>1.5869405020612207E-3</v>
      </c>
      <c r="F12" s="4342">
        <v>7.4999999999999997E-3</v>
      </c>
      <c r="G12" s="4339">
        <v>0.3032551832672567</v>
      </c>
      <c r="H12" s="4343">
        <v>0.17707958939980226</v>
      </c>
      <c r="I12" s="4344">
        <f>IF(SUM(G12:H12)=0,"NO",SUM(G12:H12))</f>
        <v>0.48033477266705893</v>
      </c>
    </row>
    <row r="13" spans="2:10" ht="18" customHeight="1" x14ac:dyDescent="0.2">
      <c r="B13" s="914" t="s">
        <v>1902</v>
      </c>
      <c r="C13" s="4345">
        <f>IF(SUM(C15:C19)=0,"NO",SUM(C15:C19))</f>
        <v>9581.1823999303851</v>
      </c>
      <c r="D13" s="4344">
        <f>IF(SUM(D15:D19)=0,"NO",SUM(D15:D19))</f>
        <v>11476.408210432319</v>
      </c>
      <c r="E13" s="4345">
        <f>IF(SUM(C13)=0,"NA",G13/C13*1000/(44/28))</f>
        <v>2.3924659451097275E-2</v>
      </c>
      <c r="F13" s="4344">
        <f>IF(SUM(D13)=0,"NA",H13/D13*1000/(44/28))</f>
        <v>7.5000000000000006E-3</v>
      </c>
      <c r="G13" s="4345">
        <f>IF(SUM(G15:G19)=0,"NO",SUM(G15:G19))</f>
        <v>0.36021311237557069</v>
      </c>
      <c r="H13" s="4346">
        <f>IF(SUM(H15:H19)=0,"NO",SUM(H15:H19))</f>
        <v>0.13525766819438093</v>
      </c>
      <c r="I13" s="4344">
        <f>IF(SUM(G13:H13)=0,"NO",SUM(G13:H13))</f>
        <v>0.49547078056995164</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58.207000000000001</v>
      </c>
      <c r="D15" s="4340">
        <f>H15/F15*1000/(44/28)</f>
        <v>101.33653308847389</v>
      </c>
      <c r="E15" s="4345">
        <f>IF(SUM(C15)=0,"NA",G15/C15*1000/(44/28))</f>
        <v>4.0656049386958035E-2</v>
      </c>
      <c r="F15" s="4342">
        <v>7.4999999999999997E-3</v>
      </c>
      <c r="G15" s="4350">
        <v>3.7187333333333333E-3</v>
      </c>
      <c r="H15" s="4351">
        <v>1.194323425685585E-3</v>
      </c>
      <c r="I15" s="4344">
        <f>IF(SUM(G15:H15)=0,"NO",SUM(G15:H15))</f>
        <v>4.9130567590189179E-3</v>
      </c>
    </row>
    <row r="16" spans="2:10" ht="18" customHeight="1" x14ac:dyDescent="0.2">
      <c r="B16" s="528" t="s">
        <v>1230</v>
      </c>
      <c r="C16" s="4350">
        <f>Table4.A!E19</f>
        <v>9475.7523999303849</v>
      </c>
      <c r="D16" s="4340">
        <f>H16/F16*1000/(44/28)</f>
        <v>11239.516612529618</v>
      </c>
      <c r="E16" s="4345">
        <f t="shared" ref="E16:E21" si="3">IF(SUM(C16)=0,"NA",G16/C16*1000/(44/28))</f>
        <v>2.3540254814891547E-2</v>
      </c>
      <c r="F16" s="4342">
        <v>7.4999999999999997E-3</v>
      </c>
      <c r="G16" s="4350">
        <v>0.35052541237557067</v>
      </c>
      <c r="H16" s="4351">
        <v>0.13246573150481336</v>
      </c>
      <c r="I16" s="4344">
        <f t="shared" ref="I16:I21" si="4">IF(SUM(G16:H16)=0,"NO",SUM(G16:H16))</f>
        <v>0.482991143880384</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47.222999999999999</v>
      </c>
      <c r="D18" s="4340">
        <f>H18/F18*1000/(44/28)</f>
        <v>135.5550648142266</v>
      </c>
      <c r="E18" s="4345">
        <f t="shared" si="3"/>
        <v>8.0436086935038717E-2</v>
      </c>
      <c r="F18" s="4342">
        <v>7.4999999999999997E-3</v>
      </c>
      <c r="G18" s="4350">
        <v>5.9689666666666663E-3</v>
      </c>
      <c r="H18" s="4351">
        <v>1.5976132638819565E-3</v>
      </c>
      <c r="I18" s="4344">
        <f t="shared" si="4"/>
        <v>7.5665799305486229E-3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2285.4560000000001</v>
      </c>
      <c r="D20" s="4360">
        <f>D21</f>
        <v>2433.335442351146</v>
      </c>
      <c r="E20" s="4359">
        <f t="shared" si="3"/>
        <v>2.2696353229581606E-2</v>
      </c>
      <c r="F20" s="4360">
        <f t="shared" si="5"/>
        <v>7.4999999999999997E-3</v>
      </c>
      <c r="G20" s="4359">
        <f>G21</f>
        <v>8.1512383333333327E-2</v>
      </c>
      <c r="H20" s="4361">
        <f>H21</f>
        <v>2.8678596284852788E-2</v>
      </c>
      <c r="I20" s="4360">
        <f t="shared" si="4"/>
        <v>0.11019097961818611</v>
      </c>
    </row>
    <row r="21" spans="2:9" ht="18" customHeight="1" x14ac:dyDescent="0.2">
      <c r="B21" s="914" t="s">
        <v>1904</v>
      </c>
      <c r="C21" s="4345">
        <f>IF(SUM(C23:C27)=0,"NO",SUM(C23:C27))</f>
        <v>2285.4560000000001</v>
      </c>
      <c r="D21" s="4344">
        <f>IF(SUM(D23:D27)=0,"NO",SUM(D23:D27))</f>
        <v>2433.335442351146</v>
      </c>
      <c r="E21" s="4345">
        <f t="shared" si="3"/>
        <v>2.2696353229581606E-2</v>
      </c>
      <c r="F21" s="4344">
        <f t="shared" si="5"/>
        <v>7.4999999999999997E-3</v>
      </c>
      <c r="G21" s="4345">
        <f>IF(SUM(G23:G27)=0,"NO",SUM(G23:G27))</f>
        <v>8.1512383333333327E-2</v>
      </c>
      <c r="H21" s="4346">
        <f>IF(SUM(H23:H27)=0,"NO",SUM(H23:H27))</f>
        <v>2.8678596284852788E-2</v>
      </c>
      <c r="I21" s="4344">
        <f t="shared" si="4"/>
        <v>0.11019097961818611</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2285.4560000000001</v>
      </c>
      <c r="D23" s="4340">
        <f>H23/F23*1000/(44/28)</f>
        <v>2433.335442351146</v>
      </c>
      <c r="E23" s="4345">
        <f>IF(SUM(C23)=0,"NA",G23/C23*1000/(44/28))</f>
        <v>2.2696353229581606E-2</v>
      </c>
      <c r="F23" s="4342">
        <v>7.4999999999999997E-3</v>
      </c>
      <c r="G23" s="4350">
        <v>8.1512383333333327E-2</v>
      </c>
      <c r="H23" s="4351">
        <v>2.8678596284852788E-2</v>
      </c>
      <c r="I23" s="4344">
        <f>IF(SUM(G23:H23)=0,"NO",SUM(G23:H23))</f>
        <v>0.11019097961818611</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522222.81954576337</v>
      </c>
      <c r="D28" s="4337">
        <f>IF(SUM(D29:D30)=0,"NO",SUM(D29:D30))</f>
        <v>52321.663048430382</v>
      </c>
      <c r="E28" s="4336">
        <f t="shared" si="6"/>
        <v>2.1236240323450695E-3</v>
      </c>
      <c r="F28" s="4337">
        <f t="shared" si="7"/>
        <v>7.4999999999999997E-3</v>
      </c>
      <c r="G28" s="4336">
        <f>IF(SUM(G29:G30)=0,"NO",SUM(G29:G30))</f>
        <v>1.7427220325843202</v>
      </c>
      <c r="H28" s="4338">
        <f>IF(SUM(H29:H30)=0,"NO",SUM(H29:H30))</f>
        <v>0.61664817164221519</v>
      </c>
      <c r="I28" s="4360">
        <f t="shared" si="8"/>
        <v>2.3593702042265354</v>
      </c>
    </row>
    <row r="29" spans="2:9" ht="18" customHeight="1" x14ac:dyDescent="0.2">
      <c r="B29" s="914" t="s">
        <v>1239</v>
      </c>
      <c r="C29" s="4339">
        <f>Table4.C!E11</f>
        <v>508513.63428568398</v>
      </c>
      <c r="D29" s="4340">
        <f>H29/F29*1000/(44/28)</f>
        <v>43453.263365960054</v>
      </c>
      <c r="E29" s="4341">
        <f t="shared" si="6"/>
        <v>1.6339042770296323E-3</v>
      </c>
      <c r="F29" s="4342">
        <v>7.4999999999999997E-3</v>
      </c>
      <c r="G29" s="4339">
        <v>1.3056412316942678</v>
      </c>
      <c r="H29" s="4343">
        <v>0.51212774681310058</v>
      </c>
      <c r="I29" s="4344">
        <f t="shared" si="8"/>
        <v>1.8177689785073685</v>
      </c>
    </row>
    <row r="30" spans="2:9" ht="18" customHeight="1" x14ac:dyDescent="0.2">
      <c r="B30" s="914" t="s">
        <v>1906</v>
      </c>
      <c r="C30" s="4345">
        <f>IF(SUM(C32:C36)=0,"NO",SUM(C32:C36))</f>
        <v>13709.185260079394</v>
      </c>
      <c r="D30" s="4344">
        <f>IF(SUM(D32:D36)=0,"NO",SUM(D32:D36))</f>
        <v>8868.3996824703263</v>
      </c>
      <c r="E30" s="4345">
        <f>IF(SUM(C30)=0,"NA",G30/C30*1000/(44/28))</f>
        <v>2.028875695837766E-2</v>
      </c>
      <c r="F30" s="4344">
        <f>IF(SUM(D30)=0,"NA",H30/D30*1000/(44/28))</f>
        <v>7.4999999999999997E-3</v>
      </c>
      <c r="G30" s="4345">
        <f>IF(SUM(G32:G36)=0,"NO",SUM(G32:G36))</f>
        <v>0.43708080089005241</v>
      </c>
      <c r="H30" s="4346">
        <f>IF(SUM(H32:H36)=0,"NO",SUM(H32:H36))</f>
        <v>0.10452042482911456</v>
      </c>
      <c r="I30" s="4344">
        <f t="shared" si="8"/>
        <v>0.54160122571916691</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13709.185260079394</v>
      </c>
      <c r="D32" s="4340">
        <f>H32/F32*1000/(44/28)</f>
        <v>8868.3996824703263</v>
      </c>
      <c r="E32" s="4345">
        <f>IF(SUM(C32)=0,"NA",G32/C32*1000/(44/28))</f>
        <v>2.028875695837766E-2</v>
      </c>
      <c r="F32" s="4342">
        <v>7.4999999999999997E-3</v>
      </c>
      <c r="G32" s="4350">
        <v>0.43708080089005241</v>
      </c>
      <c r="H32" s="4351">
        <v>0.10452042482911456</v>
      </c>
      <c r="I32" s="4344">
        <f t="shared" si="8"/>
        <v>0.54160122571916691</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1398.696049956</v>
      </c>
      <c r="D46" s="4337">
        <f>IF(SUM(D47:D48)=0,"NO",SUM(D47:D48))</f>
        <v>658.14406244891734</v>
      </c>
      <c r="E46" s="4336">
        <f t="shared" si="11"/>
        <v>1.3598436396926516E-2</v>
      </c>
      <c r="F46" s="4337">
        <f t="shared" si="12"/>
        <v>7.4999999999999997E-3</v>
      </c>
      <c r="G46" s="4336">
        <f>IF(SUM(G47:G48)=0,"NO",SUM(G47:G48))</f>
        <v>2.9888696001935597E-2</v>
      </c>
      <c r="H46" s="4338">
        <f>IF(SUM(H47:H48)=0,"NO",SUM(H47:H48))</f>
        <v>7.7566978788622398E-3</v>
      </c>
      <c r="I46" s="4337">
        <f t="shared" si="8"/>
        <v>3.7645393880797837E-2</v>
      </c>
    </row>
    <row r="47" spans="2:9" ht="18" customHeight="1" x14ac:dyDescent="0.2">
      <c r="B47" s="914" t="s">
        <v>1251</v>
      </c>
      <c r="C47" s="4339">
        <f>Table4.E!E11</f>
        <v>996.13404995600001</v>
      </c>
      <c r="D47" s="4340">
        <f>H47/F47*1000/(44/28)</f>
        <v>30.06722323240561</v>
      </c>
      <c r="E47" s="4341">
        <f t="shared" si="11"/>
        <v>3.6673036857688582E-4</v>
      </c>
      <c r="F47" s="4342">
        <v>7.4999999999999997E-3</v>
      </c>
      <c r="G47" s="4339">
        <v>5.7406266860226401E-4</v>
      </c>
      <c r="H47" s="4343">
        <v>3.5436370238192325E-4</v>
      </c>
      <c r="I47" s="4344">
        <f t="shared" si="8"/>
        <v>9.2842637098418726E-4</v>
      </c>
    </row>
    <row r="48" spans="2:9" ht="18" customHeight="1" x14ac:dyDescent="0.2">
      <c r="B48" s="914" t="s">
        <v>1910</v>
      </c>
      <c r="C48" s="4345">
        <f>IF(SUM(C50:C54)=0,"NO",SUM(C50:C54))</f>
        <v>402.56200000000001</v>
      </c>
      <c r="D48" s="4344">
        <f>IF(SUM(D50:D54)=0,"NO",SUM(D50:D54))</f>
        <v>628.07683921651176</v>
      </c>
      <c r="E48" s="4345">
        <f>IF(SUM(C48)=0,"NA",G48/C48*1000/(44/28))</f>
        <v>4.6340108273176965E-2</v>
      </c>
      <c r="F48" s="4344">
        <f>IF(SUM(D48)=0,"NA",H48/D48*1000/(44/28))</f>
        <v>7.4999999999999997E-3</v>
      </c>
      <c r="G48" s="4345">
        <f>IF(SUM(G50:G54)=0,"NO",SUM(G50:G54))</f>
        <v>2.9314633333333333E-2</v>
      </c>
      <c r="H48" s="4346">
        <f>IF(SUM(H50:H54)=0,"NO",SUM(H50:H54))</f>
        <v>7.4023341764803165E-3</v>
      </c>
      <c r="I48" s="4344">
        <f t="shared" si="8"/>
        <v>3.6716967509813653E-2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402.56200000000001</v>
      </c>
      <c r="D50" s="4340">
        <f>H50/F50*1000/(44/28)</f>
        <v>628.07683921651176</v>
      </c>
      <c r="E50" s="4345">
        <f>IF(SUM(C50)=0,"NA",G50/C50*1000/(44/28))</f>
        <v>4.6340108273176965E-2</v>
      </c>
      <c r="F50" s="4342">
        <v>7.4999999999999997E-3</v>
      </c>
      <c r="G50" s="4350">
        <v>2.9314633333333333E-2</v>
      </c>
      <c r="H50" s="4351">
        <v>7.4023341764803165E-3</v>
      </c>
      <c r="I50" s="4344">
        <f t="shared" si="8"/>
        <v>3.6716967509813653E-2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5275679.891982534</v>
      </c>
      <c r="D10" s="3076" t="s">
        <v>1814</v>
      </c>
      <c r="E10" s="628"/>
      <c r="F10" s="628"/>
      <c r="G10" s="628"/>
      <c r="H10" s="1913">
        <f>IF(SUM(H11:H15)=0,"NO",SUM(H11:H15))</f>
        <v>376416.29929359484</v>
      </c>
      <c r="I10" s="1913">
        <f t="shared" ref="I10:K10" si="0">IF(SUM(I11:I16)=0,"NO",SUM(I11:I16))</f>
        <v>85.852319846765127</v>
      </c>
      <c r="J10" s="1913">
        <f t="shared" si="0"/>
        <v>12.292639584731464</v>
      </c>
      <c r="K10" s="3085" t="str">
        <f t="shared" si="0"/>
        <v>NO</v>
      </c>
    </row>
    <row r="11" spans="2:11" ht="18" customHeight="1" x14ac:dyDescent="0.2">
      <c r="B11" s="282" t="s">
        <v>132</v>
      </c>
      <c r="C11" s="3086">
        <f>IF(SUM(C18,'Table1.A(a)s2'!C11,'Table1.A(a)s3'!C11,'Table1.A(a)s4'!C11,'Table1.A(a)s4'!C94)=0,"NO",SUM(C18,'Table1.A(a)s2'!C11,'Table1.A(a)s3'!C11,'Table1.A(a)s4'!C11,'Table1.A(a)s4'!C94))</f>
        <v>1739862.4901819446</v>
      </c>
      <c r="D11" s="3077" t="s">
        <v>2145</v>
      </c>
      <c r="E11" s="1913">
        <f>IFERROR(H11*1000/$C11,"NA")</f>
        <v>68.188724358598165</v>
      </c>
      <c r="F11" s="1913">
        <f t="shared" ref="F11:G16" si="1">IFERROR(I11*1000000/$C11,"NA")</f>
        <v>11.50209842087804</v>
      </c>
      <c r="G11" s="1913">
        <f t="shared" si="1"/>
        <v>4.3548662098413438</v>
      </c>
      <c r="H11" s="1913">
        <f>IF(SUM(H18,'Table1.A(a)s2'!H11,'Table1.A(a)s3'!H11,'Table1.A(a)s4'!H11,'Table1.A(a)s4'!H94)=0,"NO",SUM(H18,'Table1.A(a)s2'!H11,'Table1.A(a)s3'!H11,'Table1.A(a)s4'!H11,'Table1.A(a)s4'!H94))</f>
        <v>118639.00376488082</v>
      </c>
      <c r="I11" s="1913">
        <f>IF(SUM(I18,'Table1.A(a)s2'!I11,'Table1.A(a)s3'!I11,'Table1.A(a)s4'!I11,'Table1.A(a)s4'!I94)=0,"NO",SUM(I18,'Table1.A(a)s2'!I11,'Table1.A(a)s3'!I11,'Table1.A(a)s4'!I11,'Table1.A(a)s4'!I94))</f>
        <v>20.012069600866678</v>
      </c>
      <c r="J11" s="1913">
        <f>IF(SUM(J18,'Table1.A(a)s2'!J11,'Table1.A(a)s3'!J11,'Table1.A(a)s4'!J11,'Table1.A(a)s4'!J94)=0,"NO",SUM(J18,'Table1.A(a)s2'!J11,'Table1.A(a)s3'!J11,'Table1.A(a)s4'!J11,'Table1.A(a)s4'!J94))</f>
        <v>7.5768683682637672</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2178871.5172176557</v>
      </c>
      <c r="D12" s="3077" t="s">
        <v>1814</v>
      </c>
      <c r="E12" s="1913">
        <f t="shared" ref="E12:E16" si="2">IFERROR(H12*1000/$C12,"NA")</f>
        <v>90.372067803768871</v>
      </c>
      <c r="F12" s="1913">
        <f t="shared" si="1"/>
        <v>0.71227188489361559</v>
      </c>
      <c r="G12" s="1913">
        <f t="shared" si="1"/>
        <v>1.3323500706198506</v>
      </c>
      <c r="H12" s="1913">
        <f>IF(SUM(H19,'Table1.A(a)s2'!H12,'Table1.A(a)s3'!H12,'Table1.A(a)s4'!H12,'Table1.A(a)s4'!H95)=0,"NO",SUM(H19,'Table1.A(a)s2'!H12,'Table1.A(a)s3'!H12,'Table1.A(a)s4'!H12,'Table1.A(a)s4'!H95))</f>
        <v>196909.12448969475</v>
      </c>
      <c r="I12" s="1913">
        <f>IF(SUM(I19,'Table1.A(a)s2'!I12,'Table1.A(a)s3'!I12,'Table1.A(a)s4'!I12,'Table1.A(a)s4'!I95)=0,"NO",SUM(I19,'Table1.A(a)s2'!I12,'Table1.A(a)s3'!I12,'Table1.A(a)s4'!I12,'Table1.A(a)s4'!I95))</f>
        <v>1.5519489225096317</v>
      </c>
      <c r="J12" s="1913">
        <f>IF(SUM(J19,'Table1.A(a)s2'!J12,'Table1.A(a)s3'!J12,'Table1.A(a)s4'!J12,'Table1.A(a)s4'!J95)=0,"NO",SUM(J19,'Table1.A(a)s2'!J12,'Table1.A(a)s3'!J12,'Table1.A(a)s4'!J12,'Table1.A(a)s4'!J95))</f>
        <v>2.9030196198365248</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1178246.326634062</v>
      </c>
      <c r="D13" s="3077" t="s">
        <v>2145</v>
      </c>
      <c r="E13" s="1913">
        <f t="shared" si="2"/>
        <v>51.289121946752353</v>
      </c>
      <c r="F13" s="1913">
        <f t="shared" si="1"/>
        <v>15.891768697283629</v>
      </c>
      <c r="G13" s="1913">
        <f t="shared" si="1"/>
        <v>0.90445568747439098</v>
      </c>
      <c r="H13" s="1913">
        <f>IF(SUM(H20,'Table1.A(a)s2'!H13,'Table1.A(a)s3'!H13,'Table1.A(a)s4'!H13,'Table1.A(a)s4'!H96)=0,"NO",SUM(H20,'Table1.A(a)s2'!H13,'Table1.A(a)s3'!H13,'Table1.A(a)s4'!H13,'Table1.A(a)s4'!H96))</f>
        <v>60431.219530047412</v>
      </c>
      <c r="I13" s="1913">
        <f>IF(SUM(I20,'Table1.A(a)s2'!I13,'Table1.A(a)s3'!I13,'Table1.A(a)s4'!I13,'Table1.A(a)s4'!I96)=0,"NO",SUM(I20,'Table1.A(a)s2'!I13,'Table1.A(a)s3'!I13,'Table1.A(a)s4'!I13,'Table1.A(a)s4'!I96))</f>
        <v>18.724418091292609</v>
      </c>
      <c r="J13" s="1913">
        <f>IF(SUM(J20,'Table1.A(a)s2'!J13,'Table1.A(a)s3'!J13,'Table1.A(a)s4'!J13,'Table1.A(a)s4'!J96)=0,"NO",SUM(J20,'Table1.A(a)s2'!J13,'Table1.A(a)s3'!J13,'Table1.A(a)s4'!J13,'Table1.A(a)s4'!J96))</f>
        <v>1.0656715913699863</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4858.438048730206</v>
      </c>
      <c r="D14" s="3077" t="s">
        <v>2145</v>
      </c>
      <c r="E14" s="1913">
        <f t="shared" si="2"/>
        <v>89.93662255014759</v>
      </c>
      <c r="F14" s="1913">
        <f t="shared" si="1"/>
        <v>31.878558179923527</v>
      </c>
      <c r="G14" s="1913">
        <f t="shared" si="1"/>
        <v>0.99620494312261021</v>
      </c>
      <c r="H14" s="1913">
        <f>IF(SUM(H21,'Table1.A(a)s2'!H14,'Table1.A(a)s3'!H14,'Table1.A(a)s4'!H14,'Table1.A(a)s4'!H97)=0,"NO",SUM(H21,'Table1.A(a)s2'!H14,'Table1.A(a)s3'!H14,'Table1.A(a)s4'!H14,'Table1.A(a)s4'!H97))</f>
        <v>436.95150897192406</v>
      </c>
      <c r="I14" s="1913">
        <f>IF(SUM(I21,'Table1.A(a)s2'!I14,'Table1.A(a)s3'!I14,'Table1.A(a)s4'!I14,'Table1.A(a)s4'!I97)=0,"NO",SUM(I21,'Table1.A(a)s2'!I14,'Table1.A(a)s3'!I14,'Table1.A(a)s4'!I14,'Table1.A(a)s4'!I97))</f>
        <v>0.15487999999999999</v>
      </c>
      <c r="J14" s="1913">
        <f>IF(SUM(J21,'Table1.A(a)s2'!J14,'Table1.A(a)s3'!J14,'Table1.A(a)s4'!J14,'Table1.A(a)s4'!J97)=0,"NO",SUM(J21,'Table1.A(a)s2'!J14,'Table1.A(a)s3'!J14,'Table1.A(a)s4'!J14,'Table1.A(a)s4'!J97))</f>
        <v>4.8399999999999997E-3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173841.11990014085</v>
      </c>
      <c r="D16" s="3079" t="s">
        <v>2145</v>
      </c>
      <c r="E16" s="2880">
        <f t="shared" si="2"/>
        <v>84.757403937800291</v>
      </c>
      <c r="F16" s="1913">
        <f t="shared" si="1"/>
        <v>261.2097946572157</v>
      </c>
      <c r="G16" s="1913">
        <f t="shared" si="1"/>
        <v>4.2696457874152616</v>
      </c>
      <c r="H16" s="2880">
        <f>IF(SUM(H23,'Table1.A(a)s2'!H16,'Table1.A(a)s3'!H15,'Table1.A(a)s4'!H16,'Table1.A(a)s4'!H99)=0,"NO",SUM(H23,'Table1.A(a)s2'!H16,'Table1.A(a)s3'!H15,'Table1.A(a)s4'!H16,'Table1.A(a)s4'!H99))</f>
        <v>14734.32202037581</v>
      </c>
      <c r="I16" s="2880">
        <f>IF(SUM(I23,'Table1.A(a)s2'!I16,'Table1.A(a)s3'!I15,'Table1.A(a)s4'!I16,'Table1.A(a)s4'!I99)=0,"NO",SUM(I23,'Table1.A(a)s2'!I16,'Table1.A(a)s3'!I15,'Table1.A(a)s4'!I16,'Table1.A(a)s4'!I99))</f>
        <v>45.409003232096211</v>
      </c>
      <c r="J16" s="2880">
        <f>IF(SUM(J23,'Table1.A(a)s2'!J16,'Table1.A(a)s3'!J15,'Table1.A(a)s4'!J16,'Table1.A(a)s4'!J99)=0,"NO",SUM(J23,'Table1.A(a)s2'!J16,'Table1.A(a)s3'!J15,'Table1.A(a)s4'!J16,'Table1.A(a)s4'!J99))</f>
        <v>0.74224000526118783</v>
      </c>
      <c r="K16" s="3066" t="str">
        <f>IF(SUM(K23,'Table1.A(a)s2'!K16,'Table1.A(a)s3'!K15,'Table1.A(a)s4'!K16,'Table1.A(a)s4'!K99)=0,"NO",SUM(K23,'Table1.A(a)s2'!K16,'Table1.A(a)s3'!K15,'Table1.A(a)s4'!K16,'Table1.A(a)s4'!K99))</f>
        <v>NO</v>
      </c>
    </row>
    <row r="17" spans="2:12" ht="18" customHeight="1" x14ac:dyDescent="0.2">
      <c r="B17" s="2184" t="s">
        <v>76</v>
      </c>
      <c r="C17" s="3067">
        <f>IF(SUM(C18:C23)=0,"NO",SUM(C18:C23))</f>
        <v>2906990.8394580851</v>
      </c>
      <c r="D17" s="3080" t="s">
        <v>1814</v>
      </c>
      <c r="E17" s="3081"/>
      <c r="F17" s="3081"/>
      <c r="G17" s="3081"/>
      <c r="H17" s="3067">
        <f>IF(SUM(H18:H22)=0,"NO",SUM(H18:H22))</f>
        <v>231140.21991732306</v>
      </c>
      <c r="I17" s="3067">
        <f t="shared" ref="I17" si="3">IF(SUM(I18:I23)=0,"NO",SUM(I18:I23))</f>
        <v>22.726523867498472</v>
      </c>
      <c r="J17" s="3067">
        <f t="shared" ref="J17" si="4">IF(SUM(J18:J23)=0,"NO",SUM(J18:J23))</f>
        <v>3.9406827398383073</v>
      </c>
      <c r="K17" s="3068" t="str">
        <f t="shared" ref="K17" si="5">IF(SUM(K18:K23)=0,"NO",SUM(K18:K23))</f>
        <v>NO</v>
      </c>
    </row>
    <row r="18" spans="2:12" ht="18" customHeight="1" x14ac:dyDescent="0.2">
      <c r="B18" s="282" t="s">
        <v>132</v>
      </c>
      <c r="C18" s="3086">
        <f>IF(SUM(C25,C54,C61)=0,"NO",SUM(C25,C54,C61))</f>
        <v>177345.55651102209</v>
      </c>
      <c r="D18" s="3077" t="s">
        <v>1814</v>
      </c>
      <c r="E18" s="1913">
        <f>IFERROR(H18*1000/$C18,"NA")</f>
        <v>67.246321717767032</v>
      </c>
      <c r="F18" s="1913">
        <f t="shared" ref="F18:G23" si="6">IFERROR(I18*1000000/$C18,"NA")</f>
        <v>2.4718078245821329</v>
      </c>
      <c r="G18" s="1913">
        <f t="shared" si="6"/>
        <v>1.4607996279214353</v>
      </c>
      <c r="H18" s="3086">
        <f>IF(SUM(H25,H54,H61)=0,"NO",SUM(H25,H54,H61))</f>
        <v>11925.836348356625</v>
      </c>
      <c r="I18" s="3086">
        <f>IF(SUM(I25,I54,I61)=0,"NO",SUM(I25,I54,I61))</f>
        <v>0.4383641342388172</v>
      </c>
      <c r="J18" s="3086">
        <f>IF(SUM(J25,J54,J61)=0,"NO",SUM(J25,J54,J61))</f>
        <v>0.25906632296482096</v>
      </c>
      <c r="K18" s="3069" t="str">
        <f>IF(SUM(K25,K54,K61)=0,"NO",SUM(K25,K54,K61))</f>
        <v>NO</v>
      </c>
      <c r="L18" s="19"/>
    </row>
    <row r="19" spans="2:12" ht="18" customHeight="1" x14ac:dyDescent="0.2">
      <c r="B19" s="282" t="s">
        <v>133</v>
      </c>
      <c r="C19" s="3086">
        <f t="shared" ref="C19:C23" si="7">IF(SUM(C26,C55,C62)=0,"NO",SUM(C26,C55,C62))</f>
        <v>2051515.0646525926</v>
      </c>
      <c r="D19" s="3077" t="s">
        <v>1814</v>
      </c>
      <c r="E19" s="1913">
        <f t="shared" ref="E19:E23" si="8">IFERROR(H19*1000/$C19,"NA")</f>
        <v>90.781535334716025</v>
      </c>
      <c r="F19" s="1913">
        <f t="shared" si="6"/>
        <v>0.69732787589693346</v>
      </c>
      <c r="G19" s="1913">
        <f t="shared" si="6"/>
        <v>1.3708607967611148</v>
      </c>
      <c r="H19" s="3086">
        <f t="shared" ref="H19:K23" si="9">IF(SUM(H26,H55,H62)=0,"NO",SUM(H26,H55,H62))</f>
        <v>186239.68733146158</v>
      </c>
      <c r="I19" s="3086">
        <f t="shared" si="9"/>
        <v>1.4305786424047526</v>
      </c>
      <c r="J19" s="3086">
        <f t="shared" si="9"/>
        <v>2.8123415760970834</v>
      </c>
      <c r="K19" s="3069" t="str">
        <f t="shared" si="9"/>
        <v>NO</v>
      </c>
      <c r="L19" s="19"/>
    </row>
    <row r="20" spans="2:12" ht="18" customHeight="1" x14ac:dyDescent="0.2">
      <c r="B20" s="282" t="s">
        <v>134</v>
      </c>
      <c r="C20" s="3086">
        <f t="shared" si="7"/>
        <v>644380.06044647028</v>
      </c>
      <c r="D20" s="3077" t="s">
        <v>1814</v>
      </c>
      <c r="E20" s="1913">
        <f t="shared" si="8"/>
        <v>51.172744567325303</v>
      </c>
      <c r="F20" s="1913">
        <f t="shared" si="6"/>
        <v>27.7625102051095</v>
      </c>
      <c r="G20" s="1913">
        <f t="shared" si="6"/>
        <v>1.1073411306702214</v>
      </c>
      <c r="H20" s="3086">
        <f t="shared" si="9"/>
        <v>32974.696237504861</v>
      </c>
      <c r="I20" s="3086">
        <f t="shared" si="9"/>
        <v>17.889608004114208</v>
      </c>
      <c r="J20" s="3086">
        <f t="shared" si="9"/>
        <v>0.71354854471614004</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33750.157847999995</v>
      </c>
      <c r="D23" s="3077" t="s">
        <v>1814</v>
      </c>
      <c r="E23" s="1913">
        <f t="shared" si="8"/>
        <v>78.646256431841849</v>
      </c>
      <c r="F23" s="1913">
        <f t="shared" si="6"/>
        <v>87.939532019598289</v>
      </c>
      <c r="G23" s="1913">
        <f t="shared" si="6"/>
        <v>4.6140908958590616</v>
      </c>
      <c r="H23" s="3086">
        <f t="shared" si="9"/>
        <v>2654.3235687289471</v>
      </c>
      <c r="I23" s="3086">
        <f t="shared" si="9"/>
        <v>2.9679730867406922</v>
      </c>
      <c r="J23" s="3086">
        <f t="shared" si="9"/>
        <v>0.15572629606026303</v>
      </c>
      <c r="K23" s="3069" t="str">
        <f t="shared" si="9"/>
        <v>NO</v>
      </c>
      <c r="L23" s="19"/>
    </row>
    <row r="24" spans="2:12" ht="18" customHeight="1" x14ac:dyDescent="0.2">
      <c r="B24" s="1237" t="s">
        <v>138</v>
      </c>
      <c r="C24" s="3086">
        <f>IF(SUM(C25:C30)=0,"NO",SUM(C25:C30))</f>
        <v>2557303.6901003742</v>
      </c>
      <c r="D24" s="3077" t="s">
        <v>1814</v>
      </c>
      <c r="E24" s="628"/>
      <c r="F24" s="628"/>
      <c r="G24" s="628"/>
      <c r="H24" s="3086">
        <f>IF(SUM(H25:H29)=0,"NO",SUM(H25:H29))</f>
        <v>210253.99342354812</v>
      </c>
      <c r="I24" s="3086">
        <f t="shared" ref="I24" si="10">IF(SUM(I25:I30)=0,"NO",SUM(I25:I30))</f>
        <v>15.701786207807048</v>
      </c>
      <c r="J24" s="3086">
        <f t="shared" ref="J24" si="11">IF(SUM(J25:J30)=0,"NO",SUM(J25:J30))</f>
        <v>3.5168888254111561</v>
      </c>
      <c r="K24" s="3069" t="str">
        <f t="shared" ref="K24" si="12">IF(SUM(K25:K30)=0,"NO",SUM(K25:K30))</f>
        <v>NO</v>
      </c>
      <c r="L24" s="19"/>
    </row>
    <row r="25" spans="2:12" ht="18" customHeight="1" x14ac:dyDescent="0.2">
      <c r="B25" s="160" t="s">
        <v>132</v>
      </c>
      <c r="C25" s="3074">
        <f>IF(SUM(C33,C40,C47)=0,"NO",SUM(C33,C40,C47))</f>
        <v>38707.612917799997</v>
      </c>
      <c r="D25" s="3082" t="s">
        <v>1814</v>
      </c>
      <c r="E25" s="3086">
        <f>IFERROR(H25*1000/$C25,"NA")</f>
        <v>69.133491677876663</v>
      </c>
      <c r="F25" s="1913">
        <f t="shared" ref="F25:G30" si="13">IFERROR(I25*1000000/$C25,"NA")</f>
        <v>3.3459632785053981</v>
      </c>
      <c r="G25" s="1913">
        <f t="shared" si="13"/>
        <v>0.38941905702891705</v>
      </c>
      <c r="H25" s="3086">
        <f>IF(SUM(H33,H40,H47)=0,"NO",SUM(H33,H40,H47))</f>
        <v>2675.9924355231974</v>
      </c>
      <c r="I25" s="3086">
        <f>IF(SUM(I33,I40,I47)=0,"NO",SUM(I33,I40,I47))</f>
        <v>0.12951425142155998</v>
      </c>
      <c r="J25" s="3086">
        <f>IF(SUM(J33,J40,J47)=0,"NO",SUM(J33,J40,J47))</f>
        <v>1.5073482122290002E-2</v>
      </c>
      <c r="K25" s="3069" t="str">
        <f>IF(SUM(K33,K40,K47)=0,"NO",SUM(K33,K40,K47))</f>
        <v>NO</v>
      </c>
      <c r="L25" s="19"/>
    </row>
    <row r="26" spans="2:12" ht="18" customHeight="1" x14ac:dyDescent="0.2">
      <c r="B26" s="160" t="s">
        <v>133</v>
      </c>
      <c r="C26" s="3086">
        <f t="shared" ref="C26:C30" si="14">IF(SUM(C34,C41,C48)=0,"NO",SUM(C34,C41,C48))</f>
        <v>2031402.9668485741</v>
      </c>
      <c r="D26" s="3082" t="s">
        <v>1814</v>
      </c>
      <c r="E26" s="3086">
        <f t="shared" ref="E26:E30" si="15">IFERROR(H26*1000/$C26,"NA")</f>
        <v>90.779933721390123</v>
      </c>
      <c r="F26" s="1913">
        <f t="shared" si="13"/>
        <v>0.69470981387881325</v>
      </c>
      <c r="G26" s="1913">
        <f t="shared" si="13"/>
        <v>1.3763081524540643</v>
      </c>
      <c r="H26" s="3086">
        <f t="shared" ref="H26:K30" si="16">IF(SUM(H34,H41,H48)=0,"NO",SUM(H34,H41,H48))</f>
        <v>184410.6266919488</v>
      </c>
      <c r="I26" s="3086">
        <f t="shared" si="16"/>
        <v>1.411235577012242</v>
      </c>
      <c r="J26" s="3086">
        <f t="shared" si="16"/>
        <v>2.7958364641930662</v>
      </c>
      <c r="K26" s="3069" t="str">
        <f t="shared" si="16"/>
        <v>NO</v>
      </c>
      <c r="L26" s="19"/>
    </row>
    <row r="27" spans="2:12" ht="18" customHeight="1" x14ac:dyDescent="0.2">
      <c r="B27" s="160" t="s">
        <v>134</v>
      </c>
      <c r="C27" s="3086">
        <f t="shared" si="14"/>
        <v>453602.20200000005</v>
      </c>
      <c r="D27" s="3082" t="s">
        <v>1814</v>
      </c>
      <c r="E27" s="3086">
        <f t="shared" si="15"/>
        <v>51.074210385063637</v>
      </c>
      <c r="F27" s="1913">
        <f t="shared" si="13"/>
        <v>24.677208700292518</v>
      </c>
      <c r="G27" s="1913">
        <f t="shared" si="13"/>
        <v>1.2143327332392446</v>
      </c>
      <c r="H27" s="3086">
        <f t="shared" si="16"/>
        <v>23167.374296076137</v>
      </c>
      <c r="I27" s="3086">
        <f t="shared" si="16"/>
        <v>11.193636205666246</v>
      </c>
      <c r="J27" s="3086">
        <f t="shared" si="16"/>
        <v>0.55082400175799995</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33590.908333999992</v>
      </c>
      <c r="D30" s="3082" t="s">
        <v>1814</v>
      </c>
      <c r="E30" s="3086">
        <f t="shared" si="15"/>
        <v>78.696208834225246</v>
      </c>
      <c r="F30" s="1913">
        <f t="shared" si="13"/>
        <v>88.339384699027676</v>
      </c>
      <c r="G30" s="1913">
        <f t="shared" si="13"/>
        <v>4.6189545038517323</v>
      </c>
      <c r="H30" s="3086">
        <f t="shared" si="16"/>
        <v>2643.477137183781</v>
      </c>
      <c r="I30" s="3086">
        <f t="shared" si="16"/>
        <v>2.9674001737069999</v>
      </c>
      <c r="J30" s="3086">
        <f t="shared" si="16"/>
        <v>0.15515487733779995</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2557303.6901003742</v>
      </c>
      <c r="D32" s="3077" t="s">
        <v>1814</v>
      </c>
      <c r="E32" s="1914"/>
      <c r="F32" s="1914"/>
      <c r="G32" s="1914"/>
      <c r="H32" s="3086">
        <f>IF(SUM(H33:H37)=0,"NO",SUM(H33:H37))</f>
        <v>210253.99342354812</v>
      </c>
      <c r="I32" s="3086">
        <f t="shared" ref="I32" si="17">IF(SUM(I33:I38)=0,"NO",SUM(I33:I38))</f>
        <v>15.701786207807048</v>
      </c>
      <c r="J32" s="3086">
        <f t="shared" ref="J32" si="18">IF(SUM(J33:J38)=0,"NO",SUM(J33:J38))</f>
        <v>3.5168888254111561</v>
      </c>
      <c r="K32" s="3069" t="str">
        <f t="shared" ref="K32" si="19">IF(SUM(K33:K38)=0,"NO",SUM(K33:K38))</f>
        <v>NO</v>
      </c>
      <c r="L32" s="19"/>
    </row>
    <row r="33" spans="2:12" ht="18" customHeight="1" x14ac:dyDescent="0.2">
      <c r="B33" s="160" t="s">
        <v>132</v>
      </c>
      <c r="C33" s="3033">
        <v>38707.612917799997</v>
      </c>
      <c r="D33" s="3077" t="s">
        <v>1814</v>
      </c>
      <c r="E33" s="1913">
        <f>IFERROR(H33*1000/$C33,"NA")</f>
        <v>69.133491677876663</v>
      </c>
      <c r="F33" s="1913">
        <f t="shared" ref="F33:G38" si="20">IFERROR(I33*1000000/$C33,"NA")</f>
        <v>3.3459632785053981</v>
      </c>
      <c r="G33" s="1913">
        <f t="shared" si="20"/>
        <v>0.38941905702891705</v>
      </c>
      <c r="H33" s="3033">
        <v>2675.9924355231974</v>
      </c>
      <c r="I33" s="3033">
        <v>0.12951425142155998</v>
      </c>
      <c r="J33" s="3033">
        <v>1.5073482122290002E-2</v>
      </c>
      <c r="K33" s="3072" t="s">
        <v>2146</v>
      </c>
      <c r="L33" s="19"/>
    </row>
    <row r="34" spans="2:12" ht="18" customHeight="1" x14ac:dyDescent="0.2">
      <c r="B34" s="160" t="s">
        <v>133</v>
      </c>
      <c r="C34" s="3033">
        <v>2031402.9668485741</v>
      </c>
      <c r="D34" s="3077" t="s">
        <v>1814</v>
      </c>
      <c r="E34" s="1913">
        <f t="shared" ref="E34:E38" si="21">IFERROR(H34*1000/$C34,"NA")</f>
        <v>90.779933721390123</v>
      </c>
      <c r="F34" s="1913">
        <f t="shared" si="20"/>
        <v>0.69470981387881325</v>
      </c>
      <c r="G34" s="1913">
        <f t="shared" si="20"/>
        <v>1.3763081524540643</v>
      </c>
      <c r="H34" s="3033">
        <v>184410.6266919488</v>
      </c>
      <c r="I34" s="3033">
        <v>1.411235577012242</v>
      </c>
      <c r="J34" s="3033">
        <v>2.7958364641930662</v>
      </c>
      <c r="K34" s="3072" t="s">
        <v>2146</v>
      </c>
      <c r="L34" s="19"/>
    </row>
    <row r="35" spans="2:12" ht="18" customHeight="1" x14ac:dyDescent="0.2">
      <c r="B35" s="160" t="s">
        <v>134</v>
      </c>
      <c r="C35" s="3033">
        <v>453602.20200000005</v>
      </c>
      <c r="D35" s="3077" t="s">
        <v>1814</v>
      </c>
      <c r="E35" s="1913">
        <f t="shared" si="21"/>
        <v>51.074210385063637</v>
      </c>
      <c r="F35" s="1913">
        <f t="shared" si="20"/>
        <v>24.677208700292518</v>
      </c>
      <c r="G35" s="1913">
        <f t="shared" si="20"/>
        <v>1.2143327332392446</v>
      </c>
      <c r="H35" s="3033">
        <v>23167.374296076137</v>
      </c>
      <c r="I35" s="3033">
        <v>11.193636205666246</v>
      </c>
      <c r="J35" s="3033">
        <v>0.55082400175799995</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33590.908333999992</v>
      </c>
      <c r="D38" s="3077" t="s">
        <v>1814</v>
      </c>
      <c r="E38" s="1913">
        <f t="shared" si="21"/>
        <v>78.696208834225246</v>
      </c>
      <c r="F38" s="1913">
        <f t="shared" si="20"/>
        <v>88.339384699027676</v>
      </c>
      <c r="G38" s="1913">
        <f t="shared" si="20"/>
        <v>4.6189545038517323</v>
      </c>
      <c r="H38" s="3033">
        <v>2643.477137183781</v>
      </c>
      <c r="I38" s="3033">
        <v>2.9674001737069999</v>
      </c>
      <c r="J38" s="3033">
        <v>0.15515487733779995</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83907.365742439113</v>
      </c>
      <c r="D53" s="3077" t="s">
        <v>1814</v>
      </c>
      <c r="E53" s="628"/>
      <c r="F53" s="628"/>
      <c r="G53" s="628"/>
      <c r="H53" s="3086">
        <f>IF(SUM(H54:H58)=0,"NO",SUM(H54:H58))</f>
        <v>5191.8922962258321</v>
      </c>
      <c r="I53" s="3086">
        <f t="shared" ref="I53:K53" si="28">IF(SUM(I54:I59)=0,"NO",SUM(I54:I59))</f>
        <v>8.1899229502998161E-2</v>
      </c>
      <c r="J53" s="3086">
        <f t="shared" si="28"/>
        <v>1.6247878718440242E-2</v>
      </c>
      <c r="K53" s="3069" t="str">
        <f t="shared" si="28"/>
        <v>NO</v>
      </c>
      <c r="L53" s="19"/>
    </row>
    <row r="54" spans="2:12" ht="18" customHeight="1" x14ac:dyDescent="0.2">
      <c r="B54" s="160" t="s">
        <v>132</v>
      </c>
      <c r="C54" s="3033">
        <v>69801.990955039117</v>
      </c>
      <c r="D54" s="3077" t="s">
        <v>1814</v>
      </c>
      <c r="E54" s="1913">
        <f>IFERROR(H54*1000/$C54,"NA")</f>
        <v>64.00670424275242</v>
      </c>
      <c r="F54" s="1913">
        <f t="shared" ref="F54:G59" si="29">IFERROR(I54*1000000/$C54,"NA")</f>
        <v>0.96553606402666381</v>
      </c>
      <c r="G54" s="1913">
        <f t="shared" si="29"/>
        <v>0.14696176313363599</v>
      </c>
      <c r="H54" s="3033">
        <v>4467.7953906144685</v>
      </c>
      <c r="I54" s="3033">
        <v>6.7396339607953257E-2</v>
      </c>
      <c r="J54" s="3033">
        <v>1.025822366099066E-2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14105.374787399998</v>
      </c>
      <c r="D56" s="3077" t="s">
        <v>1814</v>
      </c>
      <c r="E56" s="1913">
        <f t="shared" si="30"/>
        <v>51.33482211746562</v>
      </c>
      <c r="F56" s="1913">
        <f t="shared" si="29"/>
        <v>1.0281818181818181</v>
      </c>
      <c r="G56" s="1913">
        <f t="shared" si="29"/>
        <v>0.4246363636363637</v>
      </c>
      <c r="H56" s="3033">
        <v>724.09690561136335</v>
      </c>
      <c r="I56" s="3033">
        <v>1.4502889895044908E-2</v>
      </c>
      <c r="J56" s="3033">
        <v>5.9896550574495824E-3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265779.78361527168</v>
      </c>
      <c r="D60" s="3077" t="s">
        <v>1814</v>
      </c>
      <c r="E60" s="628"/>
      <c r="F60" s="628"/>
      <c r="G60" s="628"/>
      <c r="H60" s="3086">
        <f>IF(SUM(H61:H65)=0,"NO",SUM(H61:H65))</f>
        <v>15694.334197549106</v>
      </c>
      <c r="I60" s="3086">
        <f t="shared" ref="I60:K60" si="31">IF(SUM(I61:I66)=0,"NO",SUM(I61:I66))</f>
        <v>6.9428384301884254</v>
      </c>
      <c r="J60" s="3086">
        <f t="shared" si="31"/>
        <v>0.40754603570871134</v>
      </c>
      <c r="K60" s="3069" t="str">
        <f t="shared" si="31"/>
        <v>NO</v>
      </c>
      <c r="L60" s="19"/>
    </row>
    <row r="61" spans="2:12" ht="18" customHeight="1" x14ac:dyDescent="0.2">
      <c r="B61" s="160" t="s">
        <v>132</v>
      </c>
      <c r="C61" s="3074">
        <f>IF(SUM(C69,C76,C83)=0,"NO",SUM(C69,C76,C83))</f>
        <v>68835.952638182964</v>
      </c>
      <c r="D61" s="3077" t="s">
        <v>1814</v>
      </c>
      <c r="E61" s="1913">
        <f>IFERROR(H61*1000/$C61,"NA")</f>
        <v>69.470216346891647</v>
      </c>
      <c r="F61" s="1913">
        <f t="shared" ref="F61:G66" si="32">IFERROR(I61*1000000/$C61,"NA")</f>
        <v>3.5076661825025846</v>
      </c>
      <c r="G61" s="1913">
        <f t="shared" si="32"/>
        <v>3.3955310883848928</v>
      </c>
      <c r="H61" s="3074">
        <f>IF(SUM(H69,H76,H83)=0,"NO",SUM(H69,H76,H83))</f>
        <v>4782.0485222189573</v>
      </c>
      <c r="I61" s="3074">
        <f>IF(SUM(I69,I76,I83)=0,"NO",SUM(I69,I76,I83))</f>
        <v>0.24145354320930396</v>
      </c>
      <c r="J61" s="3074">
        <f>IF(SUM(J69,J76,J83)=0,"NO",SUM(J69,J76,J83))</f>
        <v>0.23373461718154032</v>
      </c>
      <c r="K61" s="3088" t="str">
        <f>IF(SUM(K69,K76,K83)=0,"NO",SUM(K69,K76,K83))</f>
        <v>NO</v>
      </c>
    </row>
    <row r="62" spans="2:12" ht="18" customHeight="1" x14ac:dyDescent="0.2">
      <c r="B62" s="160" t="s">
        <v>133</v>
      </c>
      <c r="C62" s="3074">
        <f t="shared" ref="C62:C66" si="33">IF(SUM(C70,C77,C84)=0,"NO",SUM(C70,C77,C84))</f>
        <v>20112.097804018515</v>
      </c>
      <c r="D62" s="3077" t="s">
        <v>1814</v>
      </c>
      <c r="E62" s="1913">
        <f t="shared" ref="E62:E66" si="34">IFERROR(H62*1000/$C62,"NA")</f>
        <v>90.943304738073365</v>
      </c>
      <c r="F62" s="1913">
        <f t="shared" si="32"/>
        <v>0.96176269531891878</v>
      </c>
      <c r="G62" s="1913">
        <f t="shared" si="32"/>
        <v>0.82065590893852491</v>
      </c>
      <c r="H62" s="3074">
        <f t="shared" ref="H62:K66" si="35">IF(SUM(H70,H77,H84)=0,"NO",SUM(H70,H77,H84))</f>
        <v>1829.0606395127918</v>
      </c>
      <c r="I62" s="3074">
        <f t="shared" si="35"/>
        <v>1.9343065392510555E-2</v>
      </c>
      <c r="J62" s="3074">
        <f t="shared" si="35"/>
        <v>1.6505111904017326E-2</v>
      </c>
      <c r="K62" s="3088" t="str">
        <f t="shared" si="35"/>
        <v>NO</v>
      </c>
    </row>
    <row r="63" spans="2:12" ht="18" customHeight="1" x14ac:dyDescent="0.2">
      <c r="B63" s="160" t="s">
        <v>134</v>
      </c>
      <c r="C63" s="3074">
        <f t="shared" si="33"/>
        <v>176672.48365907016</v>
      </c>
      <c r="D63" s="3077" t="s">
        <v>1814</v>
      </c>
      <c r="E63" s="1913">
        <f t="shared" si="34"/>
        <v>51.412788498210681</v>
      </c>
      <c r="F63" s="1913">
        <f t="shared" si="32"/>
        <v>37.818390109046838</v>
      </c>
      <c r="G63" s="1913">
        <f t="shared" si="32"/>
        <v>0.88714940014737276</v>
      </c>
      <c r="H63" s="3074">
        <f t="shared" si="35"/>
        <v>9083.2250358173569</v>
      </c>
      <c r="I63" s="3074">
        <f t="shared" si="35"/>
        <v>6.6814689085529189</v>
      </c>
      <c r="J63" s="3074">
        <f t="shared" si="35"/>
        <v>0.15673488790069059</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159.249514</v>
      </c>
      <c r="D66" s="3077" t="s">
        <v>1814</v>
      </c>
      <c r="E66" s="1913">
        <f t="shared" si="34"/>
        <v>68.109668109668107</v>
      </c>
      <c r="F66" s="1913">
        <f t="shared" si="32"/>
        <v>3.5975810493976876</v>
      </c>
      <c r="G66" s="1913">
        <f t="shared" si="32"/>
        <v>3.5881975907510713</v>
      </c>
      <c r="H66" s="3074">
        <f t="shared" si="35"/>
        <v>10.846431545165943</v>
      </c>
      <c r="I66" s="3074">
        <f t="shared" si="35"/>
        <v>5.7291303369219181E-4</v>
      </c>
      <c r="J66" s="3074">
        <f t="shared" si="35"/>
        <v>5.7141872246307902E-4</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20115.970394418517</v>
      </c>
      <c r="D68" s="3077" t="s">
        <v>1814</v>
      </c>
      <c r="E68" s="628"/>
      <c r="F68" s="628"/>
      <c r="G68" s="628"/>
      <c r="H68" s="3086">
        <f>IF(SUM(H69:H73)=0,"NO",SUM(H69:H73))</f>
        <v>1829.3326553855313</v>
      </c>
      <c r="I68" s="3086">
        <f t="shared" ref="I68:K68" si="36">IF(SUM(I69:I74)=0,"NO",SUM(I69:I74))</f>
        <v>1.9355467131205471E-2</v>
      </c>
      <c r="J68" s="3086">
        <f t="shared" si="36"/>
        <v>1.651705531932475E-2</v>
      </c>
      <c r="K68" s="3069" t="str">
        <f t="shared" si="36"/>
        <v>NO</v>
      </c>
    </row>
    <row r="69" spans="2:11" ht="18" customHeight="1" x14ac:dyDescent="0.2">
      <c r="B69" s="282" t="s">
        <v>132</v>
      </c>
      <c r="C69" s="3033">
        <v>3.8581673000000003</v>
      </c>
      <c r="D69" s="3076" t="s">
        <v>1814</v>
      </c>
      <c r="E69" s="1913">
        <f>IFERROR(H69*1000/$C69,"NA")</f>
        <v>70.311713413775493</v>
      </c>
      <c r="F69" s="1913">
        <f t="shared" ref="F69:G74" si="37">IFERROR(I69*1000000/$C69,"NA")</f>
        <v>3.2070269520102319</v>
      </c>
      <c r="G69" s="1913">
        <f t="shared" si="37"/>
        <v>3.0923110789695816</v>
      </c>
      <c r="H69" s="3033">
        <v>0.27127435350000001</v>
      </c>
      <c r="I69" s="3033">
        <v>1.2373246516464548E-5</v>
      </c>
      <c r="J69" s="3033">
        <v>1.1930653486308158E-5</v>
      </c>
      <c r="K69" s="3072" t="s">
        <v>2146</v>
      </c>
    </row>
    <row r="70" spans="2:11" ht="18" customHeight="1" x14ac:dyDescent="0.2">
      <c r="B70" s="282" t="s">
        <v>133</v>
      </c>
      <c r="C70" s="3033">
        <v>20112.097804018515</v>
      </c>
      <c r="D70" s="3076" t="s">
        <v>1814</v>
      </c>
      <c r="E70" s="1913">
        <f t="shared" ref="E70:E74" si="38">IFERROR(H70*1000/$C70,"NA")</f>
        <v>90.943304738073365</v>
      </c>
      <c r="F70" s="1913">
        <f t="shared" si="37"/>
        <v>0.96176269531891878</v>
      </c>
      <c r="G70" s="1913">
        <f t="shared" si="37"/>
        <v>0.82065590893852491</v>
      </c>
      <c r="H70" s="3033">
        <v>1829.0606395127918</v>
      </c>
      <c r="I70" s="3033">
        <v>1.9343065392510555E-2</v>
      </c>
      <c r="J70" s="3033">
        <v>1.6505111904017326E-2</v>
      </c>
      <c r="K70" s="3072" t="s">
        <v>2146</v>
      </c>
    </row>
    <row r="71" spans="2:11" ht="18" customHeight="1" x14ac:dyDescent="0.2">
      <c r="B71" s="160" t="s">
        <v>134</v>
      </c>
      <c r="C71" s="3033">
        <v>1.4423099999999999E-2</v>
      </c>
      <c r="D71" s="3076" t="s">
        <v>1814</v>
      </c>
      <c r="E71" s="1913">
        <f t="shared" si="38"/>
        <v>51.411918339265007</v>
      </c>
      <c r="F71" s="1913">
        <f t="shared" si="37"/>
        <v>1.9754545454545456</v>
      </c>
      <c r="G71" s="1913">
        <f t="shared" si="37"/>
        <v>0.88481818181818184</v>
      </c>
      <c r="H71" s="3033">
        <v>7.4151923939905304E-4</v>
      </c>
      <c r="I71" s="3033">
        <v>2.8492178454545456E-8</v>
      </c>
      <c r="J71" s="3033">
        <v>1.2761821118181818E-8</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164782.97809439996</v>
      </c>
      <c r="D75" s="3077" t="s">
        <v>1814</v>
      </c>
      <c r="E75" s="628"/>
      <c r="F75" s="628"/>
      <c r="G75" s="628"/>
      <c r="H75" s="3086">
        <f>IF(SUM(H76:H80)=0,"NO",SUM(H76:H80))</f>
        <v>8544.8674767219327</v>
      </c>
      <c r="I75" s="3086">
        <f t="shared" ref="I75:K75" si="39">IF(SUM(I76:I81)=0,"NO",SUM(I76:I81))</f>
        <v>6.6355467279901967</v>
      </c>
      <c r="J75" s="3086">
        <f t="shared" si="39"/>
        <v>0.14844254867366868</v>
      </c>
      <c r="K75" s="3069" t="str">
        <f t="shared" si="39"/>
        <v>NO</v>
      </c>
    </row>
    <row r="76" spans="2:11" ht="18" customHeight="1" x14ac:dyDescent="0.2">
      <c r="B76" s="282" t="s">
        <v>132</v>
      </c>
      <c r="C76" s="3033">
        <v>5246.0974209999995</v>
      </c>
      <c r="D76" s="3076" t="s">
        <v>1814</v>
      </c>
      <c r="E76" s="1913">
        <f>IFERROR(H76*1000/$C76,"NA")</f>
        <v>65.338168152944917</v>
      </c>
      <c r="F76" s="1913">
        <f t="shared" ref="F76:G81" si="40">IFERROR(I76*1000000/$C76,"NA")</f>
        <v>2.3653333055946506</v>
      </c>
      <c r="G76" s="1913">
        <f t="shared" si="40"/>
        <v>1.3879681216249193</v>
      </c>
      <c r="H76" s="3033">
        <v>342.77039544002861</v>
      </c>
      <c r="I76" s="3033">
        <v>1.24087689542855E-2</v>
      </c>
      <c r="J76" s="3033">
        <v>7.2814159832867023E-3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159536.88067339995</v>
      </c>
      <c r="D78" s="3076" t="s">
        <v>1814</v>
      </c>
      <c r="E78" s="1913">
        <f t="shared" si="41"/>
        <v>51.411918339265</v>
      </c>
      <c r="F78" s="1913">
        <f t="shared" si="40"/>
        <v>41.514776590089149</v>
      </c>
      <c r="G78" s="1913">
        <f t="shared" si="40"/>
        <v>0.88481818181818173</v>
      </c>
      <c r="H78" s="3033">
        <v>8202.0970812819032</v>
      </c>
      <c r="I78" s="3033">
        <v>6.623137959035911</v>
      </c>
      <c r="J78" s="3033">
        <v>0.14116113269038197</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80880.835126453167</v>
      </c>
      <c r="D82" s="3077" t="s">
        <v>1814</v>
      </c>
      <c r="E82" s="628"/>
      <c r="F82" s="628"/>
      <c r="G82" s="628"/>
      <c r="H82" s="3086">
        <f>IF(SUM(H83:H87)=0,"NO",SUM(H83:H87))</f>
        <v>5320.1340654416435</v>
      </c>
      <c r="I82" s="3086">
        <f t="shared" ref="I82:K82" si="42">IF(SUM(I83:I88)=0,"NO",SUM(I83:I88))</f>
        <v>0.28793623506702354</v>
      </c>
      <c r="J82" s="3086">
        <f t="shared" si="42"/>
        <v>0.24258643171571789</v>
      </c>
      <c r="K82" s="3069" t="str">
        <f t="shared" si="42"/>
        <v>NO</v>
      </c>
    </row>
    <row r="83" spans="2:11" ht="18" customHeight="1" x14ac:dyDescent="0.2">
      <c r="B83" s="282" t="s">
        <v>132</v>
      </c>
      <c r="C83" s="3033">
        <v>63585.997049882957</v>
      </c>
      <c r="D83" s="3076" t="s">
        <v>1814</v>
      </c>
      <c r="E83" s="1913">
        <f>IFERROR(H83*1000/$C83,"NA")</f>
        <v>69.811075682953359</v>
      </c>
      <c r="F83" s="1913">
        <f t="shared" ref="F83:G88" si="43">IFERROR(I83*1000000/$C83,"NA")</f>
        <v>3.6019314257009607</v>
      </c>
      <c r="G83" s="1913">
        <f t="shared" si="43"/>
        <v>3.5611814086539377</v>
      </c>
      <c r="H83" s="3033">
        <v>4439.0068524254284</v>
      </c>
      <c r="I83" s="3033">
        <v>0.229032401008502</v>
      </c>
      <c r="J83" s="3033">
        <v>0.22644127054476731</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17135.588562570218</v>
      </c>
      <c r="D85" s="3076" t="s">
        <v>1814</v>
      </c>
      <c r="E85" s="1913">
        <f t="shared" si="44"/>
        <v>51.420889909838721</v>
      </c>
      <c r="F85" s="1913">
        <f t="shared" si="43"/>
        <v>3.404080391626779</v>
      </c>
      <c r="G85" s="1913">
        <f t="shared" si="43"/>
        <v>0.90885366391824418</v>
      </c>
      <c r="H85" s="3033">
        <v>881.12721301621468</v>
      </c>
      <c r="I85" s="3033">
        <v>5.8330921024829382E-2</v>
      </c>
      <c r="J85" s="3033">
        <v>1.55737424484875E-2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159.249514</v>
      </c>
      <c r="D88" s="3084" t="s">
        <v>1814</v>
      </c>
      <c r="E88" s="2880">
        <f t="shared" si="44"/>
        <v>68.109668109668107</v>
      </c>
      <c r="F88" s="2880">
        <f t="shared" si="43"/>
        <v>3.5975810493976876</v>
      </c>
      <c r="G88" s="2880">
        <f t="shared" si="43"/>
        <v>3.5881975907510713</v>
      </c>
      <c r="H88" s="3040">
        <v>10.846431545165943</v>
      </c>
      <c r="I88" s="3040">
        <v>5.7291303369219181E-4</v>
      </c>
      <c r="J88" s="3040">
        <v>5.7141872246307902E-4</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35951993.119293571</v>
      </c>
      <c r="G10" s="3657" t="s">
        <v>2147</v>
      </c>
      <c r="H10" s="3658">
        <f t="shared" ref="H10:H13" si="0">IF(SUM($F10)=0,"NA",K10*1000/$F10)</f>
        <v>1.8289524244214615E-2</v>
      </c>
      <c r="I10" s="3659">
        <f t="shared" ref="I10:I13" si="1">IF(SUM($F10)=0,"NA",L10*1000/$F10)</f>
        <v>4.009794684281701E-4</v>
      </c>
      <c r="J10" s="3499" t="str">
        <f>IF(SUM(J11,J25,J36,J48,J59,J70,J76)=0,"IE",SUM(J11,J25,J36,J48,J59,J70,J76))</f>
        <v>IE</v>
      </c>
      <c r="K10" s="3500">
        <f>IF(SUM(K11,K25,K36,K48,K59,K70,K76)=0,"NO",SUM(K11,K25,K36,K48,K59,K70,K76))</f>
        <v>657.54484978315679</v>
      </c>
      <c r="L10" s="3501">
        <f>IF(SUM(L11,L25,L36,L48,L59,L70,L76)=0,"NO",SUM(L11,L25,L36,L48,L59,L70,L76))</f>
        <v>14.416011089907565</v>
      </c>
    </row>
    <row r="11" spans="2:13" ht="18" customHeight="1" x14ac:dyDescent="0.2">
      <c r="B11" s="933" t="s">
        <v>1985</v>
      </c>
      <c r="C11" s="934"/>
      <c r="D11" s="2850"/>
      <c r="E11" s="2854" t="s">
        <v>2250</v>
      </c>
      <c r="F11" s="3679">
        <f>IF(SUM(F12,F19)=0,"NO",SUM(F12,F19))</f>
        <v>8462121.4517688174</v>
      </c>
      <c r="G11" s="3660" t="s">
        <v>2147</v>
      </c>
      <c r="H11" s="3661">
        <f t="shared" si="0"/>
        <v>3.6524126939436324E-2</v>
      </c>
      <c r="I11" s="3662">
        <f t="shared" si="1"/>
        <v>5.7011060659963627E-4</v>
      </c>
      <c r="J11" s="3502" t="str">
        <f>IF(SUM(J12,J19)=0,"IE",SUM(J12,J19))</f>
        <v>IE</v>
      </c>
      <c r="K11" s="3503">
        <f>IF(SUM(K12,K19)=0,"NO",SUM(K12,K19))</f>
        <v>309.07159808133144</v>
      </c>
      <c r="L11" s="3504">
        <f>IF(SUM(L12,L19)=0,"NO",SUM(L12,L19))</f>
        <v>4.8243451939877149</v>
      </c>
      <c r="M11" s="482"/>
    </row>
    <row r="12" spans="2:13" ht="18" customHeight="1" x14ac:dyDescent="0.2">
      <c r="B12" s="903" t="s">
        <v>1912</v>
      </c>
      <c r="C12" s="476"/>
      <c r="D12" s="298"/>
      <c r="E12" s="2852" t="s">
        <v>2250</v>
      </c>
      <c r="F12" s="3680">
        <f>IF(SUM(F13,F17)=0,"NO",SUM(F13,F17))</f>
        <v>8419861.6596448272</v>
      </c>
      <c r="G12" s="3663" t="str">
        <f>IFERROR(IF(SUM($F12)=0,"NA",J12*1000/$F12),"NA")</f>
        <v>NA</v>
      </c>
      <c r="H12" s="3664">
        <f t="shared" si="0"/>
        <v>3.6393140910681056E-2</v>
      </c>
      <c r="I12" s="3665">
        <f t="shared" si="1"/>
        <v>5.6813577783446708E-4</v>
      </c>
      <c r="J12" s="3505" t="str">
        <f>IF(SUM(J13,J17)=0,"IE",SUM(J13,J17))</f>
        <v>IE</v>
      </c>
      <c r="K12" s="3506">
        <f>IF(SUM(K13,K17)=0,"NO",SUM(K13,K17))</f>
        <v>306.42521182789505</v>
      </c>
      <c r="L12" s="3507">
        <f>IF(SUM(L13,L17)=0,"NO",SUM(L13,L17))</f>
        <v>4.7836246532609215</v>
      </c>
    </row>
    <row r="13" spans="2:13" ht="18" customHeight="1" x14ac:dyDescent="0.2">
      <c r="B13" s="923" t="s">
        <v>1270</v>
      </c>
      <c r="C13" s="476"/>
      <c r="D13" s="298"/>
      <c r="E13" s="2852" t="s">
        <v>2250</v>
      </c>
      <c r="F13" s="3681">
        <f>IF(SUM(F14:F16)=0,"NO",SUM(F14:F16))</f>
        <v>7940352.8705709856</v>
      </c>
      <c r="G13" s="3666" t="str">
        <f t="shared" ref="G13:G76" si="2">IFERROR(IF(SUM($F13)=0,"NA",J13*1000/$F13),"NA")</f>
        <v>NA</v>
      </c>
      <c r="H13" s="3667">
        <f t="shared" si="0"/>
        <v>2.6085040358362378E-2</v>
      </c>
      <c r="I13" s="3668">
        <f t="shared" si="1"/>
        <v>4.8111677605173082E-4</v>
      </c>
      <c r="J13" s="3505" t="str">
        <f>IF(SUM(J14:J16)=0,"IE",SUM(J14:J16))</f>
        <v>IE</v>
      </c>
      <c r="K13" s="3505">
        <f>IF(SUM(K14:K16)=0,"NO",SUM(K14:K16))</f>
        <v>207.12442508848272</v>
      </c>
      <c r="L13" s="3508">
        <f>IF(SUM(L14:L16)=0,"NO",SUM(L14:L16))</f>
        <v>3.8202369738022188</v>
      </c>
      <c r="M13" s="482"/>
    </row>
    <row r="14" spans="2:13" ht="24" x14ac:dyDescent="0.2">
      <c r="B14" s="923"/>
      <c r="C14" s="4367" t="s">
        <v>2247</v>
      </c>
      <c r="D14" s="542" t="s">
        <v>940</v>
      </c>
      <c r="E14" s="2851" t="s">
        <v>2250</v>
      </c>
      <c r="F14" s="3654">
        <v>369183.93448365072</v>
      </c>
      <c r="G14" s="3666" t="str">
        <f t="shared" si="2"/>
        <v>NA</v>
      </c>
      <c r="H14" s="3667">
        <f>IF(SUM($F14)=0,"NA",K14*1000/$F14)</f>
        <v>0.12289356928202332</v>
      </c>
      <c r="I14" s="3668">
        <f>IF(SUM($F14)=0,"NA",L14*1000/$F14)</f>
        <v>1.3332057055344992E-3</v>
      </c>
      <c r="J14" s="3509" t="s">
        <v>2153</v>
      </c>
      <c r="K14" s="3510">
        <v>45.370331430276487</v>
      </c>
      <c r="L14" s="3511">
        <v>0.49219812784527783</v>
      </c>
      <c r="M14" s="482"/>
    </row>
    <row r="15" spans="2:13" ht="18" customHeight="1" x14ac:dyDescent="0.2">
      <c r="B15" s="923"/>
      <c r="C15" s="4367" t="s">
        <v>2248</v>
      </c>
      <c r="D15" s="542" t="s">
        <v>940</v>
      </c>
      <c r="E15" s="543" t="s">
        <v>2250</v>
      </c>
      <c r="F15" s="3655">
        <v>99462.192021598938</v>
      </c>
      <c r="G15" s="3666" t="str">
        <f t="shared" si="2"/>
        <v>NA</v>
      </c>
      <c r="H15" s="3667">
        <f t="shared" ref="H15:H77" si="3">IF(SUM($F15)=0,"NA",K15*1000/$F15)</f>
        <v>0.10786550914152834</v>
      </c>
      <c r="I15" s="3668">
        <f t="shared" ref="I15:I77" si="4">IF(SUM($F15)=0,"NA",L15*1000/$F15)</f>
        <v>1.9940137870468641E-3</v>
      </c>
      <c r="J15" s="3509" t="s">
        <v>2153</v>
      </c>
      <c r="K15" s="3510">
        <v>10.728539982742229</v>
      </c>
      <c r="L15" s="3512">
        <v>0.19832898218097089</v>
      </c>
      <c r="M15" s="482"/>
    </row>
    <row r="16" spans="2:13" ht="18" customHeight="1" x14ac:dyDescent="0.2">
      <c r="B16" s="923"/>
      <c r="C16" s="4367" t="s">
        <v>2263</v>
      </c>
      <c r="D16" s="542" t="s">
        <v>940</v>
      </c>
      <c r="E16" s="543" t="s">
        <v>2250</v>
      </c>
      <c r="F16" s="3655">
        <v>7471706.7440657364</v>
      </c>
      <c r="G16" s="3666" t="str">
        <f t="shared" si="2"/>
        <v>NA</v>
      </c>
      <c r="H16" s="3667">
        <f t="shared" si="3"/>
        <v>2.0212992673382588E-2</v>
      </c>
      <c r="I16" s="3668">
        <f t="shared" si="4"/>
        <v>4.1887482619171098E-4</v>
      </c>
      <c r="J16" s="3509" t="s">
        <v>2153</v>
      </c>
      <c r="K16" s="3510">
        <v>151.02555367546401</v>
      </c>
      <c r="L16" s="3512">
        <v>3.1297098637759699</v>
      </c>
      <c r="M16" s="482"/>
    </row>
    <row r="17" spans="2:13" ht="18" customHeight="1" x14ac:dyDescent="0.2">
      <c r="B17" s="923" t="s">
        <v>1271</v>
      </c>
      <c r="C17" s="4368"/>
      <c r="D17" s="298"/>
      <c r="E17" s="5" t="s">
        <v>2250</v>
      </c>
      <c r="F17" s="3681">
        <f>F18</f>
        <v>479508.78907384246</v>
      </c>
      <c r="G17" s="3666" t="str">
        <f t="shared" si="2"/>
        <v>NA</v>
      </c>
      <c r="H17" s="3667">
        <f t="shared" si="3"/>
        <v>0.20708856438525128</v>
      </c>
      <c r="I17" s="3668">
        <f t="shared" si="4"/>
        <v>2.0091137042961373E-3</v>
      </c>
      <c r="J17" s="3505" t="str">
        <f>J18</f>
        <v>IE</v>
      </c>
      <c r="K17" s="3505">
        <f>K18</f>
        <v>99.300786739412302</v>
      </c>
      <c r="L17" s="3508">
        <f>L18</f>
        <v>0.96338767945870274</v>
      </c>
      <c r="M17" s="482"/>
    </row>
    <row r="18" spans="2:13" ht="18" customHeight="1" x14ac:dyDescent="0.2">
      <c r="B18" s="923"/>
      <c r="C18" s="4367" t="s">
        <v>2249</v>
      </c>
      <c r="D18" s="542" t="s">
        <v>940</v>
      </c>
      <c r="E18" s="543" t="s">
        <v>2250</v>
      </c>
      <c r="F18" s="3654">
        <v>479508.78907384246</v>
      </c>
      <c r="G18" s="3666" t="str">
        <f t="shared" si="2"/>
        <v>NA</v>
      </c>
      <c r="H18" s="3667">
        <f t="shared" si="3"/>
        <v>0.20708856438525128</v>
      </c>
      <c r="I18" s="3668">
        <f t="shared" si="4"/>
        <v>2.0091137042961373E-3</v>
      </c>
      <c r="J18" s="3509" t="s">
        <v>2153</v>
      </c>
      <c r="K18" s="3510">
        <v>99.300786739412302</v>
      </c>
      <c r="L18" s="3511">
        <v>0.96338767945870274</v>
      </c>
      <c r="M18" s="482"/>
    </row>
    <row r="19" spans="2:13" ht="18" customHeight="1" x14ac:dyDescent="0.2">
      <c r="B19" s="903" t="s">
        <v>1272</v>
      </c>
      <c r="C19" s="4368"/>
      <c r="D19" s="298"/>
      <c r="E19" s="5" t="s">
        <v>2250</v>
      </c>
      <c r="F19" s="3682">
        <f>IF(SUM(F20,F23)=0,"NO",SUM(F20,F23))</f>
        <v>42259.792123989369</v>
      </c>
      <c r="G19" s="3663" t="s">
        <v>2147</v>
      </c>
      <c r="H19" s="3664">
        <f t="shared" si="3"/>
        <v>6.2621847397449262E-2</v>
      </c>
      <c r="I19" s="3665">
        <f t="shared" si="4"/>
        <v>9.6357645601569304E-4</v>
      </c>
      <c r="J19" s="3505" t="str">
        <f>IF(SUM(J20,J23)=0,"IE",SUM(J20,J23))</f>
        <v>IE</v>
      </c>
      <c r="K19" s="3506">
        <f>IF(SUM(K20,K23)=0,"NO",SUM(K20,K23))</f>
        <v>2.6463862534363907</v>
      </c>
      <c r="L19" s="3507">
        <f>IF(SUM(L20,L23)=0,"NO",SUM(L20,L23))</f>
        <v>4.0720540726793569E-2</v>
      </c>
    </row>
    <row r="20" spans="2:13" ht="18" customHeight="1" x14ac:dyDescent="0.2">
      <c r="B20" s="923" t="s">
        <v>1273</v>
      </c>
      <c r="C20" s="4368"/>
      <c r="D20" s="298"/>
      <c r="E20" s="5" t="s">
        <v>2250</v>
      </c>
      <c r="F20" s="3681">
        <f>IF(SUM(F21:F22)=0,"NO",SUM(F21:F22))</f>
        <v>34930.683228869384</v>
      </c>
      <c r="G20" s="3666" t="str">
        <f t="shared" si="2"/>
        <v>NA</v>
      </c>
      <c r="H20" s="3667">
        <f t="shared" si="3"/>
        <v>4.7611259380275682E-2</v>
      </c>
      <c r="I20" s="3668">
        <f t="shared" si="4"/>
        <v>8.8854930176175467E-4</v>
      </c>
      <c r="J20" s="3505" t="str">
        <f>IF(SUM(J21:J22)=0,"IE",SUM(J21:J22))</f>
        <v>IE</v>
      </c>
      <c r="K20" s="3505">
        <f>IF(SUM(K21:K22)=0,"NO",SUM(K21:K22))</f>
        <v>1.6630938195399458</v>
      </c>
      <c r="L20" s="3508">
        <f>IF(SUM(L21:L22)=0,"NO",SUM(L21:L22))</f>
        <v>3.1037634193072924E-2</v>
      </c>
      <c r="M20" s="482"/>
    </row>
    <row r="21" spans="2:13" ht="18" customHeight="1" x14ac:dyDescent="0.2">
      <c r="B21" s="923"/>
      <c r="C21" s="4367" t="s">
        <v>2248</v>
      </c>
      <c r="D21" s="542" t="s">
        <v>940</v>
      </c>
      <c r="E21" s="543" t="s">
        <v>2250</v>
      </c>
      <c r="F21" s="3654">
        <v>29730.725162065177</v>
      </c>
      <c r="G21" s="3666" t="str">
        <f t="shared" si="2"/>
        <v>NA</v>
      </c>
      <c r="H21" s="3667">
        <f t="shared" si="3"/>
        <v>5.2783646682757319E-2</v>
      </c>
      <c r="I21" s="3668">
        <f t="shared" si="4"/>
        <v>9.7576435742708332E-4</v>
      </c>
      <c r="J21" s="3509" t="s">
        <v>2153</v>
      </c>
      <c r="K21" s="3510">
        <v>1.5692960925766111</v>
      </c>
      <c r="L21" s="3511">
        <v>2.9010181933603746E-2</v>
      </c>
      <c r="M21" s="482"/>
    </row>
    <row r="22" spans="2:13" ht="18" customHeight="1" x14ac:dyDescent="0.2">
      <c r="B22" s="923"/>
      <c r="C22" s="4367" t="s">
        <v>2263</v>
      </c>
      <c r="D22" s="542" t="s">
        <v>940</v>
      </c>
      <c r="E22" s="543" t="s">
        <v>2250</v>
      </c>
      <c r="F22" s="3655">
        <v>5199.9580668042072</v>
      </c>
      <c r="G22" s="3666" t="str">
        <f t="shared" si="2"/>
        <v>NA</v>
      </c>
      <c r="H22" s="3667">
        <f t="shared" si="3"/>
        <v>1.8038169877200749E-2</v>
      </c>
      <c r="I22" s="3668">
        <f t="shared" si="4"/>
        <v>3.8989780944814604E-4</v>
      </c>
      <c r="J22" s="3509" t="s">
        <v>2153</v>
      </c>
      <c r="K22" s="3510">
        <v>9.3797726963334702E-2</v>
      </c>
      <c r="L22" s="3512">
        <v>2.0274522594691765E-3</v>
      </c>
      <c r="M22" s="482"/>
    </row>
    <row r="23" spans="2:13" ht="18" customHeight="1" x14ac:dyDescent="0.2">
      <c r="B23" s="923" t="s">
        <v>1274</v>
      </c>
      <c r="C23" s="4368"/>
      <c r="D23" s="298"/>
      <c r="E23" s="5" t="s">
        <v>2250</v>
      </c>
      <c r="F23" s="3681">
        <f>F24</f>
        <v>7329.1088951199854</v>
      </c>
      <c r="G23" s="3666" t="str">
        <f t="shared" si="2"/>
        <v>NA</v>
      </c>
      <c r="H23" s="3667">
        <f t="shared" si="3"/>
        <v>0.13416261757976611</v>
      </c>
      <c r="I23" s="3668">
        <f t="shared" si="4"/>
        <v>1.3211574111237339E-3</v>
      </c>
      <c r="J23" s="3505" t="str">
        <f>J24</f>
        <v>IE</v>
      </c>
      <c r="K23" s="3505">
        <f>K24</f>
        <v>0.98329243389644483</v>
      </c>
      <c r="L23" s="3508">
        <f>L24</f>
        <v>9.6829065337206491E-3</v>
      </c>
      <c r="M23" s="482"/>
    </row>
    <row r="24" spans="2:13" ht="18" customHeight="1" thickBot="1" x14ac:dyDescent="0.25">
      <c r="B24" s="938"/>
      <c r="C24" s="4369" t="s">
        <v>2251</v>
      </c>
      <c r="D24" s="939" t="s">
        <v>940</v>
      </c>
      <c r="E24" s="940" t="s">
        <v>2250</v>
      </c>
      <c r="F24" s="3656">
        <v>7329.1088951199854</v>
      </c>
      <c r="G24" s="3669" t="str">
        <f t="shared" si="2"/>
        <v>NA</v>
      </c>
      <c r="H24" s="3670">
        <f t="shared" si="3"/>
        <v>0.13416261757976611</v>
      </c>
      <c r="I24" s="3671">
        <f t="shared" si="4"/>
        <v>1.3211574111237339E-3</v>
      </c>
      <c r="J24" s="3513" t="s">
        <v>2153</v>
      </c>
      <c r="K24" s="3514">
        <v>0.98329243389644483</v>
      </c>
      <c r="L24" s="3515">
        <v>9.6829065337206491E-3</v>
      </c>
      <c r="M24" s="482"/>
    </row>
    <row r="25" spans="2:13" ht="18" customHeight="1" x14ac:dyDescent="0.2">
      <c r="B25" s="933" t="s">
        <v>1986</v>
      </c>
      <c r="C25" s="4370"/>
      <c r="D25" s="2850"/>
      <c r="E25" s="935" t="s">
        <v>2250</v>
      </c>
      <c r="F25" s="3683">
        <f>IF(SUM(F26,F31)=0,"IE",SUM(F26,F31))</f>
        <v>18844</v>
      </c>
      <c r="G25" s="3660" t="str">
        <f t="shared" si="2"/>
        <v>NA</v>
      </c>
      <c r="H25" s="3661">
        <f t="shared" si="3"/>
        <v>0.10893992782848652</v>
      </c>
      <c r="I25" s="3662">
        <f t="shared" si="4"/>
        <v>2.0138756102738276E-3</v>
      </c>
      <c r="J25" s="3502" t="str">
        <f>IF(SUM(J26,J31)=0,"IE",SUM(J26,J31))</f>
        <v>IE</v>
      </c>
      <c r="K25" s="3503">
        <f>IF(SUM(K26,K31)=0,"IE",SUM(K26,K31))</f>
        <v>2.052864</v>
      </c>
      <c r="L25" s="3504">
        <f>IF(SUM(L26,L31)=0,"IE",SUM(L26,L31))</f>
        <v>3.7949472000000005E-2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18844</v>
      </c>
      <c r="G31" s="3663" t="str">
        <f t="shared" si="2"/>
        <v>NA</v>
      </c>
      <c r="H31" s="3664">
        <f t="shared" si="3"/>
        <v>0.10893992782848652</v>
      </c>
      <c r="I31" s="3665">
        <f t="shared" si="4"/>
        <v>2.0138756102738276E-3</v>
      </c>
      <c r="J31" s="3505" t="str">
        <f>IF(SUM(J32,J34)=0,"IE",SUM(J32,J34))</f>
        <v>IE</v>
      </c>
      <c r="K31" s="3505">
        <f t="shared" ref="K31:L31" si="6">IF(SUM(K32,K34)=0,"IE",SUM(K32,K34))</f>
        <v>2.052864</v>
      </c>
      <c r="L31" s="3508">
        <f t="shared" si="6"/>
        <v>3.7949472000000005E-2</v>
      </c>
    </row>
    <row r="32" spans="2:13" ht="18" customHeight="1" x14ac:dyDescent="0.2">
      <c r="B32" s="923" t="s">
        <v>1278</v>
      </c>
      <c r="C32" s="4368"/>
      <c r="D32" s="298"/>
      <c r="E32" s="5" t="s">
        <v>2250</v>
      </c>
      <c r="F32" s="3681">
        <f>F33</f>
        <v>18844</v>
      </c>
      <c r="G32" s="3663" t="str">
        <f t="shared" si="2"/>
        <v>NA</v>
      </c>
      <c r="H32" s="3664">
        <f t="shared" si="3"/>
        <v>0.10893992782848652</v>
      </c>
      <c r="I32" s="3665">
        <f t="shared" si="4"/>
        <v>2.0138756102738276E-3</v>
      </c>
      <c r="J32" s="3505" t="str">
        <f>J33</f>
        <v>IE</v>
      </c>
      <c r="K32" s="3505">
        <f>K33</f>
        <v>2.052864</v>
      </c>
      <c r="L32" s="3508">
        <f>L33</f>
        <v>3.7949472000000005E-2</v>
      </c>
      <c r="M32" s="482"/>
    </row>
    <row r="33" spans="2:13" ht="18" customHeight="1" x14ac:dyDescent="0.2">
      <c r="B33" s="923"/>
      <c r="C33" s="4367" t="s">
        <v>2252</v>
      </c>
      <c r="D33" s="542" t="s">
        <v>940</v>
      </c>
      <c r="E33" s="543" t="s">
        <v>2250</v>
      </c>
      <c r="F33" s="3654">
        <v>18844</v>
      </c>
      <c r="G33" s="3666" t="str">
        <f t="shared" si="2"/>
        <v>NA</v>
      </c>
      <c r="H33" s="3667">
        <f t="shared" si="3"/>
        <v>0.10893992782848652</v>
      </c>
      <c r="I33" s="3668">
        <f t="shared" si="4"/>
        <v>2.0138756102738276E-3</v>
      </c>
      <c r="J33" s="3509" t="s">
        <v>2153</v>
      </c>
      <c r="K33" s="3510">
        <v>2.052864</v>
      </c>
      <c r="L33" s="3511">
        <v>3.7949472000000005E-2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26685233.30214252</v>
      </c>
      <c r="G36" s="3660" t="str">
        <f t="shared" si="2"/>
        <v>NA</v>
      </c>
      <c r="H36" s="3661">
        <f t="shared" ref="H36" si="7">IF(SUM($F36)=0,"NA",K36*1000/$F36)</f>
        <v>1.2141055807318835E-2</v>
      </c>
      <c r="I36" s="3662">
        <f t="shared" ref="I36" si="8">IF(SUM($F36)=0,"NA",L36*1000/$F36)</f>
        <v>3.4112193721036346E-4</v>
      </c>
      <c r="J36" s="3502" t="str">
        <f>IF(SUM(J37,J42)=0,"IE",SUM(J37,J42))</f>
        <v>IE</v>
      </c>
      <c r="K36" s="3503">
        <f>IF(SUM(K37,K42)=0,"NO",SUM(K37,K42))</f>
        <v>323.98690675263538</v>
      </c>
      <c r="L36" s="3504">
        <f>IF(SUM(L37,L42)=0,"NO",SUM(L37,L42))</f>
        <v>9.1029184789373616</v>
      </c>
      <c r="M36" s="482"/>
    </row>
    <row r="37" spans="2:13" ht="18" customHeight="1" x14ac:dyDescent="0.2">
      <c r="B37" s="903" t="s">
        <v>1876</v>
      </c>
      <c r="C37" s="4368"/>
      <c r="D37" s="298"/>
      <c r="E37" s="5" t="s">
        <v>2250</v>
      </c>
      <c r="F37" s="3680">
        <f>IF(SUM(F38,F40)=0,"NO",SUM(F38,F40))</f>
        <v>26189213.276725352</v>
      </c>
      <c r="G37" s="3666" t="str">
        <f t="shared" si="2"/>
        <v>NA</v>
      </c>
      <c r="H37" s="3664">
        <f t="shared" si="3"/>
        <v>9.7948945100722641E-3</v>
      </c>
      <c r="I37" s="3665">
        <f t="shared" si="4"/>
        <v>2.9974819891193821E-4</v>
      </c>
      <c r="J37" s="3505" t="str">
        <f>IF(SUM(J38,J40)=0,"IE",SUM(J38,J40))</f>
        <v>IE</v>
      </c>
      <c r="K37" s="3506">
        <f>IF(SUM(K38,K40)=0,"NO",SUM(K38,K40))</f>
        <v>256.52058134730879</v>
      </c>
      <c r="L37" s="3507">
        <f>IF(SUM(L38,L40)=0,"NO",SUM(L38,L40))</f>
        <v>7.8501695106190432</v>
      </c>
    </row>
    <row r="38" spans="2:13" ht="18" customHeight="1" x14ac:dyDescent="0.2">
      <c r="B38" s="923" t="s">
        <v>1280</v>
      </c>
      <c r="C38" s="4368"/>
      <c r="D38" s="298"/>
      <c r="E38" s="5" t="s">
        <v>2250</v>
      </c>
      <c r="F38" s="3681">
        <f>F39</f>
        <v>26189213.276725352</v>
      </c>
      <c r="G38" s="3666" t="str">
        <f t="shared" si="2"/>
        <v>NA</v>
      </c>
      <c r="H38" s="3667">
        <f t="shared" si="3"/>
        <v>9.7948945100722641E-3</v>
      </c>
      <c r="I38" s="3668">
        <f t="shared" si="4"/>
        <v>2.9974819891193821E-4</v>
      </c>
      <c r="J38" s="3505" t="str">
        <f>J39</f>
        <v>IE</v>
      </c>
      <c r="K38" s="3505">
        <f>K39</f>
        <v>256.52058134730879</v>
      </c>
      <c r="L38" s="3508">
        <f>L39</f>
        <v>7.8501695106190432</v>
      </c>
      <c r="M38" s="482"/>
    </row>
    <row r="39" spans="2:13" ht="18" customHeight="1" x14ac:dyDescent="0.2">
      <c r="B39" s="923"/>
      <c r="C39" s="4367" t="s">
        <v>2263</v>
      </c>
      <c r="D39" s="542" t="s">
        <v>940</v>
      </c>
      <c r="E39" s="543" t="s">
        <v>2250</v>
      </c>
      <c r="F39" s="3655">
        <v>26189213.276725352</v>
      </c>
      <c r="G39" s="3666" t="str">
        <f t="shared" si="2"/>
        <v>NA</v>
      </c>
      <c r="H39" s="3667">
        <f t="shared" ref="H39:H40" si="9">IF(SUM($F39)=0,"NA",K39*1000/$F39)</f>
        <v>9.7948945100722641E-3</v>
      </c>
      <c r="I39" s="3668">
        <f t="shared" ref="I39:I40" si="10">IF(SUM($F39)=0,"NA",L39*1000/$F39)</f>
        <v>2.9974819891193821E-4</v>
      </c>
      <c r="J39" s="3509" t="s">
        <v>2153</v>
      </c>
      <c r="K39" s="3510">
        <v>256.52058134730879</v>
      </c>
      <c r="L39" s="3512">
        <v>7.8501695106190432</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496020.02541716699</v>
      </c>
      <c r="G42" s="3663" t="str">
        <f t="shared" si="2"/>
        <v>NA</v>
      </c>
      <c r="H42" s="3664">
        <f t="shared" si="11"/>
        <v>0.13601532589049298</v>
      </c>
      <c r="I42" s="3665">
        <f t="shared" si="12"/>
        <v>2.5256015969611734E-3</v>
      </c>
      <c r="J42" s="3505" t="str">
        <f>IF(SUM(J43,J46)=0,"IE",SUM(J43,J46))</f>
        <v>IE</v>
      </c>
      <c r="K42" s="3506">
        <f>IF(SUM(K43,K46)=0,"NO",SUM(K43,K46))</f>
        <v>67.466325405326586</v>
      </c>
      <c r="L42" s="3507">
        <f>IF(SUM(L43,L46)=0,"NO",SUM(L43,L46))</f>
        <v>1.2527489683183186</v>
      </c>
    </row>
    <row r="43" spans="2:13" ht="18" customHeight="1" x14ac:dyDescent="0.2">
      <c r="B43" s="923" t="s">
        <v>1283</v>
      </c>
      <c r="C43" s="4368"/>
      <c r="D43" s="298"/>
      <c r="E43" s="5" t="s">
        <v>2250</v>
      </c>
      <c r="F43" s="3681">
        <f>IF(SUM(F44:F45)=0,"NO",SUM(F44:F45))</f>
        <v>496020.02541716699</v>
      </c>
      <c r="G43" s="3666" t="str">
        <f t="shared" si="2"/>
        <v>NA</v>
      </c>
      <c r="H43" s="3667">
        <f t="shared" ref="H43" si="13">IF(SUM($F43)=0,"NA",K43*1000/$F43)</f>
        <v>0.13601532589049298</v>
      </c>
      <c r="I43" s="3668">
        <f t="shared" ref="I43" si="14">IF(SUM($F43)=0,"NA",L43*1000/$F43)</f>
        <v>2.5256015969611734E-3</v>
      </c>
      <c r="J43" s="3505" t="str">
        <f>IF(SUM(J44:J45)=0,"IE",SUM(J44:J45))</f>
        <v>IE</v>
      </c>
      <c r="K43" s="3505">
        <f>IF(SUM(K44:K45)=0,"NO",SUM(K44:K45))</f>
        <v>67.466325405326586</v>
      </c>
      <c r="L43" s="3508">
        <f>IF(SUM(L44:L45)=0,"NO",SUM(L44:L45))</f>
        <v>1.2527489683183186</v>
      </c>
      <c r="M43" s="482"/>
    </row>
    <row r="44" spans="2:13" ht="18" customHeight="1" x14ac:dyDescent="0.2">
      <c r="B44" s="923"/>
      <c r="C44" s="4367" t="s">
        <v>2252</v>
      </c>
      <c r="D44" s="542" t="s">
        <v>940</v>
      </c>
      <c r="E44" s="543" t="s">
        <v>2250</v>
      </c>
      <c r="F44" s="3655">
        <v>435720.34955491195</v>
      </c>
      <c r="G44" s="3666" t="str">
        <f t="shared" si="2"/>
        <v>NA</v>
      </c>
      <c r="H44" s="3667">
        <f t="shared" ref="H44:H46" si="15">IF(SUM($F44)=0,"NA",K44*1000/$F44)</f>
        <v>0.15245526749308974</v>
      </c>
      <c r="I44" s="3668">
        <f t="shared" ref="I44:I46" si="16">IF(SUM($F44)=0,"NA",L44*1000/$F44)</f>
        <v>2.8183050143514221E-3</v>
      </c>
      <c r="J44" s="3509" t="s">
        <v>2153</v>
      </c>
      <c r="K44" s="3510">
        <v>66.427862443576672</v>
      </c>
      <c r="L44" s="3512">
        <v>1.2279928460055627</v>
      </c>
      <c r="M44" s="482"/>
    </row>
    <row r="45" spans="2:13" ht="18" customHeight="1" x14ac:dyDescent="0.2">
      <c r="B45" s="923"/>
      <c r="C45" s="4367" t="s">
        <v>2263</v>
      </c>
      <c r="D45" s="542" t="s">
        <v>940</v>
      </c>
      <c r="E45" s="543" t="s">
        <v>2250</v>
      </c>
      <c r="F45" s="3655">
        <v>60299.675862255019</v>
      </c>
      <c r="G45" s="3666" t="str">
        <f t="shared" si="2"/>
        <v>NA</v>
      </c>
      <c r="H45" s="3667">
        <f t="shared" si="15"/>
        <v>1.7221700563069629E-2</v>
      </c>
      <c r="I45" s="3668">
        <f t="shared" si="16"/>
        <v>4.1055149897169214E-4</v>
      </c>
      <c r="J45" s="3509" t="s">
        <v>2153</v>
      </c>
      <c r="K45" s="3510">
        <v>1.0384629617499133</v>
      </c>
      <c r="L45" s="3512">
        <v>2.4756122312755958E-2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767812.36538223294</v>
      </c>
      <c r="G48" s="3660" t="str">
        <f t="shared" si="2"/>
        <v>NA</v>
      </c>
      <c r="H48" s="3661">
        <f t="shared" si="17"/>
        <v>2.5302221512828446E-2</v>
      </c>
      <c r="I48" s="3662">
        <f t="shared" si="18"/>
        <v>5.1474351039623733E-4</v>
      </c>
      <c r="J48" s="3502" t="str">
        <f>IF(SUM(J49,J54)=0,"IE",SUM(J49,J54))</f>
        <v>IE</v>
      </c>
      <c r="K48" s="3503">
        <f>IF(SUM(K49,K54)=0,"NO",SUM(K49,K54))</f>
        <v>19.427358549190032</v>
      </c>
      <c r="L48" s="3504">
        <f>IF(SUM(L49,L54)=0,"NO",SUM(L49,L54))</f>
        <v>0.39522643228248899</v>
      </c>
      <c r="M48" s="482"/>
    </row>
    <row r="49" spans="2:13" ht="18" customHeight="1" x14ac:dyDescent="0.2">
      <c r="B49" s="903" t="s">
        <v>1285</v>
      </c>
      <c r="C49" s="4368"/>
      <c r="D49" s="298"/>
      <c r="E49" s="5" t="s">
        <v>2250</v>
      </c>
      <c r="F49" s="3680">
        <f>IF(SUM(F50,F52)=0,"NO",SUM(F50,F52))</f>
        <v>767812.36538223294</v>
      </c>
      <c r="G49" s="3663" t="str">
        <f t="shared" si="2"/>
        <v>NA</v>
      </c>
      <c r="H49" s="3664">
        <f t="shared" si="17"/>
        <v>2.5302221512828446E-2</v>
      </c>
      <c r="I49" s="3665">
        <f t="shared" si="18"/>
        <v>5.1474351039623733E-4</v>
      </c>
      <c r="J49" s="3505" t="str">
        <f>IF(SUM(J50,J52)=0,"IE",SUM(J50,J52))</f>
        <v>IE</v>
      </c>
      <c r="K49" s="3506">
        <f>IF(SUM(K50,K52)=0,"NO",SUM(K50,K52))</f>
        <v>19.427358549190032</v>
      </c>
      <c r="L49" s="3507">
        <f>IF(SUM(L50,L52)=0,"NO",SUM(L50,L52))</f>
        <v>0.39522643228248899</v>
      </c>
    </row>
    <row r="50" spans="2:13" ht="18" customHeight="1" x14ac:dyDescent="0.2">
      <c r="B50" s="923" t="s">
        <v>1286</v>
      </c>
      <c r="C50" s="4368"/>
      <c r="D50" s="298"/>
      <c r="E50" s="5" t="s">
        <v>2250</v>
      </c>
      <c r="F50" s="3681">
        <f>F51</f>
        <v>767812.36538223294</v>
      </c>
      <c r="G50" s="3666" t="str">
        <f t="shared" si="2"/>
        <v>NA</v>
      </c>
      <c r="H50" s="3667">
        <f t="shared" si="17"/>
        <v>2.5302221512828446E-2</v>
      </c>
      <c r="I50" s="3668">
        <f t="shared" si="18"/>
        <v>5.1474351039623733E-4</v>
      </c>
      <c r="J50" s="3505" t="str">
        <f>J51</f>
        <v>IE</v>
      </c>
      <c r="K50" s="3505">
        <f>K51</f>
        <v>19.427358549190032</v>
      </c>
      <c r="L50" s="3508">
        <f>L51</f>
        <v>0.39522643228248899</v>
      </c>
      <c r="M50" s="482"/>
    </row>
    <row r="51" spans="2:13" ht="18" customHeight="1" x14ac:dyDescent="0.2">
      <c r="B51" s="923"/>
      <c r="C51" s="4367" t="s">
        <v>2263</v>
      </c>
      <c r="D51" s="542" t="s">
        <v>940</v>
      </c>
      <c r="E51" s="543" t="s">
        <v>2250</v>
      </c>
      <c r="F51" s="3655">
        <v>767812.36538223294</v>
      </c>
      <c r="G51" s="3666" t="str">
        <f t="shared" si="2"/>
        <v>NA</v>
      </c>
      <c r="H51" s="3667">
        <f t="shared" si="17"/>
        <v>2.5302221512828446E-2</v>
      </c>
      <c r="I51" s="3668">
        <f t="shared" si="18"/>
        <v>5.1474351039623733E-4</v>
      </c>
      <c r="J51" s="3509" t="s">
        <v>2153</v>
      </c>
      <c r="K51" s="3510">
        <v>19.427358549190032</v>
      </c>
      <c r="L51" s="3512">
        <v>0.39522643228248899</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17982</v>
      </c>
      <c r="G59" s="3660" t="str">
        <f t="shared" si="2"/>
        <v>NA</v>
      </c>
      <c r="H59" s="3661">
        <f t="shared" si="3"/>
        <v>0.16717397397397396</v>
      </c>
      <c r="I59" s="3662">
        <f t="shared" si="4"/>
        <v>3.0903966577688802E-3</v>
      </c>
      <c r="J59" s="3502" t="str">
        <f>IF(SUM(J60,J65)=0,"IE",SUM(J60,J65))</f>
        <v>IE</v>
      </c>
      <c r="K59" s="3503">
        <f>IF(SUM(K60,K65)=0,"NO",SUM(K60,K65))</f>
        <v>3.0061223999999998</v>
      </c>
      <c r="L59" s="3504">
        <f>IF(SUM(L60,L65)=0,"NO",SUM(L60,L65))</f>
        <v>5.5571512700000006E-2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17982</v>
      </c>
      <c r="G65" s="3663" t="str">
        <f t="shared" si="2"/>
        <v>NA</v>
      </c>
      <c r="H65" s="3664">
        <f t="shared" si="3"/>
        <v>0.16717397397397396</v>
      </c>
      <c r="I65" s="3665">
        <f t="shared" si="4"/>
        <v>3.0903966577688802E-3</v>
      </c>
      <c r="J65" s="3505" t="str">
        <f>IF(SUM(J66,J68)=0,"IE",SUM(J66,J68))</f>
        <v>IE</v>
      </c>
      <c r="K65" s="3506">
        <f>IF(SUM(K66,K68)=0,"NO",SUM(K66,K68))</f>
        <v>3.0061223999999998</v>
      </c>
      <c r="L65" s="3507">
        <f>IF(SUM(L66,L68)=0,"NO",SUM(L66,L68))</f>
        <v>5.5571512700000006E-2</v>
      </c>
    </row>
    <row r="66" spans="2:13" ht="18" customHeight="1" x14ac:dyDescent="0.2">
      <c r="B66" s="923" t="s">
        <v>1294</v>
      </c>
      <c r="C66" s="4368"/>
      <c r="D66" s="298"/>
      <c r="E66" s="5" t="s">
        <v>2250</v>
      </c>
      <c r="F66" s="3681">
        <f>F67</f>
        <v>17982</v>
      </c>
      <c r="G66" s="3666" t="str">
        <f t="shared" si="2"/>
        <v>NA</v>
      </c>
      <c r="H66" s="3667">
        <f t="shared" si="3"/>
        <v>0.16717397397397396</v>
      </c>
      <c r="I66" s="3668">
        <f t="shared" si="4"/>
        <v>3.0903966577688802E-3</v>
      </c>
      <c r="J66" s="3505" t="str">
        <f>J67</f>
        <v>IE</v>
      </c>
      <c r="K66" s="3505">
        <f>K67</f>
        <v>3.0061223999999998</v>
      </c>
      <c r="L66" s="3508">
        <f>L67</f>
        <v>5.5571512700000006E-2</v>
      </c>
      <c r="M66" s="482"/>
    </row>
    <row r="67" spans="2:13" ht="18" customHeight="1" x14ac:dyDescent="0.2">
      <c r="B67" s="923"/>
      <c r="C67" s="4367" t="s">
        <v>2252</v>
      </c>
      <c r="D67" s="542" t="s">
        <v>940</v>
      </c>
      <c r="E67" s="543" t="s">
        <v>2250</v>
      </c>
      <c r="F67" s="3655">
        <v>17982</v>
      </c>
      <c r="G67" s="3666" t="str">
        <f t="shared" si="2"/>
        <v>NA</v>
      </c>
      <c r="H67" s="3667">
        <f t="shared" ref="H67:H68" si="23">IF(SUM($F67)=0,"NA",K67*1000/$F67)</f>
        <v>0.16717397397397396</v>
      </c>
      <c r="I67" s="3668">
        <f t="shared" ref="I67:I68" si="24">IF(SUM($F67)=0,"NA",L67*1000/$F67)</f>
        <v>3.0903966577688802E-3</v>
      </c>
      <c r="J67" s="3509" t="s">
        <v>2153</v>
      </c>
      <c r="K67" s="3510">
        <v>3.0061223999999998</v>
      </c>
      <c r="L67" s="3512">
        <v>5.5571512700000006E-2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4730.2986510745513</v>
      </c>
      <c r="D10" s="3521">
        <f>IF(SUM(D11,D16:D17)=0,"NO",SUM(D11,D16:D17))</f>
        <v>-3431.1914368878492</v>
      </c>
      <c r="E10" s="3522"/>
      <c r="F10" s="3523">
        <f>IF(SUM(F11,F16:F17)=0,"NO",SUM(F11,F16:F17))</f>
        <v>1299.1072141867016</v>
      </c>
      <c r="G10" s="3524">
        <f>IF(SUM(G11,G16:G17)=0,"NO",SUM(G11,G16:G17))</f>
        <v>-4763.393118684573</v>
      </c>
      <c r="H10" s="226"/>
      <c r="I10" s="2"/>
      <c r="J10" s="2"/>
    </row>
    <row r="11" spans="1:10" ht="18" customHeight="1" x14ac:dyDescent="0.2">
      <c r="B11" s="606" t="s">
        <v>1314</v>
      </c>
      <c r="C11" s="3525">
        <f>IF(SUM(C13:C15)=0,"NO",SUM(C13:C15))</f>
        <v>1469.8064329141703</v>
      </c>
      <c r="D11" s="3526">
        <f>IF(SUM(D13:D15)=0,"NO",SUM(D13:D15))</f>
        <v>-755.55190686790002</v>
      </c>
      <c r="E11" s="3527"/>
      <c r="F11" s="3528">
        <f>IF(SUM(F13:F15)=0,"NO",SUM(F13:F15))</f>
        <v>714.25452604627026</v>
      </c>
      <c r="G11" s="3529">
        <f>IF(SUM(G13:G15)=0,"NO",SUM(G13:G15))</f>
        <v>-2618.9332621696576</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994.38215412932527</v>
      </c>
      <c r="D13" s="3534">
        <f>F13-C13</f>
        <v>-462.6826687701066</v>
      </c>
      <c r="E13" s="3535" t="s">
        <v>2147</v>
      </c>
      <c r="F13" s="3536">
        <f>G13/(-44/12)</f>
        <v>531.69948535921867</v>
      </c>
      <c r="G13" s="3537">
        <v>-1949.5647796504684</v>
      </c>
      <c r="H13" s="226"/>
      <c r="I13" s="2"/>
      <c r="J13" s="2"/>
    </row>
    <row r="14" spans="1:10" ht="18" customHeight="1" x14ac:dyDescent="0.2">
      <c r="B14" s="1193" t="s">
        <v>1316</v>
      </c>
      <c r="C14" s="3538">
        <v>475.42427878484506</v>
      </c>
      <c r="D14" s="3539">
        <f>F14-C14</f>
        <v>-292.86923809779347</v>
      </c>
      <c r="E14" s="3235" t="s">
        <v>2147</v>
      </c>
      <c r="F14" s="3540">
        <f>G14/(-44/12)</f>
        <v>182.55504068705159</v>
      </c>
      <c r="G14" s="3537">
        <v>-669.36848251918912</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2088.3851735759081</v>
      </c>
      <c r="D16" s="3539">
        <f>F16-C16</f>
        <v>-2117.8796510487755</v>
      </c>
      <c r="E16" s="3235" t="s">
        <v>2147</v>
      </c>
      <c r="F16" s="3540">
        <f>G16/(-44/12)</f>
        <v>-29.494477472867629</v>
      </c>
      <c r="G16" s="3537">
        <v>108.14641740051464</v>
      </c>
      <c r="H16" s="226"/>
      <c r="I16" s="2"/>
      <c r="J16" s="2"/>
    </row>
    <row r="17" spans="2:10" ht="18" customHeight="1" x14ac:dyDescent="0.2">
      <c r="B17" s="1197" t="s">
        <v>1320</v>
      </c>
      <c r="C17" s="3542">
        <f>C18</f>
        <v>1172.1070445844728</v>
      </c>
      <c r="D17" s="3543">
        <f t="shared" ref="D17:F17" si="0">D18</f>
        <v>-557.75987897117375</v>
      </c>
      <c r="E17" s="3544"/>
      <c r="F17" s="3226">
        <f t="shared" si="0"/>
        <v>614.34716561329901</v>
      </c>
      <c r="G17" s="3537">
        <f>-F17*44/12</f>
        <v>-2252.6062739154299</v>
      </c>
      <c r="H17" s="226"/>
      <c r="I17" s="2"/>
      <c r="J17" s="2"/>
    </row>
    <row r="18" spans="2:10" ht="18" customHeight="1" thickBot="1" x14ac:dyDescent="0.25">
      <c r="B18" s="561" t="s">
        <v>2254</v>
      </c>
      <c r="C18" s="3545">
        <v>1172.1070445844728</v>
      </c>
      <c r="D18" s="3546">
        <f>F18-C18</f>
        <v>-557.75987897117375</v>
      </c>
      <c r="E18" s="3238" t="s">
        <v>2147</v>
      </c>
      <c r="F18" s="3547">
        <f>G18/(-44/12)</f>
        <v>614.34716561329901</v>
      </c>
      <c r="G18" s="3548">
        <v>-2252.6062739154295</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30.577141562580699</v>
      </c>
      <c r="D10" s="4371">
        <f t="shared" ref="D10:I10" si="0">IF(SUM(D11,D15,D18,D21)=0,"NO",SUM(D11,D15,D18,D21))</f>
        <v>565.77498629804882</v>
      </c>
      <c r="E10" s="4371">
        <f t="shared" si="0"/>
        <v>1.2616847310806687</v>
      </c>
      <c r="F10" s="4371" t="str">
        <f t="shared" si="0"/>
        <v>NO</v>
      </c>
      <c r="G10" s="4371" t="str">
        <f t="shared" si="0"/>
        <v>NO</v>
      </c>
      <c r="H10" s="4371">
        <f t="shared" si="0"/>
        <v>251.63993841302843</v>
      </c>
      <c r="I10" s="4372" t="str">
        <f t="shared" si="0"/>
        <v>NO</v>
      </c>
      <c r="J10" s="4373">
        <f>IF(SUM(C10:E10)=0,"NO",SUM(C10,IFERROR(28*D10,0),IFERROR(265*E10,0)))</f>
        <v>16206.623211644324</v>
      </c>
    </row>
    <row r="11" spans="1:10" ht="18" customHeight="1" x14ac:dyDescent="0.2">
      <c r="B11" s="1504" t="s">
        <v>1371</v>
      </c>
      <c r="C11" s="4374"/>
      <c r="D11" s="2883">
        <f>IF(SUM(D12:D14)=0,"NO",SUM(D12:D14))</f>
        <v>452.77203310000004</v>
      </c>
      <c r="E11" s="4374"/>
      <c r="F11" s="2883" t="str">
        <f>IF(SUM(F12:F14)=0,"NO",SUM(F12:F14))</f>
        <v>NO</v>
      </c>
      <c r="G11" s="2883" t="str">
        <f t="shared" ref="G11:H11" si="1">IF(SUM(G12:G14)=0,"NO",SUM(G12:G14))</f>
        <v>NO</v>
      </c>
      <c r="H11" s="2883">
        <f t="shared" si="1"/>
        <v>2.9658500587683405</v>
      </c>
      <c r="I11" s="2153"/>
      <c r="J11" s="2872">
        <f t="shared" ref="J11:J18" si="2">IF(SUM(C11:E11)=0,"NO",SUM(C11,IFERROR(28*D11,0),IFERROR(265*E11,0)))</f>
        <v>12677.616926800001</v>
      </c>
    </row>
    <row r="12" spans="1:10" ht="18" customHeight="1" x14ac:dyDescent="0.2">
      <c r="B12" s="1270" t="s">
        <v>1372</v>
      </c>
      <c r="C12" s="4375"/>
      <c r="D12" s="4376">
        <f>IF(SUM(Table5.A!F10:H10)=0,"NO",SUM(Table5.A!F10))</f>
        <v>452.77203310000004</v>
      </c>
      <c r="E12" s="4375"/>
      <c r="F12" s="4377" t="s">
        <v>2147</v>
      </c>
      <c r="G12" s="4377" t="s">
        <v>2147</v>
      </c>
      <c r="H12" s="4377">
        <v>2.9658500587683405</v>
      </c>
      <c r="I12" s="4378"/>
      <c r="J12" s="4379">
        <f t="shared" si="2"/>
        <v>12677.616926800001</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3.0080040074999994</v>
      </c>
      <c r="E15" s="2881">
        <f t="shared" ref="E15" si="3">IF(SUM(E16:E17)=0,"NO",SUM(E16:E17))</f>
        <v>0.38502451296000006</v>
      </c>
      <c r="F15" s="2881" t="s">
        <v>2256</v>
      </c>
      <c r="G15" s="2881" t="s">
        <v>2256</v>
      </c>
      <c r="H15" s="2881" t="s">
        <v>2256</v>
      </c>
      <c r="I15" s="4386"/>
      <c r="J15" s="2873">
        <f t="shared" si="2"/>
        <v>186.25560814440001</v>
      </c>
    </row>
    <row r="16" spans="1:10" ht="18" customHeight="1" x14ac:dyDescent="0.2">
      <c r="B16" s="1883" t="s">
        <v>1376</v>
      </c>
      <c r="C16" s="4387"/>
      <c r="D16" s="4376">
        <f>Table5.B!F10</f>
        <v>3.0080040074999994</v>
      </c>
      <c r="E16" s="4376">
        <f>Table5.B!G10</f>
        <v>0.38502451296000006</v>
      </c>
      <c r="F16" s="4388" t="s">
        <v>2147</v>
      </c>
      <c r="G16" s="4388" t="s">
        <v>2147</v>
      </c>
      <c r="H16" s="4388" t="s">
        <v>2147</v>
      </c>
      <c r="I16" s="4378"/>
      <c r="J16" s="4379">
        <f t="shared" si="2"/>
        <v>186.25560814440001</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30.577141562580699</v>
      </c>
      <c r="D18" s="2871" t="str">
        <f>IF(SUM(D19:D20)=0,"NO,NE",SUM(D19:D20))</f>
        <v>NO,NE</v>
      </c>
      <c r="E18" s="2871" t="str">
        <f>IF(SUM(E19:E20)=0,"NO,NE",SUM(E19:E20))</f>
        <v>NO,NE</v>
      </c>
      <c r="F18" s="2871" t="s">
        <v>2147</v>
      </c>
      <c r="G18" s="2871" t="s">
        <v>2147</v>
      </c>
      <c r="H18" s="2871" t="s">
        <v>2147</v>
      </c>
      <c r="I18" s="2871" t="s">
        <v>2147</v>
      </c>
      <c r="J18" s="2874">
        <f t="shared" si="2"/>
        <v>30.577141562580699</v>
      </c>
    </row>
    <row r="19" spans="2:12" ht="18" customHeight="1" x14ac:dyDescent="0.2">
      <c r="B19" s="1270" t="s">
        <v>1379</v>
      </c>
      <c r="C19" s="4376">
        <f>Table5.C!G10</f>
        <v>30.577141562580699</v>
      </c>
      <c r="D19" s="4376" t="str">
        <f>Table5.C!H10</f>
        <v>NO,NE</v>
      </c>
      <c r="E19" s="4376" t="str">
        <f>Table5.C!I10</f>
        <v>NO,NE</v>
      </c>
      <c r="F19" s="4391" t="s">
        <v>2147</v>
      </c>
      <c r="G19" s="4391" t="s">
        <v>2147</v>
      </c>
      <c r="H19" s="4391" t="s">
        <v>2147</v>
      </c>
      <c r="I19" s="4391" t="s">
        <v>2147</v>
      </c>
      <c r="J19" s="4379">
        <f>IF(SUM(C19:E19)=0,"NO",SUM(C19,IFERROR(28*D19,0),IFERROR(265*E19,0)))</f>
        <v>30.577141562580699</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109.99494919054877</v>
      </c>
      <c r="E21" s="2871">
        <f t="shared" ref="E21:H21" si="5">IF(SUM(E22:E24)=0,"NO",SUM(E22:E24))</f>
        <v>0.87666021812066863</v>
      </c>
      <c r="F21" s="2871" t="str">
        <f t="shared" si="5"/>
        <v>NO</v>
      </c>
      <c r="G21" s="2871" t="str">
        <f t="shared" si="5"/>
        <v>NO</v>
      </c>
      <c r="H21" s="2871">
        <f t="shared" si="5"/>
        <v>248.67408835426008</v>
      </c>
      <c r="I21" s="4393"/>
      <c r="J21" s="2874">
        <f t="shared" si="4"/>
        <v>3312.1735351373422</v>
      </c>
    </row>
    <row r="22" spans="2:12" ht="18" customHeight="1" x14ac:dyDescent="0.2">
      <c r="B22" s="1270" t="s">
        <v>1382</v>
      </c>
      <c r="C22" s="4394"/>
      <c r="D22" s="4376">
        <f>IF(SUM(Table5.D!H10)=0,"NO",SUM(Table5.D!H10))</f>
        <v>56.032276878060486</v>
      </c>
      <c r="E22" s="4376">
        <f>IF(SUM(Table5.D!I10:J10)=0,"NO",SUM(Table5.D!I10:J10))</f>
        <v>0.87666021812066863</v>
      </c>
      <c r="F22" s="4377" t="s">
        <v>2147</v>
      </c>
      <c r="G22" s="4377" t="s">
        <v>2147</v>
      </c>
      <c r="H22" s="4377">
        <v>7.2088662660692924</v>
      </c>
      <c r="I22" s="4378"/>
      <c r="J22" s="4379">
        <f t="shared" si="4"/>
        <v>1801.2187103876709</v>
      </c>
    </row>
    <row r="23" spans="2:12" ht="18" customHeight="1" x14ac:dyDescent="0.2">
      <c r="B23" s="1270" t="s">
        <v>1383</v>
      </c>
      <c r="C23" s="4394"/>
      <c r="D23" s="4376">
        <f>IF(SUM(Table5.D!H11)=0,"NO",SUM(Table5.D!H11))</f>
        <v>53.962672312488273</v>
      </c>
      <c r="E23" s="4376" t="str">
        <f>IF(SUM(Table5.D!I11:J11)=0,"IE",SUM(Table5.D!I11:J11))</f>
        <v>IE</v>
      </c>
      <c r="F23" s="4377" t="s">
        <v>2147</v>
      </c>
      <c r="G23" s="4377" t="s">
        <v>2147</v>
      </c>
      <c r="H23" s="4377">
        <v>241.46522208819079</v>
      </c>
      <c r="I23" s="4378"/>
      <c r="J23" s="4379">
        <f t="shared" si="4"/>
        <v>1510.9548247496716</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-273959.04669071984</v>
      </c>
      <c r="D28" s="4404"/>
      <c r="E28" s="4404"/>
      <c r="F28" s="4404"/>
      <c r="G28" s="4404"/>
      <c r="H28" s="4404"/>
      <c r="I28" s="4405"/>
      <c r="J28" s="4406"/>
      <c r="K28"/>
      <c r="L28"/>
    </row>
    <row r="29" spans="2:12" ht="18" customHeight="1" x14ac:dyDescent="0.2">
      <c r="B29" s="2487" t="s">
        <v>2081</v>
      </c>
      <c r="C29" s="4407">
        <v>-4995.4426406187267</v>
      </c>
      <c r="D29" s="4408"/>
      <c r="E29" s="4408"/>
      <c r="F29" s="4408"/>
      <c r="G29" s="4408"/>
      <c r="H29" s="4408"/>
      <c r="I29" s="4406"/>
      <c r="J29" s="4406"/>
      <c r="K29"/>
      <c r="L29"/>
    </row>
    <row r="30" spans="2:12" ht="29.25" customHeight="1" thickBot="1" x14ac:dyDescent="0.25">
      <c r="B30" s="2488" t="s">
        <v>2082</v>
      </c>
      <c r="C30" s="4409">
        <v>-2252.6062739154295</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20150.997445785582</v>
      </c>
      <c r="D10" s="3752"/>
      <c r="E10" s="3751">
        <f>IF(SUM(C10)=0,"NA",(F10-SUM(G10:H10))/C10)</f>
        <v>3.3115583230822296E-2</v>
      </c>
      <c r="F10" s="3753">
        <f>F11</f>
        <v>452.77203310000004</v>
      </c>
      <c r="G10" s="3753">
        <f>G11</f>
        <v>-3.7</v>
      </c>
      <c r="H10" s="3754">
        <f>H11</f>
        <v>-210.84</v>
      </c>
      <c r="I10" s="44"/>
    </row>
    <row r="11" spans="1:13" ht="18" customHeight="1" x14ac:dyDescent="0.2">
      <c r="B11" s="1750" t="s">
        <v>1395</v>
      </c>
      <c r="C11" s="3755">
        <f>IF(SUM(C13:C16)=0,"NO",SUM(C13:C16))</f>
        <v>20150.997445785582</v>
      </c>
      <c r="D11" s="3755">
        <v>1</v>
      </c>
      <c r="E11" s="3755">
        <f>IF(SUM(C11)=0,"NA",(F11-SUM(G11:H11))/C11)</f>
        <v>3.3115583230822296E-2</v>
      </c>
      <c r="F11" s="3755">
        <f>IF(SUM(F13:F16)=0,"NO",SUM(F13:F16))</f>
        <v>452.77203310000004</v>
      </c>
      <c r="G11" s="3756">
        <v>-3.7</v>
      </c>
      <c r="H11" s="3757">
        <v>-210.84</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11824.827359187042</v>
      </c>
      <c r="D13" s="3762">
        <v>1</v>
      </c>
      <c r="E13" s="3755" t="s">
        <v>2153</v>
      </c>
      <c r="F13" s="3762">
        <v>16.8637327</v>
      </c>
      <c r="G13" s="3763"/>
      <c r="H13" s="3764"/>
      <c r="I13" s="44"/>
    </row>
    <row r="14" spans="1:13" ht="18" customHeight="1" x14ac:dyDescent="0.2">
      <c r="B14" s="1751" t="s">
        <v>1398</v>
      </c>
      <c r="C14" s="3762">
        <v>2600.1904735949911</v>
      </c>
      <c r="D14" s="3762">
        <v>1</v>
      </c>
      <c r="E14" s="3755" t="s">
        <v>2153</v>
      </c>
      <c r="F14" s="3762">
        <v>192.5243701</v>
      </c>
      <c r="G14" s="3763"/>
      <c r="H14" s="3764"/>
      <c r="I14" s="44"/>
    </row>
    <row r="15" spans="1:13" ht="18" customHeight="1" x14ac:dyDescent="0.2">
      <c r="B15" s="1751" t="s">
        <v>1399</v>
      </c>
      <c r="C15" s="3762">
        <v>5725.9796130035511</v>
      </c>
      <c r="D15" s="3762">
        <v>1</v>
      </c>
      <c r="E15" s="3755" t="s">
        <v>2153</v>
      </c>
      <c r="F15" s="3762">
        <v>243.3839303</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4010.6720099999998</v>
      </c>
      <c r="D10" s="1913">
        <f>IF(SUM($C10)=0,"NA",F10*1000/$C10)</f>
        <v>0.74999999999999989</v>
      </c>
      <c r="E10" s="1913">
        <f>IF(SUM($C10)=0,"NA",G10*1000/$C10)</f>
        <v>9.6000000000000016E-2</v>
      </c>
      <c r="F10" s="1909">
        <f>IF(SUM(F11:F12)=0,"NO",SUM(F11:F12))</f>
        <v>3.0080040074999994</v>
      </c>
      <c r="G10" s="1909">
        <f>IF(SUM(G11:G12)=0,"NO",SUM(G11:G12))</f>
        <v>0.38502451296000006</v>
      </c>
      <c r="H10" s="1910"/>
      <c r="I10" s="1911"/>
    </row>
    <row r="11" spans="1:9" ht="18" customHeight="1" x14ac:dyDescent="0.2">
      <c r="B11" s="1526" t="s">
        <v>1411</v>
      </c>
      <c r="C11" s="1912">
        <v>4010.6720099999998</v>
      </c>
      <c r="D11" s="1913">
        <f>IF(SUM($C11)=0,"NA",F11*1000/$C11)</f>
        <v>0.74999999999999989</v>
      </c>
      <c r="E11" s="1913">
        <f>IF(SUM($C11)=0,"NA",G11*1000/$C11)</f>
        <v>9.6000000000000016E-2</v>
      </c>
      <c r="F11" s="1912">
        <v>3.0080040074999994</v>
      </c>
      <c r="G11" s="1912">
        <v>0.38502451296000006</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15.180844534231701</v>
      </c>
      <c r="D10" s="2887">
        <f>IF(SUM(G10)=0,"NA",G10*1000/$C10)</f>
        <v>2014.1923918416703</v>
      </c>
      <c r="E10" s="2887" t="str">
        <f t="shared" ref="E10:E20" si="0">IF(SUM(H10)=0,"NA",H10*1000/$C10)</f>
        <v>NA</v>
      </c>
      <c r="F10" s="2887" t="str">
        <f t="shared" ref="F10:F20" si="1">IF(SUM(I10)=0,"NA",I10*1000/$C10)</f>
        <v>NA</v>
      </c>
      <c r="G10" s="2887">
        <f>IF(SUM(G11,G21)=0,"NO",SUM(G11,G21))</f>
        <v>30.577141562580699</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15.180844534231701</v>
      </c>
      <c r="D21" s="116">
        <f>IF(SUM(G21)=0,"NA",G21*1000/$C21)</f>
        <v>2014.1923918416703</v>
      </c>
      <c r="E21" s="116" t="str">
        <f t="shared" ref="E21:F21" si="3">IF(SUM(H21)=0,"NA",H21*1000/$C21)</f>
        <v>NA</v>
      </c>
      <c r="F21" s="116" t="str">
        <f t="shared" si="3"/>
        <v>NA</v>
      </c>
      <c r="G21" s="2889">
        <f>IF(SUM(G22:G23)=0,"NO",SUM(G22:G23))</f>
        <v>30.577141562580699</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15.180844534231701</v>
      </c>
      <c r="D23" s="116">
        <f t="shared" si="4"/>
        <v>2014.1923918416703</v>
      </c>
      <c r="E23" s="151" t="str">
        <f t="shared" si="5"/>
        <v>NA</v>
      </c>
      <c r="F23" s="151" t="str">
        <f t="shared" si="6"/>
        <v>NA</v>
      </c>
      <c r="G23" s="151">
        <f>IF(SUM(G25:G30)=0,"NO",SUM(G25:G30))</f>
        <v>30.577141562580699</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15.180844534231701</v>
      </c>
      <c r="D27" s="116">
        <f t="shared" si="4"/>
        <v>879.99999998656881</v>
      </c>
      <c r="E27" s="116" t="str">
        <f t="shared" si="5"/>
        <v>NA</v>
      </c>
      <c r="F27" s="116" t="str">
        <f t="shared" si="6"/>
        <v>NA</v>
      </c>
      <c r="G27" s="2897">
        <v>13.359143189919999</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21865.623</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35.884479508344185</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2812.36722333432</v>
      </c>
      <c r="D10" s="3435">
        <v>2096.02082470902</v>
      </c>
      <c r="E10" s="3435">
        <v>148.3658332283</v>
      </c>
      <c r="F10" s="3436">
        <f>(SUM(H10)-SUM(K10:L10))/C10</f>
        <v>3.9620512328198937E-2</v>
      </c>
      <c r="G10" s="3437">
        <f>SUM(I10:J10)/E10/(44/28)</f>
        <v>3.7601290817419523E-3</v>
      </c>
      <c r="H10" s="3434">
        <v>56.032276878060486</v>
      </c>
      <c r="I10" s="3223">
        <v>0.87666021812066863</v>
      </c>
      <c r="J10" s="3223" t="s">
        <v>2153</v>
      </c>
      <c r="K10" s="3438">
        <v>-17.001608711541355</v>
      </c>
      <c r="L10" s="2911">
        <v>-38.393544653938186</v>
      </c>
      <c r="M10"/>
      <c r="N10" s="1770" t="s">
        <v>1468</v>
      </c>
      <c r="O10" s="3440">
        <v>1</v>
      </c>
    </row>
    <row r="11" spans="1:15" ht="18" customHeight="1" x14ac:dyDescent="0.2">
      <c r="A11"/>
      <c r="B11" s="1749" t="s">
        <v>1383</v>
      </c>
      <c r="C11" s="3435">
        <v>804.884073627303</v>
      </c>
      <c r="D11" s="3435">
        <v>119.756083529279</v>
      </c>
      <c r="E11" s="691" t="s">
        <v>2153</v>
      </c>
      <c r="F11" s="3162">
        <f>(SUM(H11)-SUM(K11:L11))/C11</f>
        <v>7.1347063046901998E-2</v>
      </c>
      <c r="G11" s="3162" t="s">
        <v>2147</v>
      </c>
      <c r="H11" s="691">
        <v>53.962672312488273</v>
      </c>
      <c r="I11" s="691" t="s">
        <v>2153</v>
      </c>
      <c r="J11" s="691" t="s">
        <v>2153</v>
      </c>
      <c r="K11" s="3147" t="s">
        <v>2153</v>
      </c>
      <c r="L11" s="2911">
        <v>-3.4634424340462302</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461119.87343517161</v>
      </c>
      <c r="D10" s="4213">
        <f t="shared" si="0"/>
        <v>5040.3311733516912</v>
      </c>
      <c r="E10" s="4213">
        <f t="shared" si="0"/>
        <v>83.177043620113352</v>
      </c>
      <c r="F10" s="4213">
        <f t="shared" si="0"/>
        <v>6141.5462216641918</v>
      </c>
      <c r="G10" s="4213">
        <f t="shared" si="0"/>
        <v>322.43408328130437</v>
      </c>
      <c r="H10" s="4213" t="str">
        <f>IF(SUM(H11,H22,H31,H42,H51)=0,"NO",SUM(H11,H22,H31,H42,H51))</f>
        <v>NO</v>
      </c>
      <c r="I10" s="4213">
        <f t="shared" ref="I10:N10" si="1">IF(SUM(I11,I22,I31,I42,I51)=0,"NO",SUM(I11,I22,I31,I42,I51))</f>
        <v>6.4470614816006036E-3</v>
      </c>
      <c r="J10" s="3834" t="str">
        <f t="shared" si="1"/>
        <v>NO</v>
      </c>
      <c r="K10" s="4213">
        <f t="shared" si="1"/>
        <v>3210.4471929312549</v>
      </c>
      <c r="L10" s="4213">
        <f t="shared" si="1"/>
        <v>28353.499516660784</v>
      </c>
      <c r="M10" s="4213">
        <f t="shared" si="1"/>
        <v>1897.7744057154441</v>
      </c>
      <c r="N10" s="4214">
        <f t="shared" si="1"/>
        <v>2597.9322073589356</v>
      </c>
      <c r="O10" s="3818">
        <f>IF(SUM(C10:J10)=0,"NO",SUM(C10,F10:H10)+28*SUM(D10)+265*SUM(E10)+23500*SUM(I10)+16100*SUM(J10))</f>
        <v>630906.54909811204</v>
      </c>
    </row>
    <row r="11" spans="1:15" ht="18" customHeight="1" x14ac:dyDescent="0.25">
      <c r="B11" s="1120" t="s">
        <v>1476</v>
      </c>
      <c r="C11" s="2552">
        <f>Table1!C10</f>
        <v>384382.39784356515</v>
      </c>
      <c r="D11" s="3810">
        <f>Table1!D10</f>
        <v>1428.7291130169033</v>
      </c>
      <c r="E11" s="3810">
        <f>Table1!E10</f>
        <v>12.390214503255736</v>
      </c>
      <c r="F11" s="4215"/>
      <c r="G11" s="4215"/>
      <c r="H11" s="4216"/>
      <c r="I11" s="4215"/>
      <c r="J11" s="98"/>
      <c r="K11" s="3810">
        <f>Table1!F10</f>
        <v>2200.5869169614311</v>
      </c>
      <c r="L11" s="3810">
        <f>Table1!G10</f>
        <v>2841.5112798599671</v>
      </c>
      <c r="M11" s="3810">
        <f>Table1!H10</f>
        <v>702.89347701757663</v>
      </c>
      <c r="N11" s="4217">
        <f>Table1!I10</f>
        <v>777.73535122906696</v>
      </c>
      <c r="O11" s="3781">
        <f t="shared" ref="O11:O58" si="2">IF(SUM(C11:J11)=0,"NO",SUM(C11,F11:H11)+28*SUM(D11)+265*SUM(E11)+23500*SUM(I11)+16100*SUM(J11))</f>
        <v>427670.21985140123</v>
      </c>
    </row>
    <row r="12" spans="1:15" ht="18" customHeight="1" x14ac:dyDescent="0.25">
      <c r="B12" s="1370" t="s">
        <v>1477</v>
      </c>
      <c r="C12" s="4218">
        <f>Table1!C11</f>
        <v>376416.2992935949</v>
      </c>
      <c r="D12" s="4219">
        <f>Table1!D11</f>
        <v>85.852319846765141</v>
      </c>
      <c r="E12" s="4219">
        <f>Table1!E11</f>
        <v>12.292639584731466</v>
      </c>
      <c r="F12" s="69"/>
      <c r="G12" s="69"/>
      <c r="H12" s="69"/>
      <c r="I12" s="69"/>
      <c r="J12" s="69"/>
      <c r="K12" s="4219">
        <f>Table1!F11</f>
        <v>2198.9646668396563</v>
      </c>
      <c r="L12" s="4219">
        <f>Table1!G11</f>
        <v>2832.1022291536724</v>
      </c>
      <c r="M12" s="4219">
        <f>Table1!H11</f>
        <v>483.63265949964847</v>
      </c>
      <c r="N12" s="4220">
        <f>Table1!I11</f>
        <v>777.73535122906696</v>
      </c>
      <c r="O12" s="3782">
        <f t="shared" si="2"/>
        <v>382077.71373925818</v>
      </c>
    </row>
    <row r="13" spans="1:15" ht="18" customHeight="1" x14ac:dyDescent="0.25">
      <c r="B13" s="1371" t="s">
        <v>1478</v>
      </c>
      <c r="C13" s="4218">
        <f>Table1!C12</f>
        <v>231140.21991732303</v>
      </c>
      <c r="D13" s="4219">
        <f>Table1!D12</f>
        <v>22.726523867498472</v>
      </c>
      <c r="E13" s="4219">
        <f>Table1!E12</f>
        <v>3.9406827398383077</v>
      </c>
      <c r="F13" s="69"/>
      <c r="G13" s="69"/>
      <c r="H13" s="69"/>
      <c r="I13" s="69"/>
      <c r="J13" s="69"/>
      <c r="K13" s="4219">
        <f>Table1!F12</f>
        <v>966.14112560601563</v>
      </c>
      <c r="L13" s="4219">
        <f>Table1!G12</f>
        <v>190.28312286420254</v>
      </c>
      <c r="M13" s="4219">
        <f>Table1!H12</f>
        <v>43.276732684329609</v>
      </c>
      <c r="N13" s="4220">
        <f>Table1!I12</f>
        <v>651.58816662573645</v>
      </c>
      <c r="O13" s="3783">
        <f t="shared" si="2"/>
        <v>232820.84351167013</v>
      </c>
    </row>
    <row r="14" spans="1:15" ht="18" customHeight="1" x14ac:dyDescent="0.25">
      <c r="B14" s="1371" t="s">
        <v>1479</v>
      </c>
      <c r="C14" s="4218">
        <f>Table1!C16</f>
        <v>40172.086958314503</v>
      </c>
      <c r="D14" s="4221">
        <f>Table1!D16</f>
        <v>1.9433927180238111</v>
      </c>
      <c r="E14" s="4221">
        <f>Table1!E16</f>
        <v>1.0925420454198598</v>
      </c>
      <c r="F14" s="3784"/>
      <c r="G14" s="3784"/>
      <c r="H14" s="3784"/>
      <c r="I14" s="3784"/>
      <c r="J14" s="69"/>
      <c r="K14" s="4221">
        <f>Table1!F16</f>
        <v>571.68468143535006</v>
      </c>
      <c r="L14" s="4221">
        <f>Table1!G16</f>
        <v>176.54295137617436</v>
      </c>
      <c r="M14" s="4221">
        <f>Table1!H16</f>
        <v>75.239114976277136</v>
      </c>
      <c r="N14" s="4222">
        <f>Table1!I16</f>
        <v>90.665465774169817</v>
      </c>
      <c r="O14" s="3785">
        <f t="shared" si="2"/>
        <v>40516.025596455431</v>
      </c>
    </row>
    <row r="15" spans="1:15" ht="18" customHeight="1" x14ac:dyDescent="0.25">
      <c r="B15" s="1371" t="s">
        <v>1480</v>
      </c>
      <c r="C15" s="4218">
        <f>Table1!C24</f>
        <v>84939.139138535204</v>
      </c>
      <c r="D15" s="4219">
        <f>Table1!D24</f>
        <v>18.131143587407117</v>
      </c>
      <c r="E15" s="4219">
        <f>Table1!E24</f>
        <v>6.5901892421657928</v>
      </c>
      <c r="F15" s="69"/>
      <c r="G15" s="69"/>
      <c r="H15" s="69"/>
      <c r="I15" s="69"/>
      <c r="J15" s="69"/>
      <c r="K15" s="4219">
        <f>Table1!F24</f>
        <v>312.56618461879549</v>
      </c>
      <c r="L15" s="4219">
        <f>Table1!G24</f>
        <v>1751.0240095809397</v>
      </c>
      <c r="M15" s="4219">
        <f>Table1!H24</f>
        <v>247.83160070217801</v>
      </c>
      <c r="N15" s="4220">
        <f>Table1!I24</f>
        <v>27.872073736617608</v>
      </c>
      <c r="O15" s="3783">
        <f t="shared" si="2"/>
        <v>87193.211308156533</v>
      </c>
    </row>
    <row r="16" spans="1:15" ht="18" customHeight="1" x14ac:dyDescent="0.25">
      <c r="B16" s="1371" t="s">
        <v>1481</v>
      </c>
      <c r="C16" s="4218">
        <f>Table1!C30</f>
        <v>19338.07645335851</v>
      </c>
      <c r="D16" s="4219">
        <f>Table1!D30</f>
        <v>43.022614033889141</v>
      </c>
      <c r="E16" s="4219">
        <f>Table1!E30</f>
        <v>0.64602842966627461</v>
      </c>
      <c r="F16" s="69"/>
      <c r="G16" s="69"/>
      <c r="H16" s="69"/>
      <c r="I16" s="69"/>
      <c r="J16" s="69"/>
      <c r="K16" s="4219">
        <f>Table1!F30</f>
        <v>342.2149898552629</v>
      </c>
      <c r="L16" s="4219">
        <f>Table1!G30</f>
        <v>710.35214536333058</v>
      </c>
      <c r="M16" s="4219">
        <f>Table1!H30</f>
        <v>116.80511652884233</v>
      </c>
      <c r="N16" s="4220">
        <f>Table1!I30</f>
        <v>7.3696348439695258</v>
      </c>
      <c r="O16" s="3783">
        <f t="shared" si="2"/>
        <v>20713.907180168968</v>
      </c>
    </row>
    <row r="17" spans="2:15" ht="18" customHeight="1" x14ac:dyDescent="0.25">
      <c r="B17" s="1371" t="s">
        <v>1482</v>
      </c>
      <c r="C17" s="4218">
        <f>Table1!C34</f>
        <v>826.77682606361236</v>
      </c>
      <c r="D17" s="4219">
        <f>Table1!D34</f>
        <v>2.8645639946599452E-2</v>
      </c>
      <c r="E17" s="4219">
        <f>Table1!E34</f>
        <v>2.3197127641231184E-2</v>
      </c>
      <c r="F17" s="69"/>
      <c r="G17" s="69"/>
      <c r="H17" s="69"/>
      <c r="I17" s="69"/>
      <c r="J17" s="69"/>
      <c r="K17" s="4219">
        <f>Table1!F34</f>
        <v>6.35768532423217</v>
      </c>
      <c r="L17" s="4219">
        <f>Table1!G34</f>
        <v>3.8999999690251372</v>
      </c>
      <c r="M17" s="4219">
        <f>Table1!H34</f>
        <v>0.48009460802135057</v>
      </c>
      <c r="N17" s="4220">
        <f>Table1!I34</f>
        <v>0.24001024857362832</v>
      </c>
      <c r="O17" s="3783">
        <f t="shared" si="2"/>
        <v>833.7261428070434</v>
      </c>
    </row>
    <row r="18" spans="2:15" ht="18" customHeight="1" x14ac:dyDescent="0.25">
      <c r="B18" s="1370" t="s">
        <v>99</v>
      </c>
      <c r="C18" s="4223">
        <f>Table1!C37</f>
        <v>7966.0985499702711</v>
      </c>
      <c r="D18" s="4224">
        <f>Table1!D37</f>
        <v>1342.8767931701382</v>
      </c>
      <c r="E18" s="4224">
        <f>Table1!E37</f>
        <v>9.7574918524269652E-2</v>
      </c>
      <c r="F18" s="69"/>
      <c r="G18" s="69"/>
      <c r="H18" s="69"/>
      <c r="I18" s="69"/>
      <c r="J18" s="69"/>
      <c r="K18" s="4224">
        <f>Table1!F37</f>
        <v>1.6222501217749361</v>
      </c>
      <c r="L18" s="4219">
        <f>Table1!G37</f>
        <v>9.4090507062946305</v>
      </c>
      <c r="M18" s="4219">
        <f>Table1!H37</f>
        <v>219.26081751792816</v>
      </c>
      <c r="N18" s="4220" t="str">
        <f>Table1!I37</f>
        <v>NO</v>
      </c>
      <c r="O18" s="3783">
        <f t="shared" si="2"/>
        <v>45592.50611214307</v>
      </c>
    </row>
    <row r="19" spans="2:15" ht="18" customHeight="1" x14ac:dyDescent="0.25">
      <c r="B19" s="1371" t="s">
        <v>1483</v>
      </c>
      <c r="C19" s="4225">
        <f>Table1!C38</f>
        <v>1308.4125121797349</v>
      </c>
      <c r="D19" s="4226">
        <f>Table1!D38</f>
        <v>1139.2162164153619</v>
      </c>
      <c r="E19" s="4224">
        <f>Table1!E38</f>
        <v>3.4002767032537785E-4</v>
      </c>
      <c r="F19" s="69"/>
      <c r="G19" s="69"/>
      <c r="H19" s="69"/>
      <c r="I19" s="69"/>
      <c r="J19" s="69"/>
      <c r="K19" s="4224" t="str">
        <f>Table1!F38</f>
        <v>NO</v>
      </c>
      <c r="L19" s="4219" t="str">
        <f>Table1!G38</f>
        <v>NO</v>
      </c>
      <c r="M19" s="4219" t="str">
        <f>Table1!H38</f>
        <v>NO</v>
      </c>
      <c r="N19" s="4220" t="str">
        <f>Table1!I38</f>
        <v>NO</v>
      </c>
      <c r="O19" s="3783">
        <f t="shared" si="2"/>
        <v>33206.556679142508</v>
      </c>
    </row>
    <row r="20" spans="2:15" ht="18" customHeight="1" x14ac:dyDescent="0.25">
      <c r="B20" s="1372" t="s">
        <v>1484</v>
      </c>
      <c r="C20" s="4225">
        <f>Table1!C42</f>
        <v>6657.6860377905359</v>
      </c>
      <c r="D20" s="4227">
        <f>Table1!D42</f>
        <v>203.6605767547762</v>
      </c>
      <c r="E20" s="4224">
        <f>Table1!E42</f>
        <v>9.7234890853944281E-2</v>
      </c>
      <c r="F20" s="3784"/>
      <c r="G20" s="3784"/>
      <c r="H20" s="3784"/>
      <c r="I20" s="3784"/>
      <c r="J20" s="69"/>
      <c r="K20" s="4224">
        <f>Table1!F42</f>
        <v>1.6222501217749361</v>
      </c>
      <c r="L20" s="4221">
        <f>Table1!G42</f>
        <v>9.4090507062946305</v>
      </c>
      <c r="M20" s="4221">
        <f>Table1!H42</f>
        <v>219.26081751792816</v>
      </c>
      <c r="N20" s="4222" t="str">
        <f>Table1!I42</f>
        <v>NO</v>
      </c>
      <c r="O20" s="3785">
        <f t="shared" si="2"/>
        <v>12385.949433000565</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21120.996965749539</v>
      </c>
      <c r="D22" s="4230">
        <f>'Table2(I)'!D10</f>
        <v>3.0859087494495152</v>
      </c>
      <c r="E22" s="4231">
        <f>'Table2(I)'!E10</f>
        <v>10.119455349594618</v>
      </c>
      <c r="F22" s="3810">
        <f>'Table2(I)'!F10</f>
        <v>6141.5462216641918</v>
      </c>
      <c r="G22" s="3810">
        <f>'Table2(I)'!G10</f>
        <v>322.43408328130437</v>
      </c>
      <c r="H22" s="3810" t="str">
        <f>'Table2(I)'!H10</f>
        <v>NO</v>
      </c>
      <c r="I22" s="3810">
        <f>'Table2(I)'!I10</f>
        <v>6.4470614816006036E-3</v>
      </c>
      <c r="J22" s="3810" t="str">
        <f>'Table2(I)'!J10</f>
        <v>NO</v>
      </c>
      <c r="K22" s="3810">
        <f>'Table2(I)'!K10</f>
        <v>31.904864230377285</v>
      </c>
      <c r="L22" s="3810">
        <f>'Table2(I)'!L10</f>
        <v>8.5449682393755673</v>
      </c>
      <c r="M22" s="3810">
        <f>'Table2(I)'!M10</f>
        <v>236.79496569904211</v>
      </c>
      <c r="N22" s="4217">
        <f>'Table2(I)'!N10</f>
        <v>1820.1968561298688</v>
      </c>
      <c r="O22" s="3781">
        <f t="shared" si="2"/>
        <v>30504.544328139807</v>
      </c>
    </row>
    <row r="23" spans="2:15" ht="18" customHeight="1" x14ac:dyDescent="0.25">
      <c r="B23" s="1133" t="s">
        <v>1487</v>
      </c>
      <c r="C23" s="4232">
        <f>'Table2(I)'!C11</f>
        <v>6408.1365207979152</v>
      </c>
      <c r="D23" s="3789"/>
      <c r="E23" s="98"/>
      <c r="F23" s="98"/>
      <c r="G23" s="98"/>
      <c r="H23" s="98"/>
      <c r="I23" s="98"/>
      <c r="J23" s="69"/>
      <c r="K23" s="4233" t="str">
        <f>'Table2(I)'!K11</f>
        <v>NO</v>
      </c>
      <c r="L23" s="4233" t="str">
        <f>'Table2(I)'!L11</f>
        <v>NO</v>
      </c>
      <c r="M23" s="4233" t="str">
        <f>'Table2(I)'!M11</f>
        <v>NO</v>
      </c>
      <c r="N23" s="4234" t="str">
        <f>'Table2(I)'!N11</f>
        <v>NO</v>
      </c>
      <c r="O23" s="3782">
        <f t="shared" si="2"/>
        <v>6408.1365207979152</v>
      </c>
    </row>
    <row r="24" spans="2:15" ht="18" customHeight="1" x14ac:dyDescent="0.25">
      <c r="B24" s="1133" t="s">
        <v>621</v>
      </c>
      <c r="C24" s="4232">
        <f>'Table2(I)'!C16</f>
        <v>3186.7659698427397</v>
      </c>
      <c r="D24" s="4235">
        <f>'Table2(I)'!D16</f>
        <v>0.57776359999999993</v>
      </c>
      <c r="E24" s="4236">
        <f>'Table2(I)'!E16</f>
        <v>10.056942740141993</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5868.0331767803673</v>
      </c>
    </row>
    <row r="25" spans="2:15" ht="18" customHeight="1" x14ac:dyDescent="0.25">
      <c r="B25" s="1133" t="s">
        <v>459</v>
      </c>
      <c r="C25" s="4232">
        <f>'Table2(I)'!C27</f>
        <v>11125.923167063165</v>
      </c>
      <c r="D25" s="4235">
        <f>'Table2(I)'!D27</f>
        <v>2.5081451494495153</v>
      </c>
      <c r="E25" s="4236">
        <f>'Table2(I)'!E27</f>
        <v>6.2512609452625476E-2</v>
      </c>
      <c r="F25" s="4219" t="str">
        <f>'Table2(I)'!F27</f>
        <v>NO</v>
      </c>
      <c r="G25" s="4219">
        <f>'Table2(I)'!G27</f>
        <v>322.43408328130437</v>
      </c>
      <c r="H25" s="4219" t="str">
        <f>'Table2(I)'!H27</f>
        <v>NO</v>
      </c>
      <c r="I25" s="4219" t="str">
        <f>'Table2(I)'!I27</f>
        <v>NO</v>
      </c>
      <c r="J25" s="4219" t="str">
        <f>'Table2(I)'!J27</f>
        <v>NO</v>
      </c>
      <c r="K25" s="4219">
        <f>'Table2(I)'!K27</f>
        <v>31.904864230377285</v>
      </c>
      <c r="L25" s="4219">
        <f>'Table2(I)'!L27</f>
        <v>8.5449682393755673</v>
      </c>
      <c r="M25" s="4219">
        <f>'Table2(I)'!M27</f>
        <v>7.787612484880499E-2</v>
      </c>
      <c r="N25" s="4220">
        <f>'Table2(I)'!N27</f>
        <v>1820.1968561298688</v>
      </c>
      <c r="O25" s="3783">
        <f t="shared" si="2"/>
        <v>11535.151156034002</v>
      </c>
    </row>
    <row r="26" spans="2:15" ht="18" customHeight="1" x14ac:dyDescent="0.25">
      <c r="B26" s="1133" t="s">
        <v>1488</v>
      </c>
      <c r="C26" s="4232">
        <f>'Table2(I)'!C35</f>
        <v>238.76239894999998</v>
      </c>
      <c r="D26" s="3790" t="str">
        <f>'Table2(I)'!D35</f>
        <v>NO</v>
      </c>
      <c r="E26" s="616" t="str">
        <f>'Table2(I)'!E35</f>
        <v>NO</v>
      </c>
      <c r="F26" s="69"/>
      <c r="G26" s="69"/>
      <c r="H26" s="69"/>
      <c r="I26" s="69"/>
      <c r="J26" s="69"/>
      <c r="K26" s="616" t="str">
        <f>'Table2(I)'!K35</f>
        <v>NO</v>
      </c>
      <c r="L26" s="4236" t="str">
        <f>'Table2(I)'!L35</f>
        <v>NO</v>
      </c>
      <c r="M26" s="4236">
        <f>'Table2(I)'!M35</f>
        <v>183.16643948194661</v>
      </c>
      <c r="N26" s="4237" t="str">
        <f>'Table2(I)'!N35</f>
        <v>NO</v>
      </c>
      <c r="O26" s="3783">
        <f t="shared" si="2"/>
        <v>238.76239894999998</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6141.5462216641918</v>
      </c>
      <c r="G28" s="4221" t="str">
        <f>'Table2(I)'!G45</f>
        <v>NO</v>
      </c>
      <c r="H28" s="4221" t="str">
        <f>'Table2(I)'!H45</f>
        <v>NO</v>
      </c>
      <c r="I28" s="4221" t="str">
        <f>'Table2(I)'!I45</f>
        <v>NO</v>
      </c>
      <c r="J28" s="4221" t="str">
        <f>'Table2(I)'!J45</f>
        <v>NO</v>
      </c>
      <c r="K28" s="3784"/>
      <c r="L28" s="3784"/>
      <c r="M28" s="3784"/>
      <c r="N28" s="3793"/>
      <c r="O28" s="3785">
        <f t="shared" si="2"/>
        <v>6141.5462216641918</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6.4470614816006036E-3</v>
      </c>
      <c r="J29" s="616" t="str">
        <f>'Table2(I)'!J52</f>
        <v>NO</v>
      </c>
      <c r="K29" s="3796" t="str">
        <f>'Table2(I)'!K52</f>
        <v>NO</v>
      </c>
      <c r="L29" s="3796" t="str">
        <f>'Table2(I)'!L52</f>
        <v>NO</v>
      </c>
      <c r="M29" s="3796" t="str">
        <f>'Table2(I)'!M52</f>
        <v>NO</v>
      </c>
      <c r="N29" s="3797" t="str">
        <f>'Table2(I)'!N52</f>
        <v>NO</v>
      </c>
      <c r="O29" s="3785">
        <f t="shared" si="2"/>
        <v>151.50594481761419</v>
      </c>
    </row>
    <row r="30" spans="2:15" ht="18" customHeight="1" thickBot="1" x14ac:dyDescent="0.3">
      <c r="B30" s="1375" t="s">
        <v>2040</v>
      </c>
      <c r="C30" s="4239">
        <f>'Table2(I)'!C57</f>
        <v>161.40890909572053</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50.708089411546709</v>
      </c>
      <c r="N30" s="4242" t="str">
        <f>'Table2(I)'!N57</f>
        <v>NA</v>
      </c>
      <c r="O30" s="3798">
        <f t="shared" si="2"/>
        <v>161.40890909572053</v>
      </c>
    </row>
    <row r="31" spans="2:15" ht="18" customHeight="1" x14ac:dyDescent="0.25">
      <c r="B31" s="1134" t="s">
        <v>1491</v>
      </c>
      <c r="C31" s="3817">
        <f>Table3!C10</f>
        <v>1943.1837325816937</v>
      </c>
      <c r="D31" s="3799">
        <f>Table3!D10</f>
        <v>2315.5619681329158</v>
      </c>
      <c r="E31" s="3800">
        <f>Table3!E10</f>
        <v>41.385076096598176</v>
      </c>
      <c r="F31" s="3801"/>
      <c r="G31" s="3801"/>
      <c r="H31" s="3801"/>
      <c r="I31" s="3801"/>
      <c r="J31" s="3801"/>
      <c r="K31" s="4243">
        <f>Table3!F10</f>
        <v>18.72469865665936</v>
      </c>
      <c r="L31" s="4243">
        <f>Table3!G10</f>
        <v>306.84471968401829</v>
      </c>
      <c r="M31" s="4243">
        <f>Table3!H10</f>
        <v>17.899275314901068</v>
      </c>
      <c r="N31" s="4244" t="str">
        <f>Table3!I10</f>
        <v>NO</v>
      </c>
      <c r="O31" s="3782">
        <f t="shared" si="2"/>
        <v>77745.964005901857</v>
      </c>
    </row>
    <row r="32" spans="2:15" ht="18" customHeight="1" x14ac:dyDescent="0.25">
      <c r="B32" s="4245" t="s">
        <v>1492</v>
      </c>
      <c r="C32" s="3791"/>
      <c r="D32" s="4246">
        <f>Table3!D11</f>
        <v>2070.6619163518048</v>
      </c>
      <c r="E32" s="98"/>
      <c r="F32" s="3802"/>
      <c r="G32" s="3802"/>
      <c r="H32" s="3789"/>
      <c r="I32" s="3802"/>
      <c r="J32" s="3789"/>
      <c r="K32" s="98"/>
      <c r="L32" s="98"/>
      <c r="M32" s="98"/>
      <c r="N32" s="3803"/>
      <c r="O32" s="3782">
        <f t="shared" si="2"/>
        <v>57978.533657850538</v>
      </c>
    </row>
    <row r="33" spans="2:15" ht="18" customHeight="1" x14ac:dyDescent="0.25">
      <c r="B33" s="4245" t="s">
        <v>1493</v>
      </c>
      <c r="C33" s="3791"/>
      <c r="D33" s="4226">
        <f>Table3!D20</f>
        <v>235.88911185587978</v>
      </c>
      <c r="E33" s="4226">
        <f>Table3!E20</f>
        <v>1.5348619854931389</v>
      </c>
      <c r="F33" s="3802"/>
      <c r="G33" s="3802"/>
      <c r="H33" s="3802"/>
      <c r="I33" s="3802"/>
      <c r="J33" s="3802"/>
      <c r="K33" s="69"/>
      <c r="L33" s="69"/>
      <c r="M33" s="4247" t="str">
        <f>Table3!H20</f>
        <v>NE</v>
      </c>
      <c r="N33" s="3804"/>
      <c r="O33" s="3783">
        <f t="shared" si="2"/>
        <v>7011.6335581203157</v>
      </c>
    </row>
    <row r="34" spans="2:15" ht="18" customHeight="1" x14ac:dyDescent="0.25">
      <c r="B34" s="4245" t="s">
        <v>1494</v>
      </c>
      <c r="C34" s="3791"/>
      <c r="D34" s="4226">
        <f>Table3!D31</f>
        <v>1.1431266</v>
      </c>
      <c r="E34" s="69"/>
      <c r="F34" s="3802"/>
      <c r="G34" s="3802"/>
      <c r="H34" s="3802"/>
      <c r="I34" s="3802"/>
      <c r="J34" s="3802"/>
      <c r="K34" s="69"/>
      <c r="L34" s="69"/>
      <c r="M34" s="4247" t="str">
        <f>Table3!H31</f>
        <v>NE</v>
      </c>
      <c r="N34" s="3804"/>
      <c r="O34" s="3783">
        <f t="shared" si="2"/>
        <v>32.007544799999998</v>
      </c>
    </row>
    <row r="35" spans="2:15" ht="18" customHeight="1" x14ac:dyDescent="0.25">
      <c r="B35" s="4245" t="s">
        <v>1495</v>
      </c>
      <c r="C35" s="4248"/>
      <c r="D35" s="4226" t="str">
        <f>Table3!D32</f>
        <v>NE</v>
      </c>
      <c r="E35" s="4226">
        <f>Table3!E32</f>
        <v>39.526117877627456</v>
      </c>
      <c r="F35" s="3802"/>
      <c r="G35" s="3802"/>
      <c r="H35" s="3802"/>
      <c r="I35" s="3802"/>
      <c r="J35" s="3802"/>
      <c r="K35" s="4247" t="str">
        <f>Table3!F32</f>
        <v>NO</v>
      </c>
      <c r="L35" s="4247" t="str">
        <f>Table3!G32</f>
        <v>NO</v>
      </c>
      <c r="M35" s="4247" t="str">
        <f>Table3!H32</f>
        <v>NO</v>
      </c>
      <c r="N35" s="3804"/>
      <c r="O35" s="3783">
        <f t="shared" si="2"/>
        <v>10474.421237571276</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7.8678133252312366</v>
      </c>
      <c r="E37" s="4226">
        <f>Table3!E43</f>
        <v>0.32409623347758237</v>
      </c>
      <c r="F37" s="3802"/>
      <c r="G37" s="3802"/>
      <c r="H37" s="3802"/>
      <c r="I37" s="3802"/>
      <c r="J37" s="3802"/>
      <c r="K37" s="4247">
        <f>Table3!F43</f>
        <v>18.72469865665936</v>
      </c>
      <c r="L37" s="4247">
        <f>Table3!G43</f>
        <v>306.84471968401829</v>
      </c>
      <c r="M37" s="4247">
        <f>Table3!H43</f>
        <v>17.899275314901068</v>
      </c>
      <c r="N37" s="4247" t="str">
        <f>Table3!I43</f>
        <v>NO</v>
      </c>
      <c r="O37" s="3783">
        <f t="shared" si="2"/>
        <v>306.18427497803395</v>
      </c>
    </row>
    <row r="38" spans="2:15" ht="18" customHeight="1" x14ac:dyDescent="0.25">
      <c r="B38" s="4249" t="s">
        <v>721</v>
      </c>
      <c r="C38" s="3794">
        <f>Table3!C44</f>
        <v>1159.4904844523769</v>
      </c>
      <c r="D38" s="4250"/>
      <c r="E38" s="4250"/>
      <c r="F38" s="3792"/>
      <c r="G38" s="3792"/>
      <c r="H38" s="3792"/>
      <c r="I38" s="3792"/>
      <c r="J38" s="3792"/>
      <c r="K38" s="3805"/>
      <c r="L38" s="3805"/>
      <c r="M38" s="3805"/>
      <c r="N38" s="3793"/>
      <c r="O38" s="3785">
        <f t="shared" si="2"/>
        <v>1159.4904844523769</v>
      </c>
    </row>
    <row r="39" spans="2:15" ht="18" customHeight="1" x14ac:dyDescent="0.25">
      <c r="B39" s="4249" t="s">
        <v>722</v>
      </c>
      <c r="C39" s="3806">
        <f>Table3!C45</f>
        <v>783.69324812931677</v>
      </c>
      <c r="D39" s="4250"/>
      <c r="E39" s="4250"/>
      <c r="F39" s="3792"/>
      <c r="G39" s="3792"/>
      <c r="H39" s="3792"/>
      <c r="I39" s="3792"/>
      <c r="J39" s="3792"/>
      <c r="K39" s="3805"/>
      <c r="L39" s="3805"/>
      <c r="M39" s="3805"/>
      <c r="N39" s="3793"/>
      <c r="O39" s="3785">
        <f t="shared" si="2"/>
        <v>783.69324812931677</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53642.717751712669</v>
      </c>
      <c r="D42" s="3809">
        <f>Table4!D10</f>
        <v>727.17919715437347</v>
      </c>
      <c r="E42" s="3810">
        <f>Table4!E10</f>
        <v>18.020612939584151</v>
      </c>
      <c r="F42" s="3801"/>
      <c r="G42" s="3801"/>
      <c r="H42" s="3801"/>
      <c r="I42" s="3801"/>
      <c r="J42" s="3801"/>
      <c r="K42" s="4253">
        <f>Table4!F10</f>
        <v>959.23071308278702</v>
      </c>
      <c r="L42" s="4253">
        <f>Table4!G10</f>
        <v>25196.598548877424</v>
      </c>
      <c r="M42" s="4253">
        <f>Table4!H10</f>
        <v>688.54674927089593</v>
      </c>
      <c r="N42" s="4254" t="str">
        <f>N50</f>
        <v>NO</v>
      </c>
      <c r="O42" s="3781">
        <f t="shared" si="2"/>
        <v>78779.197701024925</v>
      </c>
    </row>
    <row r="43" spans="2:15" ht="18" customHeight="1" x14ac:dyDescent="0.25">
      <c r="B43" s="4245" t="s">
        <v>2042</v>
      </c>
      <c r="C43" s="4255">
        <f>Table4!C11</f>
        <v>-26117.059401995764</v>
      </c>
      <c r="D43" s="4256">
        <f>Table4!D11</f>
        <v>309.07159808133144</v>
      </c>
      <c r="E43" s="4257">
        <f>Table4!E11</f>
        <v>5.800150747224726</v>
      </c>
      <c r="F43" s="3792"/>
      <c r="G43" s="3792"/>
      <c r="H43" s="3792"/>
      <c r="I43" s="3792"/>
      <c r="J43" s="3792"/>
      <c r="K43" s="4247">
        <f>Table4!F11</f>
        <v>300.34979668489535</v>
      </c>
      <c r="L43" s="4247">
        <f>Table4!G11</f>
        <v>8236.7232140583674</v>
      </c>
      <c r="M43" s="4247">
        <f>Table4!H11</f>
        <v>326.11874909367691</v>
      </c>
      <c r="N43" s="3811"/>
      <c r="O43" s="3812">
        <f t="shared" si="2"/>
        <v>-15926.014707703933</v>
      </c>
    </row>
    <row r="44" spans="2:15" ht="18" customHeight="1" x14ac:dyDescent="0.25">
      <c r="B44" s="4245" t="s">
        <v>2043</v>
      </c>
      <c r="C44" s="4255">
        <f>Table4!C14</f>
        <v>11084.152476448246</v>
      </c>
      <c r="D44" s="4258">
        <f>Table4!D14</f>
        <v>2.052864</v>
      </c>
      <c r="E44" s="4258">
        <f>Table4!E14</f>
        <v>0.14814045161818612</v>
      </c>
      <c r="F44" s="3802"/>
      <c r="G44" s="3802"/>
      <c r="H44" s="3802"/>
      <c r="I44" s="3802"/>
      <c r="J44" s="3802"/>
      <c r="K44" s="4247">
        <f>Table4!F14</f>
        <v>1.5457577142857142</v>
      </c>
      <c r="L44" s="4247">
        <f>Table4!G14</f>
        <v>60.540479999999995</v>
      </c>
      <c r="M44" s="4247">
        <f>Table4!H14</f>
        <v>7.3180799999999993</v>
      </c>
      <c r="N44" s="4259"/>
      <c r="O44" s="3783">
        <f t="shared" si="2"/>
        <v>11180.889888127065</v>
      </c>
    </row>
    <row r="45" spans="2:15" ht="18" customHeight="1" x14ac:dyDescent="0.25">
      <c r="B45" s="4245" t="s">
        <v>2044</v>
      </c>
      <c r="C45" s="4255">
        <f>Table4!C17</f>
        <v>67256.97019360619</v>
      </c>
      <c r="D45" s="4258">
        <f>Table4!D17</f>
        <v>323.98690675263538</v>
      </c>
      <c r="E45" s="4258">
        <f>Table4!E17</f>
        <v>11.462288683163898</v>
      </c>
      <c r="F45" s="3802"/>
      <c r="G45" s="3802"/>
      <c r="H45" s="3802"/>
      <c r="I45" s="3802"/>
      <c r="J45" s="3802"/>
      <c r="K45" s="4247">
        <f>Table4!F17</f>
        <v>625.76976710775386</v>
      </c>
      <c r="L45" s="4247">
        <f>Table4!G17</f>
        <v>16108.055300764368</v>
      </c>
      <c r="M45" s="4247">
        <f>Table4!H17</f>
        <v>343.94279832818108</v>
      </c>
      <c r="N45" s="4259"/>
      <c r="O45" s="3783">
        <f t="shared" si="2"/>
        <v>79366.110083718406</v>
      </c>
    </row>
    <row r="46" spans="2:15" ht="18" customHeight="1" x14ac:dyDescent="0.25">
      <c r="B46" s="4245" t="s">
        <v>2045</v>
      </c>
      <c r="C46" s="4255">
        <f>Table4!C20</f>
        <v>1389.7699748607338</v>
      </c>
      <c r="D46" s="4258">
        <f>Table4!D20</f>
        <v>89.061705920406652</v>
      </c>
      <c r="E46" s="4258">
        <f>Table4!E20</f>
        <v>0.39522643228248899</v>
      </c>
      <c r="F46" s="3802"/>
      <c r="G46" s="3802"/>
      <c r="H46" s="3802"/>
      <c r="I46" s="3802"/>
      <c r="J46" s="3802"/>
      <c r="K46" s="4247">
        <f>Table4!F20</f>
        <v>29.301852982994916</v>
      </c>
      <c r="L46" s="4247">
        <f>Table4!G20</f>
        <v>702.62677772135385</v>
      </c>
      <c r="M46" s="4247">
        <f>Table4!H20</f>
        <v>0.45085218237120211</v>
      </c>
      <c r="N46" s="4259"/>
      <c r="O46" s="3783">
        <f t="shared" si="2"/>
        <v>3988.2327451869796</v>
      </c>
    </row>
    <row r="47" spans="2:15" ht="18" customHeight="1" x14ac:dyDescent="0.25">
      <c r="B47" s="4245" t="s">
        <v>2046</v>
      </c>
      <c r="C47" s="4255">
        <f>Table4!C23</f>
        <v>4791.8709359467648</v>
      </c>
      <c r="D47" s="4258">
        <f>Table4!D23</f>
        <v>3.0061223999999998</v>
      </c>
      <c r="E47" s="4260">
        <f>Table4!E23</f>
        <v>9.3216906580797843E-2</v>
      </c>
      <c r="F47" s="3802"/>
      <c r="G47" s="3802"/>
      <c r="H47" s="3802"/>
      <c r="I47" s="3802"/>
      <c r="J47" s="3802"/>
      <c r="K47" s="4247">
        <f>Table4!F23</f>
        <v>2.2635385928571425</v>
      </c>
      <c r="L47" s="4247">
        <f>Table4!G23</f>
        <v>88.652776333333335</v>
      </c>
      <c r="M47" s="4247">
        <f>Table4!H23</f>
        <v>10.716269666666665</v>
      </c>
      <c r="N47" s="1838"/>
      <c r="O47" s="3783">
        <f t="shared" si="2"/>
        <v>4900.7448433906766</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-4763.393118684573</v>
      </c>
      <c r="D49" s="3792"/>
      <c r="E49" s="3792"/>
      <c r="F49" s="3792"/>
      <c r="G49" s="3792"/>
      <c r="H49" s="3792"/>
      <c r="I49" s="3792"/>
      <c r="J49" s="3792"/>
      <c r="K49" s="3792"/>
      <c r="L49" s="3792"/>
      <c r="M49" s="3792"/>
      <c r="N49" s="3814"/>
      <c r="O49" s="3785">
        <f t="shared" si="2"/>
        <v>-4763.393118684573</v>
      </c>
    </row>
    <row r="50" spans="2:15" ht="18" customHeight="1" thickBot="1" x14ac:dyDescent="0.3">
      <c r="B50" s="4251" t="s">
        <v>2049</v>
      </c>
      <c r="C50" s="4264">
        <f>Table4!C30</f>
        <v>0.40669153106816663</v>
      </c>
      <c r="D50" s="4265" t="str">
        <f>Table4!D30</f>
        <v>NO</v>
      </c>
      <c r="E50" s="4265">
        <f>Table4!E30</f>
        <v>0.12158971871405545</v>
      </c>
      <c r="F50" s="3807"/>
      <c r="G50" s="3807"/>
      <c r="H50" s="3807"/>
      <c r="I50" s="3807"/>
      <c r="J50" s="3807"/>
      <c r="K50" s="4266" t="str">
        <f>Table4!F30</f>
        <v>NO</v>
      </c>
      <c r="L50" s="4266" t="str">
        <f>Table4!G30</f>
        <v>NO</v>
      </c>
      <c r="M50" s="4266" t="str">
        <f>Table4!H30</f>
        <v>NO</v>
      </c>
      <c r="N50" s="4266" t="s">
        <v>2146</v>
      </c>
      <c r="O50" s="3798">
        <f t="shared" si="2"/>
        <v>32.627966990292862</v>
      </c>
    </row>
    <row r="51" spans="2:15" ht="18" customHeight="1" x14ac:dyDescent="0.25">
      <c r="B51" s="1377" t="s">
        <v>1500</v>
      </c>
      <c r="C51" s="3815">
        <f>Table5!C10</f>
        <v>30.577141562580699</v>
      </c>
      <c r="D51" s="3799">
        <f>Table5!D10</f>
        <v>565.77498629804882</v>
      </c>
      <c r="E51" s="3800">
        <f>Table5!E10</f>
        <v>1.2616847310806687</v>
      </c>
      <c r="F51" s="3801"/>
      <c r="G51" s="3801"/>
      <c r="H51" s="3801"/>
      <c r="I51" s="3801"/>
      <c r="J51" s="3801"/>
      <c r="K51" s="4243" t="str">
        <f>Table5!F10</f>
        <v>NO</v>
      </c>
      <c r="L51" s="4243" t="str">
        <f>Table5!G10</f>
        <v>NO</v>
      </c>
      <c r="M51" s="4243">
        <f>Table5!H10</f>
        <v>251.63993841302843</v>
      </c>
      <c r="N51" s="4244" t="str">
        <f>Table5!I10</f>
        <v>NO</v>
      </c>
      <c r="O51" s="4267">
        <f t="shared" si="2"/>
        <v>16206.623211644324</v>
      </c>
    </row>
    <row r="52" spans="2:15" ht="18" customHeight="1" x14ac:dyDescent="0.25">
      <c r="B52" s="4245" t="s">
        <v>2050</v>
      </c>
      <c r="C52" s="4248"/>
      <c r="D52" s="4246">
        <f>Table5!D11</f>
        <v>452.77203310000004</v>
      </c>
      <c r="E52" s="3816"/>
      <c r="F52" s="3801"/>
      <c r="G52" s="3801"/>
      <c r="H52" s="3801"/>
      <c r="I52" s="3801"/>
      <c r="J52" s="3801"/>
      <c r="K52" s="4247" t="str">
        <f>Table5!F11</f>
        <v>NO</v>
      </c>
      <c r="L52" s="4247" t="str">
        <f>Table5!G11</f>
        <v>NO</v>
      </c>
      <c r="M52" s="4247">
        <f>Table5!H11</f>
        <v>2.9658500587683405</v>
      </c>
      <c r="N52" s="3803"/>
      <c r="O52" s="4267">
        <f t="shared" si="2"/>
        <v>12677.616926800001</v>
      </c>
    </row>
    <row r="53" spans="2:15" ht="18" customHeight="1" x14ac:dyDescent="0.25">
      <c r="B53" s="4245" t="s">
        <v>1501</v>
      </c>
      <c r="C53" s="4248"/>
      <c r="D53" s="4246">
        <f>Table5!D15</f>
        <v>3.0080040074999994</v>
      </c>
      <c r="E53" s="4246">
        <f>Table5!E15</f>
        <v>0.38502451296000006</v>
      </c>
      <c r="F53" s="3802"/>
      <c r="G53" s="3802"/>
      <c r="H53" s="3802"/>
      <c r="I53" s="3802"/>
      <c r="J53" s="3802"/>
      <c r="K53" s="4247" t="str">
        <f>Table5!F15</f>
        <v>NA,NE</v>
      </c>
      <c r="L53" s="4247" t="str">
        <f>Table5!G15</f>
        <v>NA,NE</v>
      </c>
      <c r="M53" s="4247" t="str">
        <f>Table5!H15</f>
        <v>NA,NE</v>
      </c>
      <c r="N53" s="3803"/>
      <c r="O53" s="3782">
        <f t="shared" si="2"/>
        <v>186.25560814440001</v>
      </c>
    </row>
    <row r="54" spans="2:15" ht="18" customHeight="1" x14ac:dyDescent="0.25">
      <c r="B54" s="4245" t="s">
        <v>2051</v>
      </c>
      <c r="C54" s="4268">
        <f>Table5!C18</f>
        <v>30.577141562580699</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30.577141562580699</v>
      </c>
    </row>
    <row r="55" spans="2:15" ht="18" customHeight="1" x14ac:dyDescent="0.25">
      <c r="B55" s="4245" t="s">
        <v>1502</v>
      </c>
      <c r="C55" s="3791"/>
      <c r="D55" s="4226">
        <f>Table5!D21</f>
        <v>109.99494919054877</v>
      </c>
      <c r="E55" s="4226">
        <f>Table5!E21</f>
        <v>0.87666021812066863</v>
      </c>
      <c r="F55" s="3802"/>
      <c r="G55" s="3802"/>
      <c r="H55" s="3802"/>
      <c r="I55" s="3802"/>
      <c r="J55" s="3802"/>
      <c r="K55" s="4247" t="str">
        <f>Table5!F21</f>
        <v>NO</v>
      </c>
      <c r="L55" s="4247" t="str">
        <f>Table5!G21</f>
        <v>NO</v>
      </c>
      <c r="M55" s="4247">
        <f>Table5!H21</f>
        <v>248.67408835426008</v>
      </c>
      <c r="N55" s="3803"/>
      <c r="O55" s="4270">
        <f t="shared" si="2"/>
        <v>3312.1735351373422</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12188.047604479998</v>
      </c>
      <c r="D61" s="3820">
        <f>Table1!D52</f>
        <v>0.27563272536585365</v>
      </c>
      <c r="E61" s="3820">
        <f>Table1!E52</f>
        <v>0.12281481179620027</v>
      </c>
      <c r="F61" s="628"/>
      <c r="G61" s="628"/>
      <c r="H61" s="628"/>
      <c r="I61" s="628"/>
      <c r="J61" s="628"/>
      <c r="K61" s="3820">
        <f>Table1!F52</f>
        <v>121.12027496280872</v>
      </c>
      <c r="L61" s="3820">
        <f>Table1!G52</f>
        <v>16.876835716636712</v>
      </c>
      <c r="M61" s="3820">
        <f>Table1!H52</f>
        <v>9.5183339781448009</v>
      </c>
      <c r="N61" s="3821">
        <f>Table1!I52</f>
        <v>45.514006201342184</v>
      </c>
      <c r="O61" s="4267">
        <f t="shared" ref="O61:O67" si="4">IF(SUM(C61:J61)=0,"NO",SUM(C61,F61:H61)+28*SUM(D61)+265*SUM(E61)+23500*SUM(I61)+16100*SUM(J61))</f>
        <v>12228.311245916235</v>
      </c>
    </row>
    <row r="62" spans="2:15" ht="18" customHeight="1" x14ac:dyDescent="0.25">
      <c r="B62" s="1371" t="s">
        <v>111</v>
      </c>
      <c r="C62" s="4279">
        <f>Table1!C53</f>
        <v>9474.0236044799985</v>
      </c>
      <c r="D62" s="4233">
        <f>Table1!D53</f>
        <v>1.6632725365853661E-2</v>
      </c>
      <c r="E62" s="4233">
        <f>Table1!E53</f>
        <v>4.8814811796200265E-2</v>
      </c>
      <c r="F62" s="628"/>
      <c r="G62" s="628"/>
      <c r="H62" s="628"/>
      <c r="I62" s="628"/>
      <c r="J62" s="2135"/>
      <c r="K62" s="4233">
        <f>Table1!F53</f>
        <v>48.161874962808724</v>
      </c>
      <c r="L62" s="4233">
        <f>Table1!G53</f>
        <v>14.953715716636713</v>
      </c>
      <c r="M62" s="4233">
        <f>Table1!H53</f>
        <v>7.2294939781448004</v>
      </c>
      <c r="N62" s="4234">
        <f>Table1!I53</f>
        <v>1.11619243616</v>
      </c>
      <c r="O62" s="3782">
        <f t="shared" si="4"/>
        <v>9487.4252459162362</v>
      </c>
    </row>
    <row r="63" spans="2:15" ht="18" customHeight="1" x14ac:dyDescent="0.25">
      <c r="B63" s="1380" t="s">
        <v>1503</v>
      </c>
      <c r="C63" s="4279">
        <f>Table1!C54</f>
        <v>2714.0239999999994</v>
      </c>
      <c r="D63" s="4219">
        <f>Table1!D54</f>
        <v>0.25900000000000001</v>
      </c>
      <c r="E63" s="4219">
        <f>Table1!E54</f>
        <v>7.3999999999999996E-2</v>
      </c>
      <c r="F63" s="628"/>
      <c r="G63" s="628"/>
      <c r="H63" s="628"/>
      <c r="I63" s="628"/>
      <c r="J63" s="628"/>
      <c r="K63" s="4219">
        <f>Table1!F54</f>
        <v>72.958399999999997</v>
      </c>
      <c r="L63" s="4219">
        <f>Table1!G54</f>
        <v>1.9231199999999999</v>
      </c>
      <c r="M63" s="4219">
        <f>Table1!H54</f>
        <v>2.28884</v>
      </c>
      <c r="N63" s="4220">
        <f>Table1!I54</f>
        <v>44.397813765182185</v>
      </c>
      <c r="O63" s="3783">
        <f t="shared" si="4"/>
        <v>2740.8859999999995</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14734.32202037581</v>
      </c>
      <c r="D65" s="3823"/>
      <c r="E65" s="3823"/>
      <c r="F65" s="3824"/>
      <c r="G65" s="3824"/>
      <c r="H65" s="3824"/>
      <c r="I65" s="3824"/>
      <c r="J65" s="3823"/>
      <c r="K65" s="3823"/>
      <c r="L65" s="3823"/>
      <c r="M65" s="3823"/>
      <c r="N65" s="3825"/>
      <c r="O65" s="3812">
        <f t="shared" si="4"/>
        <v>14734.32202037581</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-273959.04669071984</v>
      </c>
      <c r="D67" s="3824"/>
      <c r="E67" s="3824"/>
      <c r="F67" s="3828"/>
      <c r="G67" s="3824"/>
      <c r="H67" s="3824"/>
      <c r="I67" s="3824"/>
      <c r="J67" s="3824"/>
      <c r="K67" s="3824"/>
      <c r="L67" s="3824"/>
      <c r="M67" s="3824"/>
      <c r="N67" s="3829"/>
      <c r="O67" s="3785">
        <f t="shared" si="4"/>
        <v>-273959.04669071984</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461119.87343517161</v>
      </c>
      <c r="D10" s="4213">
        <f>IFERROR(Summary1!D10*28,Summary1!D10)</f>
        <v>141129.27285384736</v>
      </c>
      <c r="E10" s="4213">
        <f>IFERROR(Summary1!E10*265,Summary1!E10)</f>
        <v>22041.916559330039</v>
      </c>
      <c r="F10" s="4213">
        <f>Summary1!F10</f>
        <v>6141.5462216641918</v>
      </c>
      <c r="G10" s="4213">
        <f>Summary1!G10</f>
        <v>322.43408328130437</v>
      </c>
      <c r="H10" s="4213" t="str">
        <f>Summary1!H10</f>
        <v>NO</v>
      </c>
      <c r="I10" s="4288">
        <f>IFERROR(Summary1!I10*23500,Summary1!I10)</f>
        <v>151.50594481761419</v>
      </c>
      <c r="J10" s="4289" t="str">
        <f>IFERROR(Summary1!J10*16100,Summary1!J10)</f>
        <v>NO</v>
      </c>
      <c r="K10" s="4214">
        <f>IF(SUM(C10:J10)=0,"NO",SUM(C10:J10))</f>
        <v>630906.54909811204</v>
      </c>
    </row>
    <row r="11" spans="2:12" ht="18" customHeight="1" x14ac:dyDescent="0.2">
      <c r="B11" s="1550" t="s">
        <v>1476</v>
      </c>
      <c r="C11" s="4253">
        <f>Summary1!C11</f>
        <v>384382.39784356515</v>
      </c>
      <c r="D11" s="4253">
        <f>IFERROR(Summary1!D11*28,Summary1!D11)</f>
        <v>40004.415164473292</v>
      </c>
      <c r="E11" s="4253">
        <f>IFERROR(Summary1!E11*265,Summary1!E11)</f>
        <v>3283.4068433627699</v>
      </c>
      <c r="F11" s="1929"/>
      <c r="G11" s="1929"/>
      <c r="H11" s="1930"/>
      <c r="I11" s="1930"/>
      <c r="J11" s="627"/>
      <c r="K11" s="4290">
        <f t="shared" ref="K11:K55" si="0">IF(SUM(C11:J11)=0,"NO",SUM(C11:J11))</f>
        <v>427670.21985140123</v>
      </c>
      <c r="L11" s="19"/>
    </row>
    <row r="12" spans="2:12" ht="18" customHeight="1" x14ac:dyDescent="0.2">
      <c r="B12" s="620" t="s">
        <v>131</v>
      </c>
      <c r="C12" s="4247">
        <f>Summary1!C12</f>
        <v>376416.2992935949</v>
      </c>
      <c r="D12" s="4247">
        <f>IFERROR(Summary1!D12*28,Summary1!D12)</f>
        <v>2403.8649557094241</v>
      </c>
      <c r="E12" s="4247">
        <f>IFERROR(Summary1!E12*265,Summary1!E12)</f>
        <v>3257.5494899538385</v>
      </c>
      <c r="F12" s="628"/>
      <c r="G12" s="628"/>
      <c r="H12" s="628"/>
      <c r="I12" s="69"/>
      <c r="J12" s="69"/>
      <c r="K12" s="4291">
        <f t="shared" si="0"/>
        <v>382077.71373925818</v>
      </c>
      <c r="L12" s="19"/>
    </row>
    <row r="13" spans="2:12" ht="18" customHeight="1" x14ac:dyDescent="0.2">
      <c r="B13" s="1392" t="s">
        <v>1478</v>
      </c>
      <c r="C13" s="4247">
        <f>Summary1!C13</f>
        <v>231140.21991732303</v>
      </c>
      <c r="D13" s="4247">
        <f>IFERROR(Summary1!D13*28,Summary1!D13)</f>
        <v>636.34266828995715</v>
      </c>
      <c r="E13" s="4247">
        <f>IFERROR(Summary1!E13*265,Summary1!E13)</f>
        <v>1044.2809260571516</v>
      </c>
      <c r="F13" s="628"/>
      <c r="G13" s="628"/>
      <c r="H13" s="628"/>
      <c r="I13" s="69"/>
      <c r="J13" s="69"/>
      <c r="K13" s="4291">
        <f t="shared" si="0"/>
        <v>232820.84351167013</v>
      </c>
      <c r="L13" s="19"/>
    </row>
    <row r="14" spans="2:12" ht="18" customHeight="1" x14ac:dyDescent="0.2">
      <c r="B14" s="1392" t="s">
        <v>1517</v>
      </c>
      <c r="C14" s="4247">
        <f>Summary1!C14</f>
        <v>40172.086958314503</v>
      </c>
      <c r="D14" s="4247">
        <f>IFERROR(Summary1!D14*28,Summary1!D14)</f>
        <v>54.414996104666713</v>
      </c>
      <c r="E14" s="4247">
        <f>IFERROR(Summary1!E14*265,Summary1!E14)</f>
        <v>289.52364203626286</v>
      </c>
      <c r="F14" s="628"/>
      <c r="G14" s="628"/>
      <c r="H14" s="628"/>
      <c r="I14" s="69"/>
      <c r="J14" s="69"/>
      <c r="K14" s="4291">
        <f t="shared" si="0"/>
        <v>40516.025596455431</v>
      </c>
      <c r="L14" s="19"/>
    </row>
    <row r="15" spans="2:12" ht="18" customHeight="1" x14ac:dyDescent="0.2">
      <c r="B15" s="1392" t="s">
        <v>1480</v>
      </c>
      <c r="C15" s="4247">
        <f>Summary1!C15</f>
        <v>84939.139138535204</v>
      </c>
      <c r="D15" s="4247">
        <f>IFERROR(Summary1!D15*28,Summary1!D15)</f>
        <v>507.67202044739929</v>
      </c>
      <c r="E15" s="4247">
        <f>IFERROR(Summary1!E15*265,Summary1!E15)</f>
        <v>1746.400149173935</v>
      </c>
      <c r="F15" s="628"/>
      <c r="G15" s="628"/>
      <c r="H15" s="628"/>
      <c r="I15" s="69"/>
      <c r="J15" s="69"/>
      <c r="K15" s="4291">
        <f t="shared" si="0"/>
        <v>87193.211308156533</v>
      </c>
      <c r="L15" s="19"/>
    </row>
    <row r="16" spans="2:12" ht="18" customHeight="1" x14ac:dyDescent="0.2">
      <c r="B16" s="1392" t="s">
        <v>1481</v>
      </c>
      <c r="C16" s="4247">
        <f>Summary1!C16</f>
        <v>19338.07645335851</v>
      </c>
      <c r="D16" s="4247">
        <f>IFERROR(Summary1!D16*28,Summary1!D16)</f>
        <v>1204.6331929488961</v>
      </c>
      <c r="E16" s="4247">
        <f>IFERROR(Summary1!E16*265,Summary1!E16)</f>
        <v>171.19753386156276</v>
      </c>
      <c r="F16" s="628"/>
      <c r="G16" s="628"/>
      <c r="H16" s="628"/>
      <c r="I16" s="69"/>
      <c r="J16" s="69"/>
      <c r="K16" s="4291">
        <f t="shared" si="0"/>
        <v>20713.907180168968</v>
      </c>
      <c r="L16" s="19"/>
    </row>
    <row r="17" spans="2:12" ht="18" customHeight="1" x14ac:dyDescent="0.2">
      <c r="B17" s="1392" t="s">
        <v>1482</v>
      </c>
      <c r="C17" s="4247">
        <f>Summary1!C17</f>
        <v>826.77682606361236</v>
      </c>
      <c r="D17" s="4247">
        <f>IFERROR(Summary1!D17*28,Summary1!D17)</f>
        <v>0.8020779185047846</v>
      </c>
      <c r="E17" s="4247">
        <f>IFERROR(Summary1!E17*265,Summary1!E17)</f>
        <v>6.1472388249262639</v>
      </c>
      <c r="F17" s="628"/>
      <c r="G17" s="628"/>
      <c r="H17" s="628"/>
      <c r="I17" s="69"/>
      <c r="J17" s="69"/>
      <c r="K17" s="4291">
        <f t="shared" si="0"/>
        <v>833.7261428070434</v>
      </c>
      <c r="L17" s="19"/>
    </row>
    <row r="18" spans="2:12" ht="18" customHeight="1" x14ac:dyDescent="0.2">
      <c r="B18" s="620" t="s">
        <v>99</v>
      </c>
      <c r="C18" s="4247">
        <f>Summary1!C18</f>
        <v>7966.0985499702711</v>
      </c>
      <c r="D18" s="4247">
        <f>IFERROR(Summary1!D18*28,Summary1!D18)</f>
        <v>37600.550208763867</v>
      </c>
      <c r="E18" s="4247">
        <f>IFERROR(Summary1!E18*265,Summary1!E18)</f>
        <v>25.857353408931459</v>
      </c>
      <c r="F18" s="628"/>
      <c r="G18" s="628"/>
      <c r="H18" s="628"/>
      <c r="I18" s="69"/>
      <c r="J18" s="69"/>
      <c r="K18" s="4291">
        <f t="shared" si="0"/>
        <v>45592.50611214307</v>
      </c>
      <c r="L18" s="19"/>
    </row>
    <row r="19" spans="2:12" ht="18" customHeight="1" x14ac:dyDescent="0.2">
      <c r="B19" s="1392" t="s">
        <v>1483</v>
      </c>
      <c r="C19" s="4247">
        <f>Summary1!C19</f>
        <v>1308.4125121797349</v>
      </c>
      <c r="D19" s="4247">
        <f>IFERROR(Summary1!D19*28,Summary1!D19)</f>
        <v>31898.054059630136</v>
      </c>
      <c r="E19" s="4247">
        <f>IFERROR(Summary1!E19*265,Summary1!E19)</f>
        <v>9.0107332636225126E-2</v>
      </c>
      <c r="F19" s="628"/>
      <c r="G19" s="628"/>
      <c r="H19" s="628"/>
      <c r="I19" s="69"/>
      <c r="J19" s="69"/>
      <c r="K19" s="4291">
        <f t="shared" si="0"/>
        <v>33206.556679142508</v>
      </c>
      <c r="L19" s="19"/>
    </row>
    <row r="20" spans="2:12" ht="18" customHeight="1" x14ac:dyDescent="0.2">
      <c r="B20" s="1393" t="s">
        <v>1484</v>
      </c>
      <c r="C20" s="4247">
        <f>Summary1!C20</f>
        <v>6657.6860377905359</v>
      </c>
      <c r="D20" s="4247">
        <f>IFERROR(Summary1!D20*28,Summary1!D20)</f>
        <v>5702.4961491337335</v>
      </c>
      <c r="E20" s="4247">
        <f>IFERROR(Summary1!E20*265,Summary1!E20)</f>
        <v>25.767246076295233</v>
      </c>
      <c r="F20" s="628"/>
      <c r="G20" s="628"/>
      <c r="H20" s="628"/>
      <c r="I20" s="69"/>
      <c r="J20" s="69"/>
      <c r="K20" s="4291">
        <f t="shared" si="0"/>
        <v>12385.949433000565</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21120.996965749539</v>
      </c>
      <c r="D22" s="4253">
        <f>IFERROR(Summary1!D22*28,Summary1!D22)</f>
        <v>86.405444984586424</v>
      </c>
      <c r="E22" s="4253">
        <f>IFERROR(Summary1!E22*265,Summary1!E22)</f>
        <v>2681.6556676425739</v>
      </c>
      <c r="F22" s="4253">
        <f>Summary1!F22</f>
        <v>6141.5462216641918</v>
      </c>
      <c r="G22" s="4253">
        <f>Summary1!G22</f>
        <v>322.43408328130437</v>
      </c>
      <c r="H22" s="4253" t="str">
        <f>Summary1!H22</f>
        <v>NO</v>
      </c>
      <c r="I22" s="4253">
        <f>IFERROR(Summary1!I22*23500,Summary1!I22)</f>
        <v>151.50594481761419</v>
      </c>
      <c r="J22" s="4293" t="str">
        <f>IFERROR(Summary1!J22*16100,Summary1!J22)</f>
        <v>NO</v>
      </c>
      <c r="K22" s="4290">
        <f t="shared" si="0"/>
        <v>30504.544328139807</v>
      </c>
      <c r="L22" s="19"/>
    </row>
    <row r="23" spans="2:12" ht="18" customHeight="1" x14ac:dyDescent="0.2">
      <c r="B23" s="1394" t="s">
        <v>1487</v>
      </c>
      <c r="C23" s="4247">
        <f>Summary1!C23</f>
        <v>6408.1365207979152</v>
      </c>
      <c r="D23" s="628"/>
      <c r="E23" s="628"/>
      <c r="F23" s="628"/>
      <c r="G23" s="628"/>
      <c r="H23" s="628"/>
      <c r="I23" s="69"/>
      <c r="J23" s="69"/>
      <c r="K23" s="4291">
        <f t="shared" si="0"/>
        <v>6408.1365207979152</v>
      </c>
      <c r="L23" s="19"/>
    </row>
    <row r="24" spans="2:12" ht="18" customHeight="1" x14ac:dyDescent="0.2">
      <c r="B24" s="1394" t="s">
        <v>621</v>
      </c>
      <c r="C24" s="4247">
        <f>Summary1!C24</f>
        <v>3186.7659698427397</v>
      </c>
      <c r="D24" s="4247">
        <f>IFERROR(Summary1!D24*28,Summary1!D24)</f>
        <v>16.177380799999998</v>
      </c>
      <c r="E24" s="4247">
        <f>IFERROR(Summary1!E24*265,Summary1!E24)</f>
        <v>2665.0898261376283</v>
      </c>
      <c r="F24" s="1924" t="str">
        <f>Summary1!F24</f>
        <v>NO</v>
      </c>
      <c r="G24" s="1924" t="str">
        <f>Summary1!G24</f>
        <v>NO</v>
      </c>
      <c r="H24" s="1924" t="str">
        <f>Summary1!H24</f>
        <v>NO</v>
      </c>
      <c r="I24" s="616" t="str">
        <f>IFERROR(Summary1!I24*23500,Summary1!I24)</f>
        <v>NO</v>
      </c>
      <c r="J24" s="616" t="str">
        <f>IFERROR(Summary1!J24*16100,Summary1!J24)</f>
        <v>NO</v>
      </c>
      <c r="K24" s="4291">
        <f t="shared" si="0"/>
        <v>5868.0331767803673</v>
      </c>
      <c r="L24" s="19"/>
    </row>
    <row r="25" spans="2:12" ht="18" customHeight="1" x14ac:dyDescent="0.2">
      <c r="B25" s="1394" t="s">
        <v>459</v>
      </c>
      <c r="C25" s="4247">
        <f>Summary1!C25</f>
        <v>11125.923167063165</v>
      </c>
      <c r="D25" s="4247">
        <f>IFERROR(Summary1!D25*28,Summary1!D25)</f>
        <v>70.22806418458643</v>
      </c>
      <c r="E25" s="4247">
        <f>IFERROR(Summary1!E25*265,Summary1!E25)</f>
        <v>16.565841504945752</v>
      </c>
      <c r="F25" s="1924" t="str">
        <f>Summary1!F25</f>
        <v>NO</v>
      </c>
      <c r="G25" s="4247">
        <f>Summary1!G25</f>
        <v>322.43408328130437</v>
      </c>
      <c r="H25" s="4247" t="str">
        <f>Summary1!H25</f>
        <v>NO</v>
      </c>
      <c r="I25" s="4247" t="str">
        <f>IFERROR(Summary1!I25*23500,Summary1!I25)</f>
        <v>NO</v>
      </c>
      <c r="J25" s="4247" t="str">
        <f>IFERROR(Summary1!J25*16100,Summary1!J25)</f>
        <v>NO</v>
      </c>
      <c r="K25" s="4291">
        <f t="shared" si="0"/>
        <v>11535.151156034002</v>
      </c>
      <c r="L25" s="19"/>
    </row>
    <row r="26" spans="2:12" ht="18" customHeight="1" x14ac:dyDescent="0.2">
      <c r="B26" s="1395" t="s">
        <v>1519</v>
      </c>
      <c r="C26" s="4247">
        <f>Summary1!C26</f>
        <v>238.76239894999998</v>
      </c>
      <c r="D26" s="4247" t="str">
        <f>IFERROR(Summary1!D26*28,Summary1!D26)</f>
        <v>NO</v>
      </c>
      <c r="E26" s="4247" t="str">
        <f>IFERROR(Summary1!E26*265,Summary1!E26)</f>
        <v>NO</v>
      </c>
      <c r="F26" s="628"/>
      <c r="G26" s="628"/>
      <c r="H26" s="628"/>
      <c r="I26" s="69"/>
      <c r="J26" s="69"/>
      <c r="K26" s="4291">
        <f t="shared" si="0"/>
        <v>238.76239894999998</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6141.5462216641918</v>
      </c>
      <c r="G28" s="4247" t="str">
        <f>Summary1!G28</f>
        <v>NO</v>
      </c>
      <c r="H28" s="4247" t="str">
        <f>Summary1!H28</f>
        <v>NO</v>
      </c>
      <c r="I28" s="4247" t="str">
        <f>IFERROR(Summary1!I28*23500,Summary1!I28)</f>
        <v>NO</v>
      </c>
      <c r="J28" s="4247" t="str">
        <f>IFERROR(Summary1!J28*16100,Summary1!J28)</f>
        <v>NO</v>
      </c>
      <c r="K28" s="4291">
        <f t="shared" si="0"/>
        <v>6141.5462216641918</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151.50594481761419</v>
      </c>
      <c r="J29" s="4247" t="str">
        <f>IFERROR(Summary1!J29*16100,Summary1!J29)</f>
        <v>NO</v>
      </c>
      <c r="K29" s="4291">
        <f t="shared" si="0"/>
        <v>151.50594481761419</v>
      </c>
      <c r="L29" s="19"/>
    </row>
    <row r="30" spans="2:12" ht="18" customHeight="1" thickBot="1" x14ac:dyDescent="0.25">
      <c r="B30" s="1407" t="s">
        <v>1523</v>
      </c>
      <c r="C30" s="4266">
        <f>Summary1!C30</f>
        <v>161.40890909572053</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161.40890909572053</v>
      </c>
      <c r="L30" s="19"/>
    </row>
    <row r="31" spans="2:12" ht="18" customHeight="1" x14ac:dyDescent="0.2">
      <c r="B31" s="772" t="s">
        <v>1491</v>
      </c>
      <c r="C31" s="4253">
        <f>Summary1!C31</f>
        <v>1943.1837325816937</v>
      </c>
      <c r="D31" s="4253">
        <f>IFERROR(Summary1!D31*28,Summary1!D31)</f>
        <v>64835.735107721644</v>
      </c>
      <c r="E31" s="4253">
        <f>IFERROR(Summary1!E31*265,Summary1!E31)</f>
        <v>10967.045165598516</v>
      </c>
      <c r="F31" s="1929"/>
      <c r="G31" s="1929"/>
      <c r="H31" s="1929"/>
      <c r="I31" s="4215"/>
      <c r="J31" s="627"/>
      <c r="K31" s="4290">
        <f t="shared" si="0"/>
        <v>77745.964005901857</v>
      </c>
      <c r="L31" s="19"/>
    </row>
    <row r="32" spans="2:12" ht="18" customHeight="1" x14ac:dyDescent="0.2">
      <c r="B32" s="620" t="s">
        <v>1492</v>
      </c>
      <c r="C32" s="628"/>
      <c r="D32" s="4247">
        <f>IFERROR(Summary1!D32*28,Summary1!D32)</f>
        <v>57978.533657850538</v>
      </c>
      <c r="E32" s="628"/>
      <c r="F32" s="628"/>
      <c r="G32" s="628"/>
      <c r="H32" s="628"/>
      <c r="I32" s="69"/>
      <c r="J32" s="69"/>
      <c r="K32" s="4291">
        <f t="shared" si="0"/>
        <v>57978.533657850538</v>
      </c>
      <c r="L32" s="19"/>
    </row>
    <row r="33" spans="2:12" ht="18" customHeight="1" x14ac:dyDescent="0.2">
      <c r="B33" s="620" t="s">
        <v>1493</v>
      </c>
      <c r="C33" s="628"/>
      <c r="D33" s="4247">
        <f>IFERROR(Summary1!D33*28,Summary1!D33)</f>
        <v>6604.8951319646339</v>
      </c>
      <c r="E33" s="4247">
        <f>IFERROR(Summary1!E33*265,Summary1!E33)</f>
        <v>406.73842615568179</v>
      </c>
      <c r="F33" s="628"/>
      <c r="G33" s="628"/>
      <c r="H33" s="628"/>
      <c r="I33" s="69"/>
      <c r="J33" s="69"/>
      <c r="K33" s="4291">
        <f t="shared" si="0"/>
        <v>7011.6335581203157</v>
      </c>
      <c r="L33" s="19"/>
    </row>
    <row r="34" spans="2:12" ht="18" customHeight="1" x14ac:dyDescent="0.2">
      <c r="B34" s="620" t="s">
        <v>1494</v>
      </c>
      <c r="C34" s="628"/>
      <c r="D34" s="4247">
        <f>IFERROR(Summary1!D34*28,Summary1!D34)</f>
        <v>32.007544799999998</v>
      </c>
      <c r="E34" s="628"/>
      <c r="F34" s="628"/>
      <c r="G34" s="628"/>
      <c r="H34" s="628"/>
      <c r="I34" s="69"/>
      <c r="J34" s="69"/>
      <c r="K34" s="4291">
        <f t="shared" si="0"/>
        <v>32.007544799999998</v>
      </c>
      <c r="L34" s="19"/>
    </row>
    <row r="35" spans="2:12" ht="18" customHeight="1" x14ac:dyDescent="0.2">
      <c r="B35" s="620" t="s">
        <v>1495</v>
      </c>
      <c r="C35" s="4294"/>
      <c r="D35" s="4247" t="str">
        <f>IFERROR(Summary1!D35*28,Summary1!D35)</f>
        <v>NE</v>
      </c>
      <c r="E35" s="4247">
        <f>IFERROR(Summary1!E35*265,Summary1!E35)</f>
        <v>10474.421237571276</v>
      </c>
      <c r="F35" s="628"/>
      <c r="G35" s="628"/>
      <c r="H35" s="628"/>
      <c r="I35" s="69"/>
      <c r="J35" s="69"/>
      <c r="K35" s="4291">
        <f t="shared" si="0"/>
        <v>10474.421237571276</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220.29877310647461</v>
      </c>
      <c r="E37" s="4247">
        <f>IFERROR(Summary1!E37*265,Summary1!E37)</f>
        <v>85.885501871559327</v>
      </c>
      <c r="F37" s="628"/>
      <c r="G37" s="628"/>
      <c r="H37" s="628"/>
      <c r="I37" s="69"/>
      <c r="J37" s="69"/>
      <c r="K37" s="4291">
        <f t="shared" si="0"/>
        <v>306.18427497803395</v>
      </c>
      <c r="L37" s="19"/>
    </row>
    <row r="38" spans="2:12" ht="18" customHeight="1" x14ac:dyDescent="0.2">
      <c r="B38" s="620" t="s">
        <v>721</v>
      </c>
      <c r="C38" s="1924">
        <f>Summary1!C38</f>
        <v>1159.4904844523769</v>
      </c>
      <c r="D38" s="4295"/>
      <c r="E38" s="4295"/>
      <c r="F38" s="628"/>
      <c r="G38" s="628"/>
      <c r="H38" s="628"/>
      <c r="I38" s="69"/>
      <c r="J38" s="69"/>
      <c r="K38" s="4291">
        <f t="shared" si="0"/>
        <v>1159.4904844523769</v>
      </c>
      <c r="L38" s="19"/>
    </row>
    <row r="39" spans="2:12" ht="18" customHeight="1" x14ac:dyDescent="0.2">
      <c r="B39" s="620" t="s">
        <v>722</v>
      </c>
      <c r="C39" s="1924">
        <f>Summary1!C39</f>
        <v>783.69324812931677</v>
      </c>
      <c r="D39" s="4295"/>
      <c r="E39" s="4295"/>
      <c r="F39" s="628"/>
      <c r="G39" s="628"/>
      <c r="H39" s="628"/>
      <c r="I39" s="69"/>
      <c r="J39" s="69"/>
      <c r="K39" s="4291">
        <f t="shared" si="0"/>
        <v>783.69324812931677</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53642.717751712669</v>
      </c>
      <c r="D42" s="1927">
        <f>IFERROR(Summary1!D42*28,Summary1!D42)</f>
        <v>20361.017520322457</v>
      </c>
      <c r="E42" s="1927">
        <f>IFERROR(Summary1!E42*265,Summary1!E42)</f>
        <v>4775.4624289898002</v>
      </c>
      <c r="F42" s="1929"/>
      <c r="G42" s="1929"/>
      <c r="H42" s="1929"/>
      <c r="I42" s="4215"/>
      <c r="J42" s="627"/>
      <c r="K42" s="4290">
        <f t="shared" si="0"/>
        <v>78779.197701024925</v>
      </c>
      <c r="L42" s="19"/>
    </row>
    <row r="43" spans="2:12" ht="18" customHeight="1" x14ac:dyDescent="0.2">
      <c r="B43" s="620" t="s">
        <v>981</v>
      </c>
      <c r="C43" s="1924">
        <f>Summary1!C43</f>
        <v>-26117.059401995764</v>
      </c>
      <c r="D43" s="1924">
        <f>IFERROR(Summary1!D43*28,Summary1!D43)</f>
        <v>8654.00474627728</v>
      </c>
      <c r="E43" s="1924">
        <f>IFERROR(Summary1!E43*265,Summary1!E43)</f>
        <v>1537.0399480145525</v>
      </c>
      <c r="F43" s="1931"/>
      <c r="G43" s="1931"/>
      <c r="H43" s="1931"/>
      <c r="I43" s="3352"/>
      <c r="J43" s="69"/>
      <c r="K43" s="4291">
        <f t="shared" si="0"/>
        <v>-15926.014707703933</v>
      </c>
      <c r="L43" s="19"/>
    </row>
    <row r="44" spans="2:12" ht="18" customHeight="1" x14ac:dyDescent="0.2">
      <c r="B44" s="620" t="s">
        <v>984</v>
      </c>
      <c r="C44" s="1924">
        <f>Summary1!C44</f>
        <v>11084.152476448246</v>
      </c>
      <c r="D44" s="1924">
        <f>IFERROR(Summary1!D44*28,Summary1!D44)</f>
        <v>57.480192000000002</v>
      </c>
      <c r="E44" s="1924">
        <f>IFERROR(Summary1!E44*265,Summary1!E44)</f>
        <v>39.257219678819325</v>
      </c>
      <c r="F44" s="1931"/>
      <c r="G44" s="1931"/>
      <c r="H44" s="1931"/>
      <c r="I44" s="3352"/>
      <c r="J44" s="69"/>
      <c r="K44" s="4291">
        <f t="shared" si="0"/>
        <v>11180.889888127065</v>
      </c>
      <c r="L44" s="19"/>
    </row>
    <row r="45" spans="2:12" ht="18" customHeight="1" x14ac:dyDescent="0.2">
      <c r="B45" s="620" t="s">
        <v>987</v>
      </c>
      <c r="C45" s="1924">
        <f>Summary1!C45</f>
        <v>67256.97019360619</v>
      </c>
      <c r="D45" s="1924">
        <f>IFERROR(Summary1!D45*28,Summary1!D45)</f>
        <v>9071.6333890737915</v>
      </c>
      <c r="E45" s="1924">
        <f>IFERROR(Summary1!E45*265,Summary1!E45)</f>
        <v>3037.5065010384328</v>
      </c>
      <c r="F45" s="1931"/>
      <c r="G45" s="1931"/>
      <c r="H45" s="1931"/>
      <c r="I45" s="3352"/>
      <c r="J45" s="69"/>
      <c r="K45" s="4291">
        <f t="shared" si="0"/>
        <v>79366.110083718406</v>
      </c>
      <c r="L45" s="19"/>
    </row>
    <row r="46" spans="2:12" ht="18" customHeight="1" x14ac:dyDescent="0.2">
      <c r="B46" s="620" t="s">
        <v>1525</v>
      </c>
      <c r="C46" s="1924">
        <f>Summary1!C46</f>
        <v>1389.7699748607338</v>
      </c>
      <c r="D46" s="1924">
        <f>IFERROR(Summary1!D46*28,Summary1!D46)</f>
        <v>2493.7277657713862</v>
      </c>
      <c r="E46" s="1924">
        <f>IFERROR(Summary1!E46*265,Summary1!E46)</f>
        <v>104.73500455485959</v>
      </c>
      <c r="F46" s="1931"/>
      <c r="G46" s="1931"/>
      <c r="H46" s="1931"/>
      <c r="I46" s="3352"/>
      <c r="J46" s="69"/>
      <c r="K46" s="4291">
        <f t="shared" si="0"/>
        <v>3988.2327451869796</v>
      </c>
      <c r="L46" s="19"/>
    </row>
    <row r="47" spans="2:12" ht="18" customHeight="1" x14ac:dyDescent="0.2">
      <c r="B47" s="620" t="s">
        <v>1526</v>
      </c>
      <c r="C47" s="1924">
        <f>Summary1!C47</f>
        <v>4791.8709359467648</v>
      </c>
      <c r="D47" s="1924">
        <f>IFERROR(Summary1!D47*28,Summary1!D47)</f>
        <v>84.171427199999997</v>
      </c>
      <c r="E47" s="1924">
        <f>IFERROR(Summary1!E47*265,Summary1!E47)</f>
        <v>24.702480243911427</v>
      </c>
      <c r="F47" s="1931"/>
      <c r="G47" s="1931"/>
      <c r="H47" s="1931"/>
      <c r="I47" s="3352"/>
      <c r="J47" s="69"/>
      <c r="K47" s="4291">
        <f t="shared" si="0"/>
        <v>4900.7448433906766</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-4763.393118684573</v>
      </c>
      <c r="D49" s="3835"/>
      <c r="E49" s="3835"/>
      <c r="F49" s="1931"/>
      <c r="G49" s="1931"/>
      <c r="H49" s="1931"/>
      <c r="I49" s="3352"/>
      <c r="J49" s="69"/>
      <c r="K49" s="4291">
        <f t="shared" si="0"/>
        <v>-4763.393118684573</v>
      </c>
      <c r="L49" s="19"/>
    </row>
    <row r="50" spans="2:12" ht="18" customHeight="1" thickBot="1" x14ac:dyDescent="0.25">
      <c r="B50" s="1552" t="s">
        <v>1529</v>
      </c>
      <c r="C50" s="1926">
        <f>Summary1!C50</f>
        <v>0.40669153106816663</v>
      </c>
      <c r="D50" s="1926" t="str">
        <f>IFERROR(Summary1!D50*28,Summary1!D50)</f>
        <v>NO</v>
      </c>
      <c r="E50" s="1926">
        <f>IFERROR(Summary1!E50*265,Summary1!E50)</f>
        <v>32.221275459224692</v>
      </c>
      <c r="F50" s="3024"/>
      <c r="G50" s="3024"/>
      <c r="H50" s="3024"/>
      <c r="I50" s="3828"/>
      <c r="J50" s="87"/>
      <c r="K50" s="4292">
        <f t="shared" si="0"/>
        <v>32.627966990292862</v>
      </c>
      <c r="L50" s="19"/>
    </row>
    <row r="51" spans="2:12" ht="18" customHeight="1" x14ac:dyDescent="0.2">
      <c r="B51" s="1550" t="s">
        <v>1500</v>
      </c>
      <c r="C51" s="1927">
        <f>Summary1!C51</f>
        <v>30.577141562580699</v>
      </c>
      <c r="D51" s="1927">
        <f>IFERROR(Summary1!D51*28,Summary1!D51)</f>
        <v>15841.699616345366</v>
      </c>
      <c r="E51" s="1927">
        <f>IFERROR(Summary1!E51*265,Summary1!E51)</f>
        <v>334.34645373637721</v>
      </c>
      <c r="F51" s="1929"/>
      <c r="G51" s="1929"/>
      <c r="H51" s="1929"/>
      <c r="I51" s="4215"/>
      <c r="J51" s="627"/>
      <c r="K51" s="4290">
        <f t="shared" si="0"/>
        <v>16206.623211644324</v>
      </c>
      <c r="L51" s="19"/>
    </row>
    <row r="52" spans="2:12" ht="18" customHeight="1" x14ac:dyDescent="0.2">
      <c r="B52" s="620" t="s">
        <v>1530</v>
      </c>
      <c r="C52" s="628"/>
      <c r="D52" s="1924">
        <f>IFERROR(Summary1!D52*28,Summary1!D52)</f>
        <v>12677.616926800001</v>
      </c>
      <c r="E52" s="1931"/>
      <c r="F52" s="628"/>
      <c r="G52" s="628"/>
      <c r="H52" s="628"/>
      <c r="I52" s="69"/>
      <c r="J52" s="69"/>
      <c r="K52" s="4291">
        <f t="shared" si="0"/>
        <v>12677.616926800001</v>
      </c>
      <c r="L52" s="19"/>
    </row>
    <row r="53" spans="2:12" ht="18" customHeight="1" x14ac:dyDescent="0.2">
      <c r="B53" s="1396" t="s">
        <v>1531</v>
      </c>
      <c r="C53" s="628"/>
      <c r="D53" s="1924">
        <f>IFERROR(Summary1!D53*28,Summary1!D53)</f>
        <v>84.224112209999987</v>
      </c>
      <c r="E53" s="1924">
        <f>IFERROR(Summary1!E53*265,Summary1!E53)</f>
        <v>102.03149593440001</v>
      </c>
      <c r="F53" s="628"/>
      <c r="G53" s="628"/>
      <c r="H53" s="628"/>
      <c r="I53" s="69"/>
      <c r="J53" s="69"/>
      <c r="K53" s="4291">
        <f t="shared" si="0"/>
        <v>186.25560814440001</v>
      </c>
      <c r="L53" s="19"/>
    </row>
    <row r="54" spans="2:12" ht="18" customHeight="1" x14ac:dyDescent="0.2">
      <c r="B54" s="1397" t="s">
        <v>1532</v>
      </c>
      <c r="C54" s="1924">
        <f>Summary1!C54</f>
        <v>30.577141562580699</v>
      </c>
      <c r="D54" s="1924" t="str">
        <f>IFERROR(Summary1!D54*28,Summary1!D54)</f>
        <v>NO,NE</v>
      </c>
      <c r="E54" s="1924" t="str">
        <f>IFERROR(Summary1!E54*265,Summary1!E54)</f>
        <v>NO,NE</v>
      </c>
      <c r="F54" s="628"/>
      <c r="G54" s="628"/>
      <c r="H54" s="628"/>
      <c r="I54" s="69"/>
      <c r="J54" s="69"/>
      <c r="K54" s="4291">
        <f t="shared" si="0"/>
        <v>30.577141562580699</v>
      </c>
      <c r="L54" s="19"/>
    </row>
    <row r="55" spans="2:12" ht="18" customHeight="1" x14ac:dyDescent="0.2">
      <c r="B55" s="620" t="s">
        <v>1533</v>
      </c>
      <c r="C55" s="628"/>
      <c r="D55" s="1924">
        <f>IFERROR(Summary1!D55*28,Summary1!D55)</f>
        <v>3079.8585773353652</v>
      </c>
      <c r="E55" s="1924">
        <f>IFERROR(Summary1!E55*265,Summary1!E55)</f>
        <v>232.31495780197719</v>
      </c>
      <c r="F55" s="628"/>
      <c r="G55" s="628"/>
      <c r="H55" s="628"/>
      <c r="I55" s="69"/>
      <c r="J55" s="69"/>
      <c r="K55" s="4291">
        <f t="shared" si="0"/>
        <v>3312.1735351373422</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12188.047604479998</v>
      </c>
      <c r="D60" s="4219">
        <f>IFERROR(Summary1!D61*28,Summary1!D61)</f>
        <v>7.7177163102439019</v>
      </c>
      <c r="E60" s="4219">
        <f>IFERROR(Summary1!E61*265,Summary1!E61)</f>
        <v>32.545925125993072</v>
      </c>
      <c r="F60" s="1931"/>
      <c r="G60" s="1931"/>
      <c r="H60" s="1932"/>
      <c r="I60" s="630"/>
      <c r="J60" s="630"/>
      <c r="K60" s="4220">
        <f t="shared" ref="K60:K66" si="2">IF(SUM(C60:J60)=0,"NO",SUM(C60:J60))</f>
        <v>12228.311245916235</v>
      </c>
    </row>
    <row r="61" spans="2:12" ht="18" customHeight="1" x14ac:dyDescent="0.2">
      <c r="B61" s="1386" t="s">
        <v>111</v>
      </c>
      <c r="C61" s="4219">
        <f>Summary1!C62</f>
        <v>9474.0236044799985</v>
      </c>
      <c r="D61" s="4219">
        <f>IFERROR(Summary1!D62*28,Summary1!D62)</f>
        <v>0.46571631024390248</v>
      </c>
      <c r="E61" s="4219">
        <f>IFERROR(Summary1!E62*265,Summary1!E62)</f>
        <v>12.935925125993069</v>
      </c>
      <c r="F61" s="628"/>
      <c r="G61" s="628"/>
      <c r="H61" s="628"/>
      <c r="I61" s="631"/>
      <c r="J61" s="631"/>
      <c r="K61" s="4234">
        <f t="shared" si="2"/>
        <v>9487.4252459162362</v>
      </c>
    </row>
    <row r="62" spans="2:12" ht="18" customHeight="1" x14ac:dyDescent="0.2">
      <c r="B62" s="1387" t="s">
        <v>1503</v>
      </c>
      <c r="C62" s="4219">
        <f>Summary1!C63</f>
        <v>2714.0239999999994</v>
      </c>
      <c r="D62" s="4219">
        <f>IFERROR(Summary1!D63*28,Summary1!D63)</f>
        <v>7.2520000000000007</v>
      </c>
      <c r="E62" s="4219">
        <f>IFERROR(Summary1!E63*265,Summary1!E63)</f>
        <v>19.61</v>
      </c>
      <c r="F62" s="628"/>
      <c r="G62" s="628"/>
      <c r="H62" s="628"/>
      <c r="I62" s="632"/>
      <c r="J62" s="632"/>
      <c r="K62" s="4220">
        <f t="shared" si="2"/>
        <v>2740.8859999999995</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14734.32202037581</v>
      </c>
      <c r="D64" s="1931"/>
      <c r="E64" s="1931"/>
      <c r="F64" s="1931"/>
      <c r="G64" s="1931"/>
      <c r="H64" s="1931"/>
      <c r="I64" s="3352"/>
      <c r="J64" s="3352"/>
      <c r="K64" s="3821">
        <f t="shared" si="2"/>
        <v>14734.32202037581</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-273959.04669071984</v>
      </c>
      <c r="D66" s="4301"/>
      <c r="E66" s="4301"/>
      <c r="F66" s="4301"/>
      <c r="G66" s="4301"/>
      <c r="H66" s="4301"/>
      <c r="I66" s="3824"/>
      <c r="J66" s="3824"/>
      <c r="K66" s="4302">
        <f t="shared" si="2"/>
        <v>-273959.04669071984</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552127.3513970871</v>
      </c>
      <c r="N71" s="1126"/>
    </row>
    <row r="72" spans="2:14" s="634" customFormat="1" ht="18" customHeight="1" x14ac:dyDescent="0.25">
      <c r="B72" s="637"/>
      <c r="C72" s="638"/>
      <c r="D72" s="638"/>
      <c r="E72" s="638"/>
      <c r="F72" s="638"/>
      <c r="G72" s="638"/>
      <c r="H72" s="638"/>
      <c r="I72" s="638"/>
      <c r="J72" s="2553" t="s">
        <v>2122</v>
      </c>
      <c r="K72" s="3821">
        <f>K10</f>
        <v>630906.54909811204</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715273.79792718869</v>
      </c>
      <c r="D10" s="3076" t="s">
        <v>1814</v>
      </c>
      <c r="E10" s="628"/>
      <c r="F10" s="628"/>
      <c r="G10" s="628"/>
      <c r="H10" s="1913">
        <f>IF(SUM(H11:H15)=0,"NO",SUM(H11:H15))</f>
        <v>40172.08695831451</v>
      </c>
      <c r="I10" s="1913">
        <f t="shared" ref="I10:K10" si="0">IF(SUM(I11:I16)=0,"NO",SUM(I11:I16))</f>
        <v>1.9433927180238111</v>
      </c>
      <c r="J10" s="1847">
        <f t="shared" si="0"/>
        <v>1.09254204541986</v>
      </c>
      <c r="K10" s="3065" t="str">
        <f t="shared" si="0"/>
        <v>NO</v>
      </c>
    </row>
    <row r="11" spans="2:11" ht="18" customHeight="1" x14ac:dyDescent="0.2">
      <c r="B11" s="282" t="s">
        <v>132</v>
      </c>
      <c r="C11" s="1913">
        <f>IF(SUM(C18,C25,C32,C39,C46,C53,C62,C69,C76,C83,C90,C97,C114,C104:C107)=0,"NO",SUM(C18,C25,C32,C39,C46,C53,C62,C69,C76,C83,C90,C97,C114,C104:C107))</f>
        <v>182496.19156724133</v>
      </c>
      <c r="D11" s="3077" t="s">
        <v>1814</v>
      </c>
      <c r="E11" s="1913">
        <f>IFERROR(H11*1000/$C11,"NA")</f>
        <v>69.283281558084326</v>
      </c>
      <c r="F11" s="1913">
        <f t="shared" ref="F11:G16" si="1">IFERROR(I11*1000000/$C11,"NA")</f>
        <v>4.4646853876659396</v>
      </c>
      <c r="G11" s="1913">
        <f t="shared" si="1"/>
        <v>2.1115643794920311</v>
      </c>
      <c r="H11" s="1913">
        <f>IF(SUM(H18,H25,H32,H39,H46,H53,H62,H69,H76,H83,H90,H97,H114,H104:H107)=0,"NO",SUM(H18,H25,H32,H39,H46,H53,H62,H69,H76,H83,H90,H97,H114,H104:H107))</f>
        <v>12643.935023631277</v>
      </c>
      <c r="I11" s="1913">
        <f>IF(SUM(I18,I25,I32,I39,I46,I53,I62,I69,I76,I83,I90,I97,I114,I104:I107)=0,"NO",SUM(I18,I25,I32,I39,I46,I53,I62,I69,I76,I83,I90,I97,I114,I104:I107))</f>
        <v>0.8147880797949465</v>
      </c>
      <c r="J11" s="1913">
        <f>IF(SUM(J18,J25,J32,J39,J46,J53,J62,J69,J76,J83,J90,J97,J114,J104:J107)=0,"NO",SUM(J18,J25,J32,J39,J46,J53,J62,J69,J76,J83,J90,J97,J114,J104:J107))</f>
        <v>0.38535245750634073</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125816.83151274298</v>
      </c>
      <c r="D12" s="3077" t="s">
        <v>1814</v>
      </c>
      <c r="E12" s="1913">
        <f t="shared" ref="E12:E16" si="2">IFERROR(H12*1000/$C12,"NA")</f>
        <v>83.665040174523426</v>
      </c>
      <c r="F12" s="1913">
        <f t="shared" si="1"/>
        <v>0.9530042435428876</v>
      </c>
      <c r="G12" s="1913">
        <f t="shared" si="1"/>
        <v>0.71255672732054931</v>
      </c>
      <c r="H12" s="1913">
        <f>IF(SUM(H19,H26,H33,H40,H47,H54,H63,H70,H77,H84,H91,H98,H115)=0,"NO",SUM(H19,H26,H33,H40,H47,H54,H63,H70,H77,H84,H91,H98,H115))</f>
        <v>10526.470263144885</v>
      </c>
      <c r="I12" s="1913">
        <f>IF(SUM(I19,I26,I33,I40,I47,I54,I63,I70,I77,I84,I91,I98,I115)=0,"NO",SUM(I19,I26,I33,I40,I47,I54,I63,I70,I77,I84,I91,I98,I115))</f>
        <v>0.11990397434076457</v>
      </c>
      <c r="J12" s="1913">
        <f>IF(SUM(J19,J26,J33,J40,J47,J54,J63,J70,J77,J84,J91,J98,J115)=0,"NO",SUM(J19,J26,J33,J40,J47,J54,J63,J70,J77,J84,J91,J98,J115))</f>
        <v>8.96516297045611E-2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330587.76333838707</v>
      </c>
      <c r="D13" s="3077" t="s">
        <v>1814</v>
      </c>
      <c r="E13" s="1913">
        <f t="shared" si="2"/>
        <v>51.428647872049496</v>
      </c>
      <c r="F13" s="1913">
        <f t="shared" si="1"/>
        <v>0.96373251999840681</v>
      </c>
      <c r="G13" s="1913">
        <f t="shared" si="1"/>
        <v>0.5346472052275244</v>
      </c>
      <c r="H13" s="1913">
        <f t="shared" ref="H13:K14" si="3">IF(SUM(H20,H27,H34,H41,H48,H55,H64,H71,H78,H85,H92,H99,H116,H109)=0,"NO",SUM(H20,H27,H34,H41,H48,H55,H64,H71,H78,H85,H92,H99,H116,H109))</f>
        <v>17001.681671538343</v>
      </c>
      <c r="I13" s="1913">
        <f t="shared" si="3"/>
        <v>0.31859817824274067</v>
      </c>
      <c r="J13" s="1913">
        <f t="shared" si="3"/>
        <v>0.17674782375128689</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76373.011508817261</v>
      </c>
      <c r="D16" s="3092" t="s">
        <v>1814</v>
      </c>
      <c r="E16" s="1913">
        <f t="shared" si="2"/>
        <v>94.18265965688083</v>
      </c>
      <c r="F16" s="1913">
        <f t="shared" si="1"/>
        <v>9.0359470186099315</v>
      </c>
      <c r="G16" s="1913">
        <f t="shared" si="1"/>
        <v>5.7715431897926672</v>
      </c>
      <c r="H16" s="1913">
        <f>IF(SUM(H23,H30,H37,H44,H51,H58,H67,H74,H81,H88,H95,H102,H119,H111)=0,"NO",SUM(H23,H30,H37,H44,H51,H58,H67,H74,H81,H88,H95,H102,H119,H111))</f>
        <v>7193.0133499059793</v>
      </c>
      <c r="I16" s="1913">
        <f>IF(SUM(I23,I30,I37,I44,I51,I58,I67,I74,I81,I88,I95,I102,I119,I111)=0,"NO",SUM(I23,I30,I37,I44,I51,I58,I67,I74,I81,I88,I95,I102,I119,I111))</f>
        <v>0.69010248564535925</v>
      </c>
      <c r="J16" s="1913">
        <f>IF(SUM(J23,J30,J37,J44,J51,J58,J67,J74,J81,J88,J95,J102,J119,J111)=0,"NO",SUM(J23,J30,J37,J44,J51,J58,J67,J74,J81,J88,J95,J102,J119,J111))</f>
        <v>0.44079013445767123</v>
      </c>
      <c r="K16" s="3065" t="str">
        <f>IF(SUM(K23,K30,K37,K44,K51,K58,K67,K74,K81,K88,K95,K102,K119,K111)=0,"NO",SUM(K23,K30,K37,K44,K51,K58,K67,K74,K81,K88,K95,K102,K119,K111))</f>
        <v>NO</v>
      </c>
    </row>
    <row r="17" spans="2:11" ht="18" customHeight="1" x14ac:dyDescent="0.2">
      <c r="B17" s="1241" t="s">
        <v>151</v>
      </c>
      <c r="C17" s="1913">
        <f>IF(SUM(C18:C23)=0,"NO",SUM(C18:C23))</f>
        <v>40483.769105890737</v>
      </c>
      <c r="D17" s="3076" t="s">
        <v>1814</v>
      </c>
      <c r="E17" s="628"/>
      <c r="F17" s="628"/>
      <c r="G17" s="628"/>
      <c r="H17" s="1913">
        <f>IF(SUM(H18:H22)=0,"NO",SUM(H18:H22))</f>
        <v>2005.4708286980167</v>
      </c>
      <c r="I17" s="1913">
        <f t="shared" ref="I17:K17" si="4">IF(SUM(I18:I23)=0,"NO",SUM(I18:I23))</f>
        <v>4.2297152717200553E-2</v>
      </c>
      <c r="J17" s="1913">
        <f t="shared" si="4"/>
        <v>2.3881137993757101E-2</v>
      </c>
      <c r="K17" s="3065" t="str">
        <f t="shared" si="4"/>
        <v>NO</v>
      </c>
    </row>
    <row r="18" spans="2:11" ht="18" customHeight="1" x14ac:dyDescent="0.2">
      <c r="B18" s="282" t="s">
        <v>132</v>
      </c>
      <c r="C18" s="691">
        <v>900.68091630000004</v>
      </c>
      <c r="D18" s="3077" t="s">
        <v>1814</v>
      </c>
      <c r="E18" s="1913">
        <f>IFERROR(H18*1000/$C18,"NA")</f>
        <v>70.50607527350806</v>
      </c>
      <c r="F18" s="1913">
        <f t="shared" ref="F18:G23" si="5">IFERROR(I18*1000000/$C18,"NA")</f>
        <v>4.9847466386243999</v>
      </c>
      <c r="G18" s="1913">
        <f t="shared" si="5"/>
        <v>1.1978634767759695</v>
      </c>
      <c r="H18" s="691">
        <v>63.503476482060009</v>
      </c>
      <c r="I18" s="691">
        <v>4.4896661699995689E-3</v>
      </c>
      <c r="J18" s="691">
        <v>1.078892773864884E-3</v>
      </c>
      <c r="K18" s="3093" t="s">
        <v>2146</v>
      </c>
    </row>
    <row r="19" spans="2:11" ht="18" customHeight="1" x14ac:dyDescent="0.2">
      <c r="B19" s="282" t="s">
        <v>133</v>
      </c>
      <c r="C19" s="691">
        <v>19816.317268990733</v>
      </c>
      <c r="D19" s="3077" t="s">
        <v>1814</v>
      </c>
      <c r="E19" s="1913">
        <f t="shared" ref="E19:E23" si="6">IFERROR(H19*1000/$C19,"NA")</f>
        <v>46.715024151521341</v>
      </c>
      <c r="F19" s="1913">
        <f t="shared" si="5"/>
        <v>0.95565152435247513</v>
      </c>
      <c r="G19" s="1913">
        <f t="shared" si="5"/>
        <v>0.59486996733903053</v>
      </c>
      <c r="H19" s="691">
        <v>925.71973981511155</v>
      </c>
      <c r="I19" s="691">
        <v>1.8937493805163269E-2</v>
      </c>
      <c r="J19" s="691">
        <v>1.1788132006584386E-2</v>
      </c>
      <c r="K19" s="3093" t="s">
        <v>2146</v>
      </c>
    </row>
    <row r="20" spans="2:11" ht="18" customHeight="1" x14ac:dyDescent="0.2">
      <c r="B20" s="282" t="s">
        <v>134</v>
      </c>
      <c r="C20" s="691">
        <v>19766.770920600007</v>
      </c>
      <c r="D20" s="3077" t="s">
        <v>1814</v>
      </c>
      <c r="E20" s="1913">
        <f t="shared" si="6"/>
        <v>51.411918339264986</v>
      </c>
      <c r="F20" s="1913">
        <f t="shared" si="5"/>
        <v>0.95463203463203428</v>
      </c>
      <c r="G20" s="1913">
        <f t="shared" si="5"/>
        <v>0.55720346320346303</v>
      </c>
      <c r="H20" s="691">
        <v>1016.2476124008452</v>
      </c>
      <c r="I20" s="691">
        <v>1.8869992742037715E-2</v>
      </c>
      <c r="J20" s="691">
        <v>1.101411321330783E-2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212454.43817374454</v>
      </c>
      <c r="D24" s="3077" t="s">
        <v>1814</v>
      </c>
      <c r="E24" s="628"/>
      <c r="F24" s="628"/>
      <c r="G24" s="628"/>
      <c r="H24" s="1913">
        <f>IF(SUM(H25:H29)=0,"NO",SUM(H25:H29))</f>
        <v>13379.420453521227</v>
      </c>
      <c r="I24" s="1913">
        <f t="shared" ref="I24:K24" si="7">IF(SUM(I25:I30)=0,"NO",SUM(I25:I30))</f>
        <v>0.25511838545221599</v>
      </c>
      <c r="J24" s="1913">
        <f t="shared" si="7"/>
        <v>0.15360732574741109</v>
      </c>
      <c r="K24" s="3065" t="str">
        <f t="shared" si="7"/>
        <v>NO</v>
      </c>
    </row>
    <row r="25" spans="2:11" ht="18" customHeight="1" x14ac:dyDescent="0.2">
      <c r="B25" s="282" t="s">
        <v>132</v>
      </c>
      <c r="C25" s="691">
        <v>31871.682604988331</v>
      </c>
      <c r="D25" s="3077" t="s">
        <v>1814</v>
      </c>
      <c r="E25" s="1913">
        <f>IFERROR(H25*1000/$C25,"NA")</f>
        <v>72.928963739133223</v>
      </c>
      <c r="F25" s="1913">
        <f t="shared" ref="F25:G30" si="8">IFERROR(I25*1000000/$C25,"NA")</f>
        <v>2.0135389208544057</v>
      </c>
      <c r="G25" s="1913">
        <f t="shared" si="8"/>
        <v>1.0172039359371641</v>
      </c>
      <c r="H25" s="691">
        <v>2324.3687850043575</v>
      </c>
      <c r="I25" s="691">
        <v>6.4174873398262333E-2</v>
      </c>
      <c r="J25" s="691">
        <v>3.2420000990734173E-2</v>
      </c>
      <c r="K25" s="3093" t="s">
        <v>2146</v>
      </c>
    </row>
    <row r="26" spans="2:11" ht="18" customHeight="1" x14ac:dyDescent="0.2">
      <c r="B26" s="282" t="s">
        <v>133</v>
      </c>
      <c r="C26" s="691">
        <v>47615.965658399989</v>
      </c>
      <c r="D26" s="3077" t="s">
        <v>1814</v>
      </c>
      <c r="E26" s="1913">
        <f t="shared" ref="E26:E30" si="9">IFERROR(H26*1000/$C26,"NA")</f>
        <v>91.012508063075543</v>
      </c>
      <c r="F26" s="1913">
        <f t="shared" si="8"/>
        <v>0.95238095238095222</v>
      </c>
      <c r="G26" s="1913">
        <f t="shared" si="8"/>
        <v>0.70609523809523811</v>
      </c>
      <c r="H26" s="691">
        <v>4333.6484584162572</v>
      </c>
      <c r="I26" s="691">
        <v>4.5348538722285697E-2</v>
      </c>
      <c r="J26" s="691">
        <v>3.3621406608702623E-2</v>
      </c>
      <c r="K26" s="3093" t="s">
        <v>2146</v>
      </c>
    </row>
    <row r="27" spans="2:11" ht="18" customHeight="1" x14ac:dyDescent="0.2">
      <c r="B27" s="282" t="s">
        <v>134</v>
      </c>
      <c r="C27" s="691">
        <v>130736.28503310002</v>
      </c>
      <c r="D27" s="3077" t="s">
        <v>1814</v>
      </c>
      <c r="E27" s="1913">
        <f t="shared" si="9"/>
        <v>51.411918339265</v>
      </c>
      <c r="F27" s="1913">
        <f t="shared" si="8"/>
        <v>0.95727272727272728</v>
      </c>
      <c r="G27" s="1913">
        <f t="shared" si="8"/>
        <v>0.57027272727272704</v>
      </c>
      <c r="H27" s="691">
        <v>6721.4032101006114</v>
      </c>
      <c r="I27" s="691">
        <v>0.1251502801271403</v>
      </c>
      <c r="J27" s="691">
        <v>7.4555337819330561E-2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2230.5048772562022</v>
      </c>
      <c r="D30" s="3077" t="s">
        <v>1814</v>
      </c>
      <c r="E30" s="1913">
        <f t="shared" si="9"/>
        <v>93.99683928547914</v>
      </c>
      <c r="F30" s="1913">
        <f t="shared" si="8"/>
        <v>9.165948666150058</v>
      </c>
      <c r="G30" s="1913">
        <f t="shared" si="8"/>
        <v>5.8330203449939697</v>
      </c>
      <c r="H30" s="691">
        <v>209.66040847292862</v>
      </c>
      <c r="I30" s="691">
        <v>2.0444693204527683E-2</v>
      </c>
      <c r="J30" s="691">
        <v>1.3010580328643703E-2</v>
      </c>
      <c r="K30" s="3093" t="s">
        <v>2146</v>
      </c>
    </row>
    <row r="31" spans="2:11" ht="18" customHeight="1" x14ac:dyDescent="0.2">
      <c r="B31" s="1241" t="s">
        <v>153</v>
      </c>
      <c r="C31" s="1913">
        <f>IF(SUM(C32:C37)=0,"NO",SUM(C32:C37))</f>
        <v>111678.68933127812</v>
      </c>
      <c r="D31" s="3077" t="s">
        <v>1814</v>
      </c>
      <c r="E31" s="628"/>
      <c r="F31" s="628"/>
      <c r="G31" s="628"/>
      <c r="H31" s="1913">
        <f>IF(SUM(H32:H36)=0,"NO",SUM(H32:H36))</f>
        <v>6765.7724917991673</v>
      </c>
      <c r="I31" s="1913">
        <f t="shared" ref="I31:K31" si="10">IF(SUM(I32:I37)=0,"NO",SUM(I32:I37))</f>
        <v>0.24370673157552558</v>
      </c>
      <c r="J31" s="1913">
        <f t="shared" si="10"/>
        <v>8.1202751168407986E-2</v>
      </c>
      <c r="K31" s="3065" t="str">
        <f t="shared" si="10"/>
        <v>NO</v>
      </c>
    </row>
    <row r="32" spans="2:11" ht="18" customHeight="1" x14ac:dyDescent="0.2">
      <c r="B32" s="282" t="s">
        <v>132</v>
      </c>
      <c r="C32" s="691">
        <v>57377.305926235102</v>
      </c>
      <c r="D32" s="3077" t="s">
        <v>1814</v>
      </c>
      <c r="E32" s="1913">
        <f>IFERROR(H32*1000/$C32,"NA")</f>
        <v>67.659385890223234</v>
      </c>
      <c r="F32" s="1913">
        <f t="shared" ref="F32:G37" si="11">IFERROR(I32*1000000/$C32,"NA")</f>
        <v>3.3104968883943848</v>
      </c>
      <c r="G32" s="1913">
        <f t="shared" si="11"/>
        <v>0.89251370139458286</v>
      </c>
      <c r="H32" s="691">
        <v>3882.1132830045331</v>
      </c>
      <c r="I32" s="691">
        <v>0.18994739273325401</v>
      </c>
      <c r="J32" s="691">
        <v>5.1210031688273427E-2</v>
      </c>
      <c r="K32" s="3093" t="s">
        <v>2146</v>
      </c>
    </row>
    <row r="33" spans="2:11" ht="18" customHeight="1" x14ac:dyDescent="0.2">
      <c r="B33" s="282" t="s">
        <v>133</v>
      </c>
      <c r="C33" s="691">
        <v>2882.5545316780967</v>
      </c>
      <c r="D33" s="3077" t="s">
        <v>1814</v>
      </c>
      <c r="E33" s="1913">
        <f t="shared" ref="E33:E37" si="12">IFERROR(H33*1000/$C33,"NA")</f>
        <v>90.554113095244617</v>
      </c>
      <c r="F33" s="1913">
        <f t="shared" si="11"/>
        <v>0.95238095238095233</v>
      </c>
      <c r="G33" s="1913">
        <f t="shared" si="11"/>
        <v>0.66666666666666663</v>
      </c>
      <c r="H33" s="691">
        <v>261.02716906478827</v>
      </c>
      <c r="I33" s="691">
        <v>2.745290030169616E-3</v>
      </c>
      <c r="J33" s="691">
        <v>1.9217030211187312E-3</v>
      </c>
      <c r="K33" s="3093" t="s">
        <v>2146</v>
      </c>
    </row>
    <row r="34" spans="2:11" ht="18" customHeight="1" x14ac:dyDescent="0.2">
      <c r="B34" s="282" t="s">
        <v>134</v>
      </c>
      <c r="C34" s="691">
        <v>51012.141239764918</v>
      </c>
      <c r="D34" s="3077" t="s">
        <v>1814</v>
      </c>
      <c r="E34" s="1913">
        <f t="shared" si="12"/>
        <v>51.411918339264993</v>
      </c>
      <c r="F34" s="1913">
        <f t="shared" si="11"/>
        <v>0.95318293970951973</v>
      </c>
      <c r="G34" s="1913">
        <f t="shared" si="11"/>
        <v>0.51667183658527349</v>
      </c>
      <c r="H34" s="691">
        <v>2622.6320397298464</v>
      </c>
      <c r="I34" s="691">
        <v>4.8623902747796349E-2</v>
      </c>
      <c r="J34" s="691">
        <v>2.6356536702496713E-2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406.68763359999997</v>
      </c>
      <c r="D37" s="3077" t="s">
        <v>1814</v>
      </c>
      <c r="E37" s="1913">
        <f t="shared" si="12"/>
        <v>84.110109390980085</v>
      </c>
      <c r="F37" s="1913">
        <f t="shared" si="11"/>
        <v>5.8771053428598421</v>
      </c>
      <c r="G37" s="1913">
        <f t="shared" si="11"/>
        <v>4.2157164734578512</v>
      </c>
      <c r="H37" s="691">
        <v>34.206541350054827</v>
      </c>
      <c r="I37" s="691">
        <v>2.3901460643055857E-3</v>
      </c>
      <c r="J37" s="691">
        <v>1.7144797565191105E-3</v>
      </c>
      <c r="K37" s="3093" t="s">
        <v>2146</v>
      </c>
    </row>
    <row r="38" spans="2:11" ht="18" customHeight="1" x14ac:dyDescent="0.2">
      <c r="B38" s="1241" t="s">
        <v>154</v>
      </c>
      <c r="C38" s="1913">
        <f>IF(SUM(C39:C44)=0,"NO",SUM(C39:C44))</f>
        <v>42897.608071979383</v>
      </c>
      <c r="D38" s="3077" t="s">
        <v>1814</v>
      </c>
      <c r="E38" s="628"/>
      <c r="F38" s="628"/>
      <c r="G38" s="628"/>
      <c r="H38" s="1913">
        <f>IF(SUM(H39:H43)=0,"NO",SUM(H39:H43))</f>
        <v>1323.431797843321</v>
      </c>
      <c r="I38" s="1913">
        <f t="shared" ref="I38:K38" si="13">IF(SUM(I39:I44)=0,"NO",SUM(I39:I44))</f>
        <v>0.21152686182847433</v>
      </c>
      <c r="J38" s="1913">
        <f t="shared" si="13"/>
        <v>0.13987905289017249</v>
      </c>
      <c r="K38" s="3065" t="str">
        <f t="shared" si="13"/>
        <v>NO</v>
      </c>
    </row>
    <row r="39" spans="2:11" ht="18" customHeight="1" x14ac:dyDescent="0.2">
      <c r="B39" s="282" t="s">
        <v>132</v>
      </c>
      <c r="C39" s="691">
        <v>443.72617536000001</v>
      </c>
      <c r="D39" s="3077" t="s">
        <v>1814</v>
      </c>
      <c r="E39" s="1913">
        <f>IFERROR(H39*1000/$C39,"NA")</f>
        <v>68.385558361742355</v>
      </c>
      <c r="F39" s="1913">
        <f t="shared" ref="F39:G44" si="14">IFERROR(I39*1000000/$C39,"NA")</f>
        <v>1.0018000787173358</v>
      </c>
      <c r="G39" s="1913">
        <f t="shared" si="14"/>
        <v>0.97528663889776179</v>
      </c>
      <c r="H39" s="691">
        <v>30.344462261714</v>
      </c>
      <c r="I39" s="691">
        <v>4.4452491740459041E-4</v>
      </c>
      <c r="J39" s="691">
        <v>4.3276021015781327E-4</v>
      </c>
      <c r="K39" s="3093" t="s">
        <v>2146</v>
      </c>
    </row>
    <row r="40" spans="2:11" ht="18" customHeight="1" x14ac:dyDescent="0.2">
      <c r="B40" s="282" t="s">
        <v>133</v>
      </c>
      <c r="C40" s="691">
        <v>4778.6244299999998</v>
      </c>
      <c r="D40" s="3077" t="s">
        <v>1814</v>
      </c>
      <c r="E40" s="1913">
        <f t="shared" ref="E40:E44" si="15">IFERROR(H40*1000/$C40,"NA")</f>
        <v>90</v>
      </c>
      <c r="F40" s="1913">
        <f t="shared" si="14"/>
        <v>0.95238095238095233</v>
      </c>
      <c r="G40" s="1913">
        <f t="shared" si="14"/>
        <v>0.66666666666666652</v>
      </c>
      <c r="H40" s="691">
        <v>430.07619870000002</v>
      </c>
      <c r="I40" s="691">
        <v>4.5510708857142857E-3</v>
      </c>
      <c r="J40" s="691">
        <v>3.1857496199999991E-3</v>
      </c>
      <c r="K40" s="3093" t="s">
        <v>2146</v>
      </c>
    </row>
    <row r="41" spans="2:11" ht="18" customHeight="1" x14ac:dyDescent="0.2">
      <c r="B41" s="282" t="s">
        <v>134</v>
      </c>
      <c r="C41" s="691">
        <v>16779.013861579384</v>
      </c>
      <c r="D41" s="3077" t="s">
        <v>1814</v>
      </c>
      <c r="E41" s="1913">
        <f t="shared" si="15"/>
        <v>51.433960541491139</v>
      </c>
      <c r="F41" s="1913">
        <f t="shared" si="14"/>
        <v>0.91363636363636358</v>
      </c>
      <c r="G41" s="1913">
        <f t="shared" si="14"/>
        <v>0.86863636363636365</v>
      </c>
      <c r="H41" s="691">
        <v>863.01113688160683</v>
      </c>
      <c r="I41" s="691">
        <v>1.5329917209897527E-2</v>
      </c>
      <c r="J41" s="691">
        <v>1.4574861586126456E-2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20896.243605040003</v>
      </c>
      <c r="D44" s="3076" t="s">
        <v>1814</v>
      </c>
      <c r="E44" s="1913">
        <f t="shared" si="15"/>
        <v>93.911097242314042</v>
      </c>
      <c r="F44" s="1913">
        <f t="shared" si="14"/>
        <v>9.1500344477866697</v>
      </c>
      <c r="G44" s="1913">
        <f t="shared" si="14"/>
        <v>5.8233280475605982</v>
      </c>
      <c r="H44" s="691">
        <v>1962.3891651919946</v>
      </c>
      <c r="I44" s="691">
        <v>0.19120134881545792</v>
      </c>
      <c r="J44" s="691">
        <v>0.12168568147388824</v>
      </c>
      <c r="K44" s="3093" t="s">
        <v>2146</v>
      </c>
    </row>
    <row r="45" spans="2:11" ht="18" customHeight="1" x14ac:dyDescent="0.2">
      <c r="B45" s="1241" t="s">
        <v>155</v>
      </c>
      <c r="C45" s="1913">
        <f>IF(SUM(C46:C51)=0,"NO",SUM(C46:C51))</f>
        <v>98007.390567163631</v>
      </c>
      <c r="D45" s="3076" t="s">
        <v>1814</v>
      </c>
      <c r="E45" s="628"/>
      <c r="F45" s="628"/>
      <c r="G45" s="628"/>
      <c r="H45" s="1913">
        <f>IF(SUM(H46:H50)=0,"NO",SUM(H46:H50))</f>
        <v>3085.2563482307519</v>
      </c>
      <c r="I45" s="1913">
        <f t="shared" ref="I45:K45" si="16">IF(SUM(I46:I51)=0,"NO",SUM(I46:I51))</f>
        <v>0.51274512493844271</v>
      </c>
      <c r="J45" s="1913">
        <f t="shared" si="16"/>
        <v>0.33346826833305143</v>
      </c>
      <c r="K45" s="3065" t="str">
        <f t="shared" si="16"/>
        <v>NO</v>
      </c>
    </row>
    <row r="46" spans="2:11" ht="18" customHeight="1" x14ac:dyDescent="0.2">
      <c r="B46" s="282" t="s">
        <v>132</v>
      </c>
      <c r="C46" s="691">
        <v>3180.3302464108406</v>
      </c>
      <c r="D46" s="3076" t="s">
        <v>1814</v>
      </c>
      <c r="E46" s="1913">
        <f>IFERROR(H46*1000/$C46,"NA")</f>
        <v>67.61702309606936</v>
      </c>
      <c r="F46" s="1913">
        <f t="shared" ref="F46:G51" si="17">IFERROR(I46*1000000/$C46,"NA")</f>
        <v>4.9852565354038516</v>
      </c>
      <c r="G46" s="1913">
        <f t="shared" si="17"/>
        <v>2.3546990493030386</v>
      </c>
      <c r="H46" s="691">
        <v>215.04446372468976</v>
      </c>
      <c r="I46" s="691">
        <v>1.5854762145662185E-2</v>
      </c>
      <c r="J46" s="691">
        <v>7.4887206076933053E-3</v>
      </c>
      <c r="K46" s="3093" t="s">
        <v>2146</v>
      </c>
    </row>
    <row r="47" spans="2:11" ht="18" customHeight="1" x14ac:dyDescent="0.2">
      <c r="B47" s="282" t="s">
        <v>133</v>
      </c>
      <c r="C47" s="691">
        <v>14051.592690707897</v>
      </c>
      <c r="D47" s="3076" t="s">
        <v>1814</v>
      </c>
      <c r="E47" s="1913">
        <f t="shared" ref="E47:E51" si="18">IFERROR(H47*1000/$C47,"NA")</f>
        <v>90.785153073289521</v>
      </c>
      <c r="F47" s="1913">
        <f t="shared" si="17"/>
        <v>0.95238095238095222</v>
      </c>
      <c r="G47" s="1913">
        <f t="shared" si="17"/>
        <v>0.67523809523809508</v>
      </c>
      <c r="H47" s="691">
        <v>1275.6759933494327</v>
      </c>
      <c r="I47" s="691">
        <v>1.3382469229245615E-2</v>
      </c>
      <c r="J47" s="691">
        <v>9.4881706835351406E-3</v>
      </c>
      <c r="K47" s="3093" t="s">
        <v>2146</v>
      </c>
    </row>
    <row r="48" spans="2:11" ht="18" customHeight="1" x14ac:dyDescent="0.2">
      <c r="B48" s="282" t="s">
        <v>134</v>
      </c>
      <c r="C48" s="691">
        <v>31014.907489628324</v>
      </c>
      <c r="D48" s="3076" t="s">
        <v>1814</v>
      </c>
      <c r="E48" s="1913">
        <f t="shared" si="18"/>
        <v>51.411918339264986</v>
      </c>
      <c r="F48" s="1913">
        <f t="shared" si="17"/>
        <v>0.91409090909090918</v>
      </c>
      <c r="G48" s="1913">
        <f t="shared" si="17"/>
        <v>0.86459090909090908</v>
      </c>
      <c r="H48" s="691">
        <v>1594.5358911566295</v>
      </c>
      <c r="I48" s="691">
        <v>2.8350444982564799E-2</v>
      </c>
      <c r="J48" s="691">
        <v>2.6815207061828199E-2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49760.560140416565</v>
      </c>
      <c r="D51" s="3076" t="s">
        <v>1814</v>
      </c>
      <c r="E51" s="1913">
        <f t="shared" si="18"/>
        <v>94.845752282618292</v>
      </c>
      <c r="F51" s="1913">
        <f t="shared" si="17"/>
        <v>9.1469518690421996</v>
      </c>
      <c r="G51" s="1913">
        <f t="shared" si="17"/>
        <v>5.8214009079193172</v>
      </c>
      <c r="H51" s="691">
        <v>4719.5777605222793</v>
      </c>
      <c r="I51" s="691">
        <v>0.45515744858097007</v>
      </c>
      <c r="J51" s="691">
        <v>0.28967616997999479</v>
      </c>
      <c r="K51" s="3093" t="s">
        <v>2146</v>
      </c>
    </row>
    <row r="52" spans="2:11" ht="18" customHeight="1" x14ac:dyDescent="0.2">
      <c r="B52" s="1241" t="s">
        <v>156</v>
      </c>
      <c r="C52" s="3094">
        <f>IF(SUM(C53:C58)=0,"NO",SUM(C53:C58))</f>
        <v>100376.36074880004</v>
      </c>
      <c r="D52" s="3076" t="s">
        <v>1814</v>
      </c>
      <c r="E52" s="628"/>
      <c r="F52" s="628"/>
      <c r="G52" s="628"/>
      <c r="H52" s="1913">
        <f>IF(SUM(H53:H57)=0,"NO",SUM(H53:H57))</f>
        <v>6149.549290756715</v>
      </c>
      <c r="I52" s="1913">
        <f t="shared" ref="I52:K52" si="19">IF(SUM(I53:I58)=0,"NO",SUM(I53:I58))</f>
        <v>0.30908418505810747</v>
      </c>
      <c r="J52" s="1913">
        <f t="shared" si="19"/>
        <v>5.7170486810388964E-2</v>
      </c>
      <c r="K52" s="3065" t="str">
        <f t="shared" si="19"/>
        <v>NO</v>
      </c>
    </row>
    <row r="53" spans="2:11" ht="18" customHeight="1" x14ac:dyDescent="0.2">
      <c r="B53" s="282" t="s">
        <v>132</v>
      </c>
      <c r="C53" s="2147">
        <v>7800.9525189967153</v>
      </c>
      <c r="D53" s="3076" t="s">
        <v>1814</v>
      </c>
      <c r="E53" s="1913">
        <f>IFERROR(H53*1000/$C53,"NA")</f>
        <v>64.194566776911941</v>
      </c>
      <c r="F53" s="1913">
        <f t="shared" ref="F53:G58" si="20">IFERROR(I53*1000000/$C53,"NA")</f>
        <v>25.64717794987936</v>
      </c>
      <c r="G53" s="1913">
        <f t="shared" si="20"/>
        <v>1.6404886208754594</v>
      </c>
      <c r="H53" s="691">
        <v>500.77876740425404</v>
      </c>
      <c r="I53" s="691">
        <v>0.20007241743326842</v>
      </c>
      <c r="J53" s="691">
        <v>1.2797373839403863E-2</v>
      </c>
      <c r="K53" s="3093" t="s">
        <v>2146</v>
      </c>
    </row>
    <row r="54" spans="2:11" ht="18" customHeight="1" x14ac:dyDescent="0.2">
      <c r="B54" s="282" t="s">
        <v>133</v>
      </c>
      <c r="C54" s="691">
        <v>27345.951246681641</v>
      </c>
      <c r="D54" s="3076" t="s">
        <v>1814</v>
      </c>
      <c r="E54" s="1913">
        <f t="shared" ref="E54:E58" si="21">IFERROR(H54*1000/$C54,"NA")</f>
        <v>89.718025457289826</v>
      </c>
      <c r="F54" s="1913">
        <f t="shared" si="20"/>
        <v>0.95287864314120596</v>
      </c>
      <c r="G54" s="1913">
        <f t="shared" si="20"/>
        <v>0.82733536131909091</v>
      </c>
      <c r="H54" s="691">
        <v>2453.4247501035902</v>
      </c>
      <c r="I54" s="691">
        <v>2.6057372919343572E-2</v>
      </c>
      <c r="J54" s="691">
        <v>2.26242724552876E-2</v>
      </c>
      <c r="K54" s="3093" t="s">
        <v>2146</v>
      </c>
    </row>
    <row r="55" spans="2:11" ht="18" customHeight="1" x14ac:dyDescent="0.2">
      <c r="B55" s="282" t="s">
        <v>134</v>
      </c>
      <c r="C55" s="691">
        <v>62151.848763217189</v>
      </c>
      <c r="D55" s="3076" t="s">
        <v>1814</v>
      </c>
      <c r="E55" s="1913">
        <f t="shared" si="21"/>
        <v>51.411918339265</v>
      </c>
      <c r="F55" s="1913">
        <f t="shared" si="20"/>
        <v>0.99848445279991016</v>
      </c>
      <c r="G55" s="1913">
        <f t="shared" si="20"/>
        <v>0.11348837008079904</v>
      </c>
      <c r="H55" s="691">
        <v>3195.3457732488705</v>
      </c>
      <c r="I55" s="691">
        <v>6.205765470284369E-2</v>
      </c>
      <c r="J55" s="691">
        <v>7.0535120136458445E-3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3077.6082199045118</v>
      </c>
      <c r="D58" s="3076" t="s">
        <v>1814</v>
      </c>
      <c r="E58" s="3095">
        <f t="shared" si="21"/>
        <v>86.772225020004171</v>
      </c>
      <c r="F58" s="3095">
        <f t="shared" si="20"/>
        <v>6.7899285774912981</v>
      </c>
      <c r="G58" s="3095">
        <f t="shared" si="20"/>
        <v>4.7749185250446198</v>
      </c>
      <c r="H58" s="2190">
        <v>267.05091298096875</v>
      </c>
      <c r="I58" s="691">
        <v>2.0896740002651768E-2</v>
      </c>
      <c r="J58" s="691">
        <v>1.4695328502051651E-2</v>
      </c>
      <c r="K58" s="3093" t="s">
        <v>2146</v>
      </c>
    </row>
    <row r="59" spans="2:11" ht="18" customHeight="1" x14ac:dyDescent="0.2">
      <c r="B59" s="1241" t="s">
        <v>157</v>
      </c>
      <c r="C59" s="3094">
        <f>IF(SUM(C61,C68,C75,C82,C89,C96,C103,C112)=0,"NO",SUM(C61,C68,C75,C82,C89,C96,C103,C112))</f>
        <v>109375.54192833218</v>
      </c>
      <c r="D59" s="3076" t="s">
        <v>1814</v>
      </c>
      <c r="E59" s="1914"/>
      <c r="F59" s="1914"/>
      <c r="G59" s="1914"/>
      <c r="H59" s="1913">
        <f>IF(SUM(H61,H68,H75,H82,H89,H96,H103,H112)=0,"NO",SUM(H61,H68,H75,H82,H89,H96,H103,H112))</f>
        <v>7463.1857474653061</v>
      </c>
      <c r="I59" s="1913">
        <f>IF(SUM(I61,I68,I75,I82,I89,I96,I103,I112)=0,"NO",SUM(I61,I68,I75,I82,I89,I96,I103,I112))</f>
        <v>0.36891427645384445</v>
      </c>
      <c r="J59" s="1913">
        <f>IF(SUM(J61,J68,J75,J82,J89,J96,J103,J112)=0,"NO",SUM(J61,J68,J75,J82,J89,J96,J103,J112))</f>
        <v>0.30333302247667082</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7312.535598665916</v>
      </c>
      <c r="D61" s="3076" t="s">
        <v>1814</v>
      </c>
      <c r="E61" s="628"/>
      <c r="F61" s="628"/>
      <c r="G61" s="628"/>
      <c r="H61" s="1913">
        <f>IF(SUM(H62:H66)=0,"NO",SUM(H62:H66))</f>
        <v>403.16399111815656</v>
      </c>
      <c r="I61" s="1913">
        <f t="shared" ref="I61:K61" si="22">IF(SUM(I62:I67)=0,"NO",SUM(I62:I67))</f>
        <v>3.9153607456240018E-2</v>
      </c>
      <c r="J61" s="1913">
        <f t="shared" si="22"/>
        <v>9.1612054156867476E-3</v>
      </c>
      <c r="K61" s="3065" t="str">
        <f t="shared" si="22"/>
        <v>NO</v>
      </c>
    </row>
    <row r="62" spans="2:11" ht="18" customHeight="1" x14ac:dyDescent="0.2">
      <c r="B62" s="158" t="s">
        <v>132</v>
      </c>
      <c r="C62" s="691">
        <v>1542.9513990900391</v>
      </c>
      <c r="D62" s="3076" t="s">
        <v>1814</v>
      </c>
      <c r="E62" s="1913">
        <f>IFERROR(H62*1000/$C62,"NA")</f>
        <v>65.703862772091384</v>
      </c>
      <c r="F62" s="1913">
        <f t="shared" ref="F62:G67" si="23">IFERROR(I62*1000000/$C62,"NA")</f>
        <v>21.898223217245199</v>
      </c>
      <c r="G62" s="1913">
        <f t="shared" si="23"/>
        <v>2.8973909768435169</v>
      </c>
      <c r="H62" s="691">
        <v>101.37786698981833</v>
      </c>
      <c r="I62" s="691">
        <v>3.3787894150634455E-2</v>
      </c>
      <c r="J62" s="691">
        <v>4.4705334614315601E-3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5769.5841995758774</v>
      </c>
      <c r="D64" s="3076" t="s">
        <v>1814</v>
      </c>
      <c r="E64" s="1913">
        <f t="shared" si="24"/>
        <v>52.306390493533755</v>
      </c>
      <c r="F64" s="1913">
        <f t="shared" si="23"/>
        <v>0.92999999999999994</v>
      </c>
      <c r="G64" s="1913">
        <f t="shared" si="23"/>
        <v>0.81299999999999994</v>
      </c>
      <c r="H64" s="691">
        <v>301.78612412833826</v>
      </c>
      <c r="I64" s="691">
        <v>5.3657133056055654E-3</v>
      </c>
      <c r="J64" s="691">
        <v>4.6906719542551883E-3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66665.226605999982</v>
      </c>
      <c r="D75" s="3077" t="s">
        <v>1814</v>
      </c>
      <c r="E75" s="628"/>
      <c r="F75" s="628"/>
      <c r="G75" s="628"/>
      <c r="H75" s="1913">
        <f>IF(SUM(H76:H80)=0,"NO",SUM(H76:H80))</f>
        <v>4781.5155533261795</v>
      </c>
      <c r="I75" s="1913">
        <f t="shared" ref="I75:K75" si="28">IF(SUM(I76:I81)=0,"NO",SUM(I76:I81))</f>
        <v>0.20750205637197544</v>
      </c>
      <c r="J75" s="1913">
        <f t="shared" si="28"/>
        <v>0.2019917371060822</v>
      </c>
      <c r="K75" s="3065" t="str">
        <f t="shared" si="28"/>
        <v>NO</v>
      </c>
    </row>
    <row r="76" spans="2:11" ht="18" customHeight="1" x14ac:dyDescent="0.2">
      <c r="B76" s="158" t="s">
        <v>132</v>
      </c>
      <c r="C76" s="691">
        <v>55474.371731299994</v>
      </c>
      <c r="D76" s="3077" t="s">
        <v>1814</v>
      </c>
      <c r="E76" s="1913">
        <f>IFERROR(H76*1000/$C76,"NA")</f>
        <v>69.652634546128454</v>
      </c>
      <c r="F76" s="1913">
        <f t="shared" ref="F76:G81" si="29">IFERROR(I76*1000000/$C76,"NA")</f>
        <v>3.5021955179210136</v>
      </c>
      <c r="G76" s="1913">
        <f t="shared" si="29"/>
        <v>3.4822427556102808</v>
      </c>
      <c r="H76" s="691">
        <v>3863.9361408763175</v>
      </c>
      <c r="I76" s="691">
        <v>0.19428209603684302</v>
      </c>
      <c r="J76" s="691">
        <v>0.19317522908335116</v>
      </c>
      <c r="K76" s="3093" t="s">
        <v>2146</v>
      </c>
    </row>
    <row r="77" spans="2:11" ht="18" customHeight="1" x14ac:dyDescent="0.2">
      <c r="B77" s="158" t="s">
        <v>133</v>
      </c>
      <c r="C77" s="691">
        <v>8695.7520000000004</v>
      </c>
      <c r="D77" s="3077" t="s">
        <v>1814</v>
      </c>
      <c r="E77" s="1913">
        <f t="shared" ref="E77:E81" si="30">IFERROR(H77*1000/$C77,"NA")</f>
        <v>90.776936307849141</v>
      </c>
      <c r="F77" s="1913">
        <f t="shared" si="29"/>
        <v>0.95238095238095244</v>
      </c>
      <c r="G77" s="1913">
        <f t="shared" si="29"/>
        <v>0.75923809523809527</v>
      </c>
      <c r="H77" s="691">
        <v>789.37372545285189</v>
      </c>
      <c r="I77" s="691">
        <v>8.2816685714285718E-3</v>
      </c>
      <c r="J77" s="691">
        <v>6.6021461851428574E-3</v>
      </c>
      <c r="K77" s="3093" t="s">
        <v>2146</v>
      </c>
    </row>
    <row r="78" spans="2:11" ht="18" customHeight="1" x14ac:dyDescent="0.2">
      <c r="B78" s="158" t="s">
        <v>134</v>
      </c>
      <c r="C78" s="691">
        <v>2493.6958420999999</v>
      </c>
      <c r="D78" s="3077" t="s">
        <v>1814</v>
      </c>
      <c r="E78" s="1913">
        <f t="shared" si="30"/>
        <v>51.411918339264993</v>
      </c>
      <c r="F78" s="1913">
        <f t="shared" si="29"/>
        <v>1.9754545454545451</v>
      </c>
      <c r="G78" s="1913">
        <f t="shared" si="29"/>
        <v>0.88481818181818161</v>
      </c>
      <c r="H78" s="691">
        <v>128.20568699700985</v>
      </c>
      <c r="I78" s="691">
        <v>4.9261827862575446E-3</v>
      </c>
      <c r="J78" s="691">
        <v>2.2064674210144812E-3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v>1.4070325999999997</v>
      </c>
      <c r="D81" s="3076" t="s">
        <v>1814</v>
      </c>
      <c r="E81" s="1913">
        <f t="shared" si="30"/>
        <v>91.370582141121204</v>
      </c>
      <c r="F81" s="1913">
        <f t="shared" si="29"/>
        <v>8.606039011693678</v>
      </c>
      <c r="G81" s="1913">
        <f t="shared" si="29"/>
        <v>5.6106849078759096</v>
      </c>
      <c r="H81" s="691">
        <v>0.12856138775353532</v>
      </c>
      <c r="I81" s="691">
        <v>1.2108977446324783E-5</v>
      </c>
      <c r="J81" s="691">
        <v>7.8944165737094003E-6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25483.61135070373</v>
      </c>
      <c r="D89" s="3077" t="s">
        <v>1814</v>
      </c>
      <c r="E89" s="628"/>
      <c r="F89" s="628"/>
      <c r="G89" s="628"/>
      <c r="H89" s="1913">
        <f>IF(SUM(H90:H94)=0,"NO",SUM(H90:H94))</f>
        <v>1723.9787591009135</v>
      </c>
      <c r="I89" s="1913">
        <f t="shared" ref="I89:K89" si="36">IF(SUM(I90:I95)=0,"NO",SUM(I90:I95))</f>
        <v>8.5491200373707985E-2</v>
      </c>
      <c r="J89" s="1913">
        <f t="shared" si="36"/>
        <v>8.2990266660859485E-2</v>
      </c>
      <c r="K89" s="3065" t="str">
        <f t="shared" si="36"/>
        <v>NO</v>
      </c>
    </row>
    <row r="90" spans="2:11" ht="18" customHeight="1" x14ac:dyDescent="0.2">
      <c r="B90" s="158" t="s">
        <v>132</v>
      </c>
      <c r="C90" s="691">
        <v>22432.69138435063</v>
      </c>
      <c r="D90" s="3077" t="s">
        <v>1814</v>
      </c>
      <c r="E90" s="1913">
        <f>IFERROR(H90*1000/$C90,"NA")</f>
        <v>69.858987674763995</v>
      </c>
      <c r="F90" s="1913">
        <f t="shared" ref="F90:G95" si="37">IFERROR(I90*1000000/$C90,"NA")</f>
        <v>3.6873701577171185</v>
      </c>
      <c r="G90" s="1913">
        <f t="shared" si="37"/>
        <v>3.5758840381963384</v>
      </c>
      <c r="H90" s="691">
        <v>1567.1251109311349</v>
      </c>
      <c r="I90" s="691">
        <v>8.2717636767932437E-2</v>
      </c>
      <c r="J90" s="691">
        <v>8.0216703055083938E-2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3050.9199663530981</v>
      </c>
      <c r="D92" s="3077" t="s">
        <v>1814</v>
      </c>
      <c r="E92" s="1913">
        <f t="shared" si="38"/>
        <v>51.411918339264993</v>
      </c>
      <c r="F92" s="1913">
        <f t="shared" si="37"/>
        <v>0.90909090909090895</v>
      </c>
      <c r="G92" s="1913">
        <f t="shared" si="37"/>
        <v>0.90909090909090895</v>
      </c>
      <c r="H92" s="691">
        <v>156.85364816977858</v>
      </c>
      <c r="I92" s="691">
        <v>2.7735636057755432E-3</v>
      </c>
      <c r="J92" s="691">
        <v>2.7735636057755432E-3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6919.1461421203348</v>
      </c>
      <c r="D96" s="3076" t="s">
        <v>1814</v>
      </c>
      <c r="E96" s="628"/>
      <c r="F96" s="628"/>
      <c r="G96" s="628"/>
      <c r="H96" s="1913">
        <f>IF(SUM(H97:H101)=0,"NO",SUM(H97:H101))</f>
        <v>394.68446891155537</v>
      </c>
      <c r="I96" s="1913">
        <f t="shared" ref="I96:K96" si="42">IF(SUM(I97:I102)=0,"NO",SUM(I97:I102))</f>
        <v>6.2610282593131995E-3</v>
      </c>
      <c r="J96" s="1913">
        <f t="shared" si="42"/>
        <v>5.9250996492561641E-3</v>
      </c>
      <c r="K96" s="3065" t="str">
        <f t="shared" si="42"/>
        <v>NO</v>
      </c>
    </row>
    <row r="97" spans="2:11" ht="18" customHeight="1" x14ac:dyDescent="0.2">
      <c r="B97" s="158" t="s">
        <v>132</v>
      </c>
      <c r="C97" s="691">
        <v>842.28267514789218</v>
      </c>
      <c r="D97" s="3076" t="s">
        <v>1814</v>
      </c>
      <c r="E97" s="1913">
        <f>IFERROR(H97*1000/$C97,"NA")</f>
        <v>67.827976210961452</v>
      </c>
      <c r="F97" s="1913">
        <f t="shared" ref="F97:G102" si="43">IFERROR(I97*1000000/$C97,"NA")</f>
        <v>0.79512260161625314</v>
      </c>
      <c r="G97" s="1913">
        <f t="shared" si="43"/>
        <v>1.0756238090466248</v>
      </c>
      <c r="H97" s="691">
        <v>57.130329252836205</v>
      </c>
      <c r="I97" s="691">
        <v>6.6971799195988946E-4</v>
      </c>
      <c r="J97" s="691">
        <v>9.0597929933655674E-4</v>
      </c>
      <c r="K97" s="3093" t="s">
        <v>2146</v>
      </c>
    </row>
    <row r="98" spans="2:11" ht="18" customHeight="1" x14ac:dyDescent="0.2">
      <c r="B98" s="158" t="s">
        <v>133</v>
      </c>
      <c r="C98" s="691">
        <v>630.0736862846361</v>
      </c>
      <c r="D98" s="3076" t="s">
        <v>1814</v>
      </c>
      <c r="E98" s="1913">
        <f t="shared" ref="E98:E102" si="44">IFERROR(H98*1000/$C98,"NA")</f>
        <v>91.297620413349392</v>
      </c>
      <c r="F98" s="1913">
        <f t="shared" si="43"/>
        <v>0.95238095238095222</v>
      </c>
      <c r="G98" s="1913">
        <f t="shared" si="43"/>
        <v>0.66666666666666663</v>
      </c>
      <c r="H98" s="691">
        <v>57.524228242854491</v>
      </c>
      <c r="I98" s="691">
        <v>6.0007017741393908E-4</v>
      </c>
      <c r="J98" s="691">
        <v>4.2004912418975736E-4</v>
      </c>
      <c r="K98" s="3093" t="s">
        <v>2146</v>
      </c>
    </row>
    <row r="99" spans="2:11" ht="18" customHeight="1" x14ac:dyDescent="0.2">
      <c r="B99" s="158" t="s">
        <v>134</v>
      </c>
      <c r="C99" s="691">
        <v>5446.7897806878063</v>
      </c>
      <c r="D99" s="3076" t="s">
        <v>1814</v>
      </c>
      <c r="E99" s="1913">
        <f t="shared" si="44"/>
        <v>51.411918339265007</v>
      </c>
      <c r="F99" s="1913">
        <f t="shared" si="43"/>
        <v>0.91636363636363638</v>
      </c>
      <c r="G99" s="1913">
        <f t="shared" si="43"/>
        <v>0.84436363636363643</v>
      </c>
      <c r="H99" s="691">
        <v>280.02991141586466</v>
      </c>
      <c r="I99" s="691">
        <v>4.9912400899393711E-3</v>
      </c>
      <c r="J99" s="691">
        <v>4.5990712257298503E-3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2995.0222308422358</v>
      </c>
      <c r="D112" s="3076" t="s">
        <v>1814</v>
      </c>
      <c r="E112" s="628"/>
      <c r="F112" s="628"/>
      <c r="G112" s="628"/>
      <c r="H112" s="1913">
        <f>H113</f>
        <v>159.84297500850133</v>
      </c>
      <c r="I112" s="1913">
        <f>I113</f>
        <v>3.0506383992607803E-2</v>
      </c>
      <c r="J112" s="1913">
        <f>J113</f>
        <v>3.2647136447862745E-3</v>
      </c>
      <c r="K112" s="3065" t="str">
        <f>K113</f>
        <v>NO</v>
      </c>
    </row>
    <row r="113" spans="2:11" ht="18" customHeight="1" x14ac:dyDescent="0.2">
      <c r="B113" s="3090" t="s">
        <v>2259</v>
      </c>
      <c r="C113" s="3099">
        <f>IF(SUM(C114:C119)=0,"NO",SUM(C114:C119))</f>
        <v>2995.0222308422358</v>
      </c>
      <c r="D113" s="3099" t="s">
        <v>1814</v>
      </c>
      <c r="E113" s="628"/>
      <c r="F113" s="628"/>
      <c r="G113" s="628"/>
      <c r="H113" s="3099">
        <f>IF(SUM(H114:H118)=0,"NO",SUM(H114:H118))</f>
        <v>159.84297500850133</v>
      </c>
      <c r="I113" s="3099">
        <f t="shared" ref="I113" si="51">IF(SUM(I114:I119)=0,"NO",SUM(I114:I119))</f>
        <v>3.0506383992607803E-2</v>
      </c>
      <c r="J113" s="3099">
        <f t="shared" ref="J113" si="52">IF(SUM(J114:J119)=0,"NO",SUM(J114:J119))</f>
        <v>3.2647136447862745E-3</v>
      </c>
      <c r="K113" s="3100" t="str">
        <f t="shared" ref="K113" si="53">IF(SUM(K114:K119)=0,"NO",SUM(K114:K119))</f>
        <v>NO</v>
      </c>
    </row>
    <row r="114" spans="2:11" ht="18" customHeight="1" x14ac:dyDescent="0.2">
      <c r="B114" s="158" t="s">
        <v>132</v>
      </c>
      <c r="C114" s="691">
        <v>629.21598906181305</v>
      </c>
      <c r="D114" s="3076" t="s">
        <v>1814</v>
      </c>
      <c r="E114" s="1913">
        <f>IFERROR(H114*1000/$C114,"NA")</f>
        <v>60.730080550780343</v>
      </c>
      <c r="F114" s="1913">
        <f t="shared" ref="F114:G119" si="54">IFERROR(I114*1000000/$C114,"NA")</f>
        <v>45.051458549221373</v>
      </c>
      <c r="G114" s="1913">
        <f t="shared" si="54"/>
        <v>1.8375764715293756</v>
      </c>
      <c r="H114" s="691">
        <v>38.212337699562831</v>
      </c>
      <c r="I114" s="691">
        <v>2.83470980497256E-2</v>
      </c>
      <c r="J114" s="691">
        <v>1.1562324970100725E-3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2365.8062417804226</v>
      </c>
      <c r="D116" s="3076" t="s">
        <v>1814</v>
      </c>
      <c r="E116" s="1913">
        <f t="shared" si="55"/>
        <v>51.411918339264986</v>
      </c>
      <c r="F116" s="1913">
        <f t="shared" si="54"/>
        <v>0.91270616534395455</v>
      </c>
      <c r="G116" s="1913">
        <f t="shared" si="54"/>
        <v>0.89123154320086373</v>
      </c>
      <c r="H116" s="691">
        <v>121.63063730893849</v>
      </c>
      <c r="I116" s="691">
        <v>2.1592859428822019E-3</v>
      </c>
      <c r="J116" s="691">
        <v>2.108481147776202E-3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5040.3311733516912</v>
      </c>
      <c r="D10" s="4413">
        <f t="shared" ref="D10:F10" si="0">SUM(D11:D16)</f>
        <v>28353.499516660784</v>
      </c>
      <c r="E10" s="4413">
        <f t="shared" si="0"/>
        <v>1897.7744057154441</v>
      </c>
      <c r="F10" s="4413">
        <f t="shared" si="0"/>
        <v>3210.4471929312549</v>
      </c>
      <c r="G10" s="4414" t="s">
        <v>2146</v>
      </c>
      <c r="H10" s="4415" t="s">
        <v>2312</v>
      </c>
      <c r="I10" s="4416" t="s">
        <v>2313</v>
      </c>
    </row>
    <row r="11" spans="2:9" ht="18" customHeight="1" x14ac:dyDescent="0.2">
      <c r="B11" s="1558" t="s">
        <v>1476</v>
      </c>
      <c r="C11" s="4417">
        <f>Table1!D10</f>
        <v>1428.7291130169033</v>
      </c>
      <c r="D11" s="4418">
        <f>Table1!G10</f>
        <v>2841.5112798599671</v>
      </c>
      <c r="E11" s="4418">
        <f>Table1!H10</f>
        <v>702.89347701757663</v>
      </c>
      <c r="F11" s="4418">
        <f>Table1!F10</f>
        <v>2200.5869169614311</v>
      </c>
      <c r="G11" s="4419" t="s">
        <v>2146</v>
      </c>
      <c r="H11" s="4420" t="s">
        <v>2154</v>
      </c>
      <c r="I11" s="4421" t="s">
        <v>2154</v>
      </c>
    </row>
    <row r="12" spans="2:9" ht="18" customHeight="1" x14ac:dyDescent="0.2">
      <c r="B12" s="2393" t="s">
        <v>1551</v>
      </c>
      <c r="C12" s="4422">
        <f>'Table2(I)'!D10</f>
        <v>3.0859087494495152</v>
      </c>
      <c r="D12" s="4388">
        <f>'Table2(I)'!L10</f>
        <v>8.5449682393755673</v>
      </c>
      <c r="E12" s="4388">
        <f>'Table2(I)'!M10</f>
        <v>236.79496569904211</v>
      </c>
      <c r="F12" s="4388">
        <f>'Table2(I)'!K10</f>
        <v>31.904864230377285</v>
      </c>
      <c r="G12" s="4423" t="s">
        <v>2146</v>
      </c>
      <c r="H12" s="4424" t="s">
        <v>2146</v>
      </c>
      <c r="I12" s="4425" t="s">
        <v>2146</v>
      </c>
    </row>
    <row r="13" spans="2:9" ht="18" customHeight="1" x14ac:dyDescent="0.2">
      <c r="B13" s="2393" t="s">
        <v>1552</v>
      </c>
      <c r="C13" s="4422">
        <f>Table3!D10</f>
        <v>2315.5619681329158</v>
      </c>
      <c r="D13" s="4388">
        <f>Table3!G10</f>
        <v>306.84471968401829</v>
      </c>
      <c r="E13" s="4388">
        <f>Table3!H10</f>
        <v>17.899275314901068</v>
      </c>
      <c r="F13" s="4388">
        <f>Table3!F10</f>
        <v>18.72469865665936</v>
      </c>
      <c r="G13" s="4426"/>
      <c r="H13" s="4424" t="s">
        <v>2154</v>
      </c>
      <c r="I13" s="4425" t="s">
        <v>2153</v>
      </c>
    </row>
    <row r="14" spans="2:9" ht="18" customHeight="1" x14ac:dyDescent="0.2">
      <c r="B14" s="2393" t="s">
        <v>1553</v>
      </c>
      <c r="C14" s="4422">
        <f>Table4!D10</f>
        <v>727.17919715437347</v>
      </c>
      <c r="D14" s="4388">
        <f>Table4!G10</f>
        <v>25196.598548877424</v>
      </c>
      <c r="E14" s="4423">
        <f>Table4!H10</f>
        <v>688.54674927089593</v>
      </c>
      <c r="F14" s="4423">
        <f>Table4!F10</f>
        <v>959.23071308278702</v>
      </c>
      <c r="G14" s="4426"/>
      <c r="H14" s="4427" t="s">
        <v>2154</v>
      </c>
      <c r="I14" s="4425" t="s">
        <v>2154</v>
      </c>
    </row>
    <row r="15" spans="2:9" ht="18" customHeight="1" x14ac:dyDescent="0.2">
      <c r="B15" s="2393" t="s">
        <v>1554</v>
      </c>
      <c r="C15" s="4422">
        <f>Table5!D10</f>
        <v>565.77498629804882</v>
      </c>
      <c r="D15" s="4388" t="str">
        <f>Table5!G10</f>
        <v>NO</v>
      </c>
      <c r="E15" s="4423">
        <f>Table5!H10</f>
        <v>251.63993841302843</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2009</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463425.80026558798</v>
      </c>
      <c r="D10" s="4193">
        <f>SUM(D11,D22,D30,D41,D50,D56)</f>
        <v>461119.87343517161</v>
      </c>
      <c r="E10" s="3840">
        <f>IF(D10="NO",IF(C10="NO","NA",-C10),IF(C10="NO",D10,D10-C10))</f>
        <v>-2305.9268304163706</v>
      </c>
      <c r="F10" s="3838">
        <f>IF(E10="NA","NA",E10/C10*100)</f>
        <v>-0.49758274767931582</v>
      </c>
      <c r="G10" s="3841">
        <f>IF(E10="NA","NA",E10/Table8s2!$G$35*100)</f>
        <v>-0.41764401357431763</v>
      </c>
      <c r="H10" s="3842">
        <f>IF(E10="NA","NA",E10/Table8s2!$G$34*100)</f>
        <v>-0.36549419778772607</v>
      </c>
      <c r="I10" s="4194">
        <f>SUM(I11,I22,I30,I41,I50,I56)</f>
        <v>144375.59053866894</v>
      </c>
      <c r="J10" s="4193">
        <f>SUM(J11,J22,J30,J41,J50,J56)</f>
        <v>141129.27285384736</v>
      </c>
      <c r="K10" s="3840">
        <f t="shared" ref="K10:K12" si="0">IF(J10="NO",IF(I10="NO","NA",-I10),IF(I10="NO",J10,J10-I10))</f>
        <v>-3246.3176848215808</v>
      </c>
      <c r="L10" s="3838">
        <f t="shared" ref="L10:L12" si="1">IF(K10="NA","NA",K10/I10*100)</f>
        <v>-2.2485225325898153</v>
      </c>
      <c r="M10" s="3841">
        <f>IF(K10="NA","NA",K10/Table8s2!$G$35*100)</f>
        <v>-0.58796538092293249</v>
      </c>
      <c r="N10" s="3842">
        <f>IF(K10="NA","NA",K10/Table8s2!$G$34*100)</f>
        <v>-0.51454810375042515</v>
      </c>
      <c r="O10" s="4194">
        <f>SUM(O11,O22,O30,O41,O50,O56)</f>
        <v>22261.497182968429</v>
      </c>
      <c r="P10" s="4193">
        <f>SUM(P11,P22,P30,P41,P50,P56)</f>
        <v>22041.916559330035</v>
      </c>
      <c r="Q10" s="3840">
        <f t="shared" ref="Q10:Q12" si="2">IF(P10="NO",IF(O10="NO","NA",-O10),IF(O10="NO",P10,P10-O10))</f>
        <v>-219.58062363839417</v>
      </c>
      <c r="R10" s="3838">
        <f t="shared" ref="R10:R12" si="3">IF(Q10="NA","NA",Q10/O10*100)</f>
        <v>-0.98636952327891214</v>
      </c>
      <c r="S10" s="3841">
        <f>IF(Q10="NA","NA",Q10/Table8s2!$G$35*100)</f>
        <v>-3.976992320390825E-2</v>
      </c>
      <c r="T10" s="3842">
        <f>IF(Q10="NA","NA",Q10/Table8s2!$G$34*100)</f>
        <v>-3.4803985463819825E-2</v>
      </c>
    </row>
    <row r="11" spans="2:20" ht="18" customHeight="1" x14ac:dyDescent="0.2">
      <c r="B11" s="1405" t="s">
        <v>1476</v>
      </c>
      <c r="C11" s="3839">
        <f>SUM(C12,C18,C21)</f>
        <v>384020.28512819298</v>
      </c>
      <c r="D11" s="3839">
        <f>Summary2!C11</f>
        <v>384382.39784356515</v>
      </c>
      <c r="E11" s="3843">
        <f t="shared" ref="E11:E38" si="4">IF(D11="NO",IF(C11="NO","NA",-C11),IF(C11="NO",D11,D11-C11))</f>
        <v>362.11271537217544</v>
      </c>
      <c r="F11" s="3839">
        <f t="shared" ref="F11:F38" si="5">IF(E11="NA","NA",E11/C11*100)</f>
        <v>9.4295205070038315E-2</v>
      </c>
      <c r="G11" s="3844">
        <f>IF(E11="NA","NA",E11/Table8s2!$G$35*100)</f>
        <v>6.5584998543523676E-2</v>
      </c>
      <c r="H11" s="3845">
        <f>IF(E11="NA","NA",E11/Table8s2!$G$34*100)</f>
        <v>5.7395618398607469E-2</v>
      </c>
      <c r="I11" s="3846">
        <f>SUM(I12,I18,I21)</f>
        <v>40010.691915700423</v>
      </c>
      <c r="J11" s="3839">
        <f>Summary2!D11</f>
        <v>40004.415164473292</v>
      </c>
      <c r="K11" s="3843">
        <f t="shared" si="0"/>
        <v>-6.2767512271311716</v>
      </c>
      <c r="L11" s="3839">
        <f t="shared" si="1"/>
        <v>-1.5687684782747131E-2</v>
      </c>
      <c r="M11" s="3844">
        <f>IF(K11="NA","NA",K11/Table8s2!$G$35*100)</f>
        <v>-1.1368303365606978E-3</v>
      </c>
      <c r="N11" s="3845">
        <f>IF(K11="NA","NA",K11/Table8s2!$G$34*100)</f>
        <v>-9.9487812198238495E-4</v>
      </c>
      <c r="O11" s="3846">
        <f>SUM(O12,O18,O21)</f>
        <v>3281.7006713885162</v>
      </c>
      <c r="P11" s="3839">
        <f>Summary2!E11</f>
        <v>3283.4068433627699</v>
      </c>
      <c r="Q11" s="3843">
        <f t="shared" si="2"/>
        <v>1.7061719742537207</v>
      </c>
      <c r="R11" s="3839">
        <f t="shared" si="3"/>
        <v>5.1990481311381287E-2</v>
      </c>
      <c r="S11" s="3844">
        <f>IF(Q11="NA","NA",Q11/Table8s2!$G$35*100)</f>
        <v>3.0901783255918628E-4</v>
      </c>
      <c r="T11" s="3845">
        <f>IF(Q11="NA","NA",Q11/Table8s2!$G$34*100)</f>
        <v>2.7043180589783264E-4</v>
      </c>
    </row>
    <row r="12" spans="2:20" ht="18" customHeight="1" x14ac:dyDescent="0.2">
      <c r="B12" s="620" t="s">
        <v>131</v>
      </c>
      <c r="C12" s="3839">
        <f>SUM(C13:C17)</f>
        <v>376054.17427822272</v>
      </c>
      <c r="D12" s="3839">
        <f>Summary2!C12</f>
        <v>376416.2992935949</v>
      </c>
      <c r="E12" s="3839">
        <f t="shared" si="4"/>
        <v>362.12501537217759</v>
      </c>
      <c r="F12" s="3847">
        <f t="shared" si="5"/>
        <v>9.6295970139733192E-2</v>
      </c>
      <c r="G12" s="3844">
        <f>IF(E12="NA","NA",E12/Table8s2!$G$35*100)</f>
        <v>6.5587226290432246E-2</v>
      </c>
      <c r="H12" s="3845">
        <f>IF(E12="NA","NA",E12/Table8s2!$G$34*100)</f>
        <v>5.7397567974185611E-2</v>
      </c>
      <c r="I12" s="3846">
        <f>SUM(I13:I17)</f>
        <v>2403.2125609411505</v>
      </c>
      <c r="J12" s="3839">
        <f>Summary2!D12</f>
        <v>2403.8649557094241</v>
      </c>
      <c r="K12" s="3839">
        <f t="shared" si="0"/>
        <v>0.65239476827355247</v>
      </c>
      <c r="L12" s="3847">
        <f t="shared" si="1"/>
        <v>2.7146777562533232E-2</v>
      </c>
      <c r="M12" s="3844">
        <f>IF(K12="NA","NA",K12/Table8s2!$G$35*100)</f>
        <v>1.1816019739336434E-4</v>
      </c>
      <c r="N12" s="3845">
        <f>IF(K12="NA","NA",K12/Table8s2!$G$34*100)</f>
        <v>1.0340592742398349E-4</v>
      </c>
      <c r="O12" s="3848">
        <f>SUM(O13:O17)</f>
        <v>3255.8422579795847</v>
      </c>
      <c r="P12" s="3847">
        <f>Summary2!E12</f>
        <v>3257.5494899538385</v>
      </c>
      <c r="Q12" s="3839">
        <f t="shared" si="2"/>
        <v>1.7072319742537729</v>
      </c>
      <c r="R12" s="3847">
        <f t="shared" si="3"/>
        <v>5.2435954784652156E-2</v>
      </c>
      <c r="S12" s="3844">
        <f>IF(Q12="NA","NA",Q12/Table8s2!$G$35*100)</f>
        <v>3.0920981725209636E-4</v>
      </c>
      <c r="T12" s="3845">
        <f>IF(Q12="NA","NA",Q12/Table8s2!$G$34*100)</f>
        <v>2.7059981810210722E-4</v>
      </c>
    </row>
    <row r="13" spans="2:20" ht="18" customHeight="1" x14ac:dyDescent="0.2">
      <c r="B13" s="1392" t="s">
        <v>1478</v>
      </c>
      <c r="C13" s="3847">
        <v>230787.71621973236</v>
      </c>
      <c r="D13" s="3839">
        <f>Summary2!C13</f>
        <v>231140.21991732303</v>
      </c>
      <c r="E13" s="3839">
        <f t="shared" si="4"/>
        <v>352.50369759066962</v>
      </c>
      <c r="F13" s="3847">
        <f t="shared" si="5"/>
        <v>0.15273936731322901</v>
      </c>
      <c r="G13" s="3844">
        <f>IF(E13="NA","NA",E13/Table8s2!$G$35*100)</f>
        <v>6.3844635970071839E-2</v>
      </c>
      <c r="H13" s="3845">
        <f>IF(E13="NA","NA",E13/Table8s2!$G$34*100)</f>
        <v>5.5872569098320127E-2</v>
      </c>
      <c r="I13" s="3846">
        <v>635.68644285569371</v>
      </c>
      <c r="J13" s="3839">
        <f>Summary2!D13</f>
        <v>636.34266828995715</v>
      </c>
      <c r="K13" s="3839">
        <f t="shared" ref="K13" si="6">IF(J13="NO",IF(I13="NO","NA",-I13),IF(I13="NO",J13,J13-I13))</f>
        <v>0.65622543426343327</v>
      </c>
      <c r="L13" s="3847">
        <f t="shared" ref="L13" si="7">IF(K13="NA","NA",K13/I13*100)</f>
        <v>0.10323099409128064</v>
      </c>
      <c r="M13" s="3844">
        <f>IF(K13="NA","NA",K13/Table8s2!$G$35*100)</f>
        <v>1.1885399855720594E-4</v>
      </c>
      <c r="N13" s="3845">
        <f>IF(K13="NA","NA",K13/Table8s2!$G$34*100)</f>
        <v>1.0401309594923603E-4</v>
      </c>
      <c r="O13" s="3848">
        <v>1042.6291428117129</v>
      </c>
      <c r="P13" s="3847">
        <f>Summary2!E13</f>
        <v>1044.2809260571516</v>
      </c>
      <c r="Q13" s="3839">
        <f t="shared" ref="Q13" si="8">IF(P13="NO",IF(O13="NO","NA",-O13),IF(O13="NO",P13,P13-O13))</f>
        <v>1.6517832454387644</v>
      </c>
      <c r="R13" s="3847">
        <f t="shared" ref="R13" si="9">IF(Q13="NA","NA",Q13/O13*100)</f>
        <v>0.15842481066511471</v>
      </c>
      <c r="S13" s="3844">
        <f>IF(Q13="NA","NA",Q13/Table8s2!$G$35*100)</f>
        <v>2.9916707463579551E-4</v>
      </c>
      <c r="T13" s="3845">
        <f>IF(Q13="NA","NA",Q13/Table8s2!$G$34*100)</f>
        <v>2.6181107927949186E-4</v>
      </c>
    </row>
    <row r="14" spans="2:20" ht="18" customHeight="1" x14ac:dyDescent="0.2">
      <c r="B14" s="1392" t="s">
        <v>1517</v>
      </c>
      <c r="C14" s="3847">
        <v>40172.086958314518</v>
      </c>
      <c r="D14" s="3839">
        <f>Summary2!C14</f>
        <v>40172.086958314503</v>
      </c>
      <c r="E14" s="3839">
        <f t="shared" si="4"/>
        <v>-1.4551915228366852E-11</v>
      </c>
      <c r="F14" s="3847">
        <f t="shared" si="5"/>
        <v>-3.622394635226937E-14</v>
      </c>
      <c r="G14" s="3844">
        <f>IF(E14="NA","NA",E14/Table8s2!$G$35*100)</f>
        <v>-2.6356084681450947E-15</v>
      </c>
      <c r="H14" s="3845">
        <f>IF(E14="NA","NA",E14/Table8s2!$G$34*100)</f>
        <v>-2.3065088243526677E-15</v>
      </c>
      <c r="I14" s="3846">
        <v>54.414996104666692</v>
      </c>
      <c r="J14" s="3839">
        <f>Summary2!D14</f>
        <v>54.414996104666713</v>
      </c>
      <c r="K14" s="3839">
        <f t="shared" ref="K14:K20" si="10">IF(J14="NO",IF(I14="NO","NA",-I14),IF(I14="NO",J14,J14-I14))</f>
        <v>2.1316282072803006E-14</v>
      </c>
      <c r="L14" s="3847">
        <f t="shared" ref="L14:L20" si="11">IF(K14="NA","NA",K14/I14*100)</f>
        <v>3.9173543322141112E-14</v>
      </c>
      <c r="M14" s="3844">
        <f>IF(K14="NA","NA",K14/Table8s2!$G$35*100)</f>
        <v>3.8607545920094166E-18</v>
      </c>
      <c r="N14" s="3845">
        <f>IF(K14="NA","NA",K14/Table8s2!$G$34*100)</f>
        <v>3.3786750356728535E-18</v>
      </c>
      <c r="O14" s="3848">
        <v>289.52364203626274</v>
      </c>
      <c r="P14" s="3847">
        <f>Summary2!E14</f>
        <v>289.52364203626286</v>
      </c>
      <c r="Q14" s="3839">
        <f t="shared" ref="Q14:Q20" si="12">IF(P14="NO",IF(O14="NO","NA",-O14),IF(O14="NO",P14,P14-O14))</f>
        <v>1.1368683772161603E-13</v>
      </c>
      <c r="R14" s="3847">
        <f t="shared" ref="R14:R20" si="13">IF(Q14="NA","NA",Q14/O14*100)</f>
        <v>3.9266858112877978E-14</v>
      </c>
      <c r="S14" s="3844">
        <f>IF(Q14="NA","NA",Q14/Table8s2!$G$35*100)</f>
        <v>2.0590691157383552E-17</v>
      </c>
      <c r="T14" s="3845">
        <f>IF(Q14="NA","NA",Q14/Table8s2!$G$34*100)</f>
        <v>1.8019600190255217E-17</v>
      </c>
    </row>
    <row r="15" spans="2:20" ht="18" customHeight="1" x14ac:dyDescent="0.2">
      <c r="B15" s="1392" t="s">
        <v>1480</v>
      </c>
      <c r="C15" s="3847">
        <v>84937.787629563289</v>
      </c>
      <c r="D15" s="3839">
        <f>Summary2!C15</f>
        <v>84939.139138535204</v>
      </c>
      <c r="E15" s="3839">
        <f t="shared" si="4"/>
        <v>1.3515089719148818</v>
      </c>
      <c r="F15" s="3847">
        <f t="shared" si="5"/>
        <v>1.5911751525824747E-3</v>
      </c>
      <c r="G15" s="3844">
        <f>IF(E15="NA","NA",E15/Table8s2!$G$35*100)</f>
        <v>2.4478210842028791E-4</v>
      </c>
      <c r="H15" s="3845">
        <f>IF(E15="NA","NA",E15/Table8s2!$G$34*100)</f>
        <v>2.1421698250666108E-4</v>
      </c>
      <c r="I15" s="3846">
        <v>507.67716932845218</v>
      </c>
      <c r="J15" s="3839">
        <f>Summary2!D15</f>
        <v>507.67202044739929</v>
      </c>
      <c r="K15" s="3839">
        <f t="shared" si="10"/>
        <v>-5.1488810528894646E-3</v>
      </c>
      <c r="L15" s="3847">
        <f t="shared" si="11"/>
        <v>-1.0142037822382928E-3</v>
      </c>
      <c r="M15" s="3844">
        <f>IF(K15="NA","NA",K15/Table8s2!$G$35*100)</f>
        <v>-9.3255315822715263E-7</v>
      </c>
      <c r="N15" s="3845">
        <f>IF(K15="NA","NA",K15/Table8s2!$G$34*100)</f>
        <v>-8.1610835396301518E-7</v>
      </c>
      <c r="O15" s="3848">
        <v>1746.4001491739355</v>
      </c>
      <c r="P15" s="3847">
        <f>Summary2!E15</f>
        <v>1746.400149173935</v>
      </c>
      <c r="Q15" s="3839">
        <f t="shared" si="12"/>
        <v>-4.5474735088646412E-13</v>
      </c>
      <c r="R15" s="3847">
        <f t="shared" si="13"/>
        <v>-2.6039126892056443E-14</v>
      </c>
      <c r="S15" s="3844">
        <f>IF(Q15="NA","NA",Q15/Table8s2!$G$35*100)</f>
        <v>-8.2362764629534209E-17</v>
      </c>
      <c r="T15" s="3845">
        <f>IF(Q15="NA","NA",Q15/Table8s2!$G$34*100)</f>
        <v>-7.2078400761020867E-17</v>
      </c>
    </row>
    <row r="16" spans="2:20" ht="18" customHeight="1" x14ac:dyDescent="0.2">
      <c r="B16" s="1392" t="s">
        <v>1481</v>
      </c>
      <c r="C16" s="3847">
        <v>19329.806644548906</v>
      </c>
      <c r="D16" s="3839">
        <f>Summary2!C16</f>
        <v>19338.07645335851</v>
      </c>
      <c r="E16" s="3839">
        <f t="shared" si="4"/>
        <v>8.269808809604001</v>
      </c>
      <c r="F16" s="3847">
        <f t="shared" si="5"/>
        <v>4.2782677352523467E-2</v>
      </c>
      <c r="G16" s="3844">
        <f>IF(E16="NA","NA",E16/Table8s2!$G$35*100)</f>
        <v>1.4978082119421028E-3</v>
      </c>
      <c r="H16" s="3845">
        <f>IF(E16="NA","NA",E16/Table8s2!$G$34*100)</f>
        <v>1.3107818933605596E-3</v>
      </c>
      <c r="I16" s="3846">
        <v>1204.631874733833</v>
      </c>
      <c r="J16" s="3839">
        <f>Summary2!D16</f>
        <v>1204.6331929488961</v>
      </c>
      <c r="K16" s="3839">
        <f t="shared" si="10"/>
        <v>1.3182150630655087E-3</v>
      </c>
      <c r="L16" s="3847">
        <f t="shared" si="11"/>
        <v>1.0942887123560236E-4</v>
      </c>
      <c r="M16" s="3844">
        <f>IF(K16="NA","NA",K16/Table8s2!$G$35*100)</f>
        <v>2.3875199439584642E-7</v>
      </c>
      <c r="N16" s="3845">
        <f>IF(K16="NA","NA",K16/Table8s2!$G$34*100)</f>
        <v>2.0893982871946913E-7</v>
      </c>
      <c r="O16" s="3848">
        <v>171.14208513274747</v>
      </c>
      <c r="P16" s="3847">
        <f>Summary2!E16</f>
        <v>171.19753386156276</v>
      </c>
      <c r="Q16" s="3839">
        <f t="shared" si="12"/>
        <v>5.5448728815292725E-2</v>
      </c>
      <c r="R16" s="3847">
        <f t="shared" si="13"/>
        <v>3.2399236442797547E-2</v>
      </c>
      <c r="S16" s="3844">
        <f>IF(Q16="NA","NA",Q16/Table8s2!$G$35*100)</f>
        <v>1.0042742616352345E-5</v>
      </c>
      <c r="T16" s="3845">
        <f>IF(Q16="NA","NA",Q16/Table8s2!$G$34*100)</f>
        <v>8.7887388226603924E-6</v>
      </c>
    </row>
    <row r="17" spans="2:20" ht="18" customHeight="1" x14ac:dyDescent="0.2">
      <c r="B17" s="1392" t="s">
        <v>1482</v>
      </c>
      <c r="C17" s="3847">
        <v>826.77682606361248</v>
      </c>
      <c r="D17" s="3839">
        <f>Summary2!C17</f>
        <v>826.77682606361236</v>
      </c>
      <c r="E17" s="3839">
        <f t="shared" si="4"/>
        <v>-1.1368683772161603E-13</v>
      </c>
      <c r="F17" s="3847">
        <f t="shared" si="5"/>
        <v>-1.3750607677635722E-14</v>
      </c>
      <c r="G17" s="3844">
        <f>IF(E17="NA","NA",E17/Table8s2!$G$35*100)</f>
        <v>-2.0590691157383552E-17</v>
      </c>
      <c r="H17" s="3845">
        <f>IF(E17="NA","NA",E17/Table8s2!$G$34*100)</f>
        <v>-1.8019600190255217E-17</v>
      </c>
      <c r="I17" s="3846">
        <v>0.80207791850478471</v>
      </c>
      <c r="J17" s="3839">
        <f>Summary2!D17</f>
        <v>0.8020779185047846</v>
      </c>
      <c r="K17" s="3839">
        <f t="shared" si="10"/>
        <v>-1.1102230246251565E-16</v>
      </c>
      <c r="L17" s="3847">
        <f t="shared" si="11"/>
        <v>-1.3841835051322803E-14</v>
      </c>
      <c r="M17" s="3844">
        <f>IF(K17="NA","NA",K17/Table8s2!$G$35*100)</f>
        <v>-2.0108096833382375E-20</v>
      </c>
      <c r="N17" s="3845">
        <f>IF(K17="NA","NA",K17/Table8s2!$G$34*100)</f>
        <v>-1.759726581079611E-20</v>
      </c>
      <c r="O17" s="3848">
        <v>6.1472388249262639</v>
      </c>
      <c r="P17" s="3847">
        <f>Summary2!E17</f>
        <v>6.1472388249262639</v>
      </c>
      <c r="Q17" s="3839">
        <f t="shared" si="12"/>
        <v>0</v>
      </c>
      <c r="R17" s="3847">
        <f t="shared" si="13"/>
        <v>0</v>
      </c>
      <c r="S17" s="3844">
        <f>IF(Q17="NA","NA",Q17/Table8s2!$G$35*100)</f>
        <v>0</v>
      </c>
      <c r="T17" s="3845">
        <f>IF(Q17="NA","NA",Q17/Table8s2!$G$34*100)</f>
        <v>0</v>
      </c>
    </row>
    <row r="18" spans="2:20" ht="18" customHeight="1" x14ac:dyDescent="0.2">
      <c r="B18" s="620" t="s">
        <v>99</v>
      </c>
      <c r="C18" s="3847">
        <f>SUM(C19:C20)</f>
        <v>7966.1108499702714</v>
      </c>
      <c r="D18" s="3839">
        <f>Summary2!C18</f>
        <v>7966.0985499702711</v>
      </c>
      <c r="E18" s="3839">
        <f t="shared" si="4"/>
        <v>-1.2300000000323053E-2</v>
      </c>
      <c r="F18" s="3847">
        <f t="shared" si="5"/>
        <v>-1.5440407787407269E-4</v>
      </c>
      <c r="G18" s="3844">
        <f>IF(E18="NA","NA",E18/Table8s2!$G$35*100)</f>
        <v>-2.2277469082448982E-6</v>
      </c>
      <c r="H18" s="3845">
        <f>IF(E18="NA","NA",E18/Table8s2!$G$34*100)</f>
        <v>-1.9495755778579319E-6</v>
      </c>
      <c r="I18" s="3846">
        <f>SUM(I19:I20)</f>
        <v>37607.479354759271</v>
      </c>
      <c r="J18" s="3839">
        <f>Summary2!D18</f>
        <v>37600.550208763867</v>
      </c>
      <c r="K18" s="3839">
        <f t="shared" si="10"/>
        <v>-6.9291459954038146</v>
      </c>
      <c r="L18" s="3847">
        <f t="shared" si="11"/>
        <v>-1.8424914709225051E-2</v>
      </c>
      <c r="M18" s="3844">
        <f>IF(K18="NA","NA",K18/Table8s2!$G$35*100)</f>
        <v>-1.2549905339538973E-3</v>
      </c>
      <c r="N18" s="3845">
        <f>IF(K18="NA","NA",K18/Table8s2!$G$34*100)</f>
        <v>-1.0982840494062245E-3</v>
      </c>
      <c r="O18" s="3848">
        <f>SUM(O19:O20)</f>
        <v>25.858413408931458</v>
      </c>
      <c r="P18" s="3847">
        <f>Summary2!E18</f>
        <v>25.857353408931459</v>
      </c>
      <c r="Q18" s="3839">
        <f t="shared" si="12"/>
        <v>-1.0599999999989507E-3</v>
      </c>
      <c r="R18" s="3847">
        <f t="shared" si="13"/>
        <v>-4.0992460876692E-3</v>
      </c>
      <c r="S18" s="3844">
        <f>IF(Q18="NA","NA",Q18/Table8s2!$G$35*100)</f>
        <v>-1.9198469290042549E-7</v>
      </c>
      <c r="T18" s="3845">
        <f>IF(Q18="NA","NA",Q18/Table8s2!$G$34*100)</f>
        <v>-1.6801220426610449E-7</v>
      </c>
    </row>
    <row r="19" spans="2:20" ht="18" customHeight="1" x14ac:dyDescent="0.2">
      <c r="B19" s="1392" t="s">
        <v>1483</v>
      </c>
      <c r="C19" s="3847">
        <v>1308.4125121797347</v>
      </c>
      <c r="D19" s="3839">
        <f>Summary2!C19</f>
        <v>1308.4125121797349</v>
      </c>
      <c r="E19" s="3839">
        <f t="shared" si="4"/>
        <v>2.2737367544323206E-13</v>
      </c>
      <c r="F19" s="3847">
        <f t="shared" si="5"/>
        <v>1.7377827965313594E-14</v>
      </c>
      <c r="G19" s="3844">
        <f>IF(E19="NA","NA",E19/Table8s2!$G$35*100)</f>
        <v>4.1181382314767104E-17</v>
      </c>
      <c r="H19" s="3845">
        <f>IF(E19="NA","NA",E19/Table8s2!$G$34*100)</f>
        <v>3.6039200380510433E-17</v>
      </c>
      <c r="I19" s="3846">
        <v>31898.054059630136</v>
      </c>
      <c r="J19" s="3839">
        <f>Summary2!D19</f>
        <v>31898.054059630136</v>
      </c>
      <c r="K19" s="3839">
        <f t="shared" si="10"/>
        <v>0</v>
      </c>
      <c r="L19" s="3847">
        <f t="shared" si="11"/>
        <v>0</v>
      </c>
      <c r="M19" s="3844">
        <f>IF(K19="NA","NA",K19/Table8s2!$G$35*100)</f>
        <v>0</v>
      </c>
      <c r="N19" s="3845">
        <f>IF(K19="NA","NA",K19/Table8s2!$G$34*100)</f>
        <v>0</v>
      </c>
      <c r="O19" s="3848">
        <v>9.0107332636225126E-2</v>
      </c>
      <c r="P19" s="3847">
        <f>Summary2!E19</f>
        <v>9.0107332636225126E-2</v>
      </c>
      <c r="Q19" s="3839">
        <f t="shared" si="12"/>
        <v>0</v>
      </c>
      <c r="R19" s="3847">
        <f t="shared" si="13"/>
        <v>0</v>
      </c>
      <c r="S19" s="3844">
        <f>IF(Q19="NA","NA",Q19/Table8s2!$G$35*100)</f>
        <v>0</v>
      </c>
      <c r="T19" s="3845">
        <f>IF(Q19="NA","NA",Q19/Table8s2!$G$34*100)</f>
        <v>0</v>
      </c>
    </row>
    <row r="20" spans="2:20" ht="18" customHeight="1" x14ac:dyDescent="0.2">
      <c r="B20" s="1393" t="s">
        <v>1484</v>
      </c>
      <c r="C20" s="3849">
        <v>6657.6983377905372</v>
      </c>
      <c r="D20" s="3850">
        <f>Summary2!C20</f>
        <v>6657.6860377905359</v>
      </c>
      <c r="E20" s="3850">
        <f t="shared" si="4"/>
        <v>-1.2300000001232547E-2</v>
      </c>
      <c r="F20" s="3849">
        <f t="shared" si="5"/>
        <v>-1.8474853285879722E-4</v>
      </c>
      <c r="G20" s="3851">
        <f>IF(E20="NA","NA",E20/Table8s2!$G$35*100)</f>
        <v>-2.2277469084096236E-6</v>
      </c>
      <c r="H20" s="3852">
        <f>IF(E20="NA","NA",E20/Table8s2!$G$34*100)</f>
        <v>-1.9495755780020884E-6</v>
      </c>
      <c r="I20" s="3853">
        <v>5709.4252951291328</v>
      </c>
      <c r="J20" s="3850">
        <f>Summary2!D20</f>
        <v>5702.4961491337335</v>
      </c>
      <c r="K20" s="3839">
        <f t="shared" si="10"/>
        <v>-6.9291459953992671</v>
      </c>
      <c r="L20" s="3847">
        <f t="shared" si="11"/>
        <v>-0.12136328329421721</v>
      </c>
      <c r="M20" s="3844">
        <f>IF(K20="NA","NA",K20/Table8s2!$G$35*100)</f>
        <v>-1.2549905339530737E-3</v>
      </c>
      <c r="N20" s="3845">
        <f>IF(K20="NA","NA",K20/Table8s2!$G$34*100)</f>
        <v>-1.0982840494055037E-3</v>
      </c>
      <c r="O20" s="3854">
        <v>25.768306076295232</v>
      </c>
      <c r="P20" s="3849">
        <f>Summary2!E20</f>
        <v>25.767246076295233</v>
      </c>
      <c r="Q20" s="3839">
        <f t="shared" si="12"/>
        <v>-1.0599999999989507E-3</v>
      </c>
      <c r="R20" s="3847">
        <f t="shared" si="13"/>
        <v>-4.11358044591866E-3</v>
      </c>
      <c r="S20" s="3844">
        <f>IF(Q20="NA","NA",Q20/Table8s2!$G$35*100)</f>
        <v>-1.9198469290042549E-7</v>
      </c>
      <c r="T20" s="3845">
        <f>IF(Q20="NA","NA",Q20/Table8s2!$G$34*100)</f>
        <v>-1.6801220426610449E-7</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21070.968944599539</v>
      </c>
      <c r="D22" s="3839">
        <f>Summary2!C22</f>
        <v>21120.996965749539</v>
      </c>
      <c r="E22" s="3861">
        <f t="shared" si="4"/>
        <v>50.028021149999404</v>
      </c>
      <c r="F22" s="3861">
        <f t="shared" si="5"/>
        <v>0.23742629625402925</v>
      </c>
      <c r="G22" s="3862">
        <f>IF(E22="NA","NA",E22/Table8s2!$G$35*100)</f>
        <v>9.0609568650076733E-3</v>
      </c>
      <c r="H22" s="3863">
        <f>IF(E22="NA","NA",E22/Table8s2!$G$34*100)</f>
        <v>7.9295453853688823E-3</v>
      </c>
      <c r="I22" s="3839">
        <f>SUM(I23:I29)</f>
        <v>86.405444984586424</v>
      </c>
      <c r="J22" s="3839">
        <f>Summary2!D22</f>
        <v>86.405444984586424</v>
      </c>
      <c r="K22" s="3861">
        <f t="shared" ref="K22" si="14">IF(J22="NO",IF(I22="NO","NA",-I22),IF(I22="NO",J22,J22-I22))</f>
        <v>0</v>
      </c>
      <c r="L22" s="3861">
        <f t="shared" ref="L22" si="15">IF(K22="NA","NA",K22/I22*100)</f>
        <v>0</v>
      </c>
      <c r="M22" s="3862">
        <f>IF(K22="NA","NA",K22/Table8s2!$G$35*100)</f>
        <v>0</v>
      </c>
      <c r="N22" s="3863">
        <f>IF(K22="NA","NA",K22/Table8s2!$G$34*100)</f>
        <v>0</v>
      </c>
      <c r="O22" s="3839">
        <f>SUM(O23:O29)</f>
        <v>2681.6556676425739</v>
      </c>
      <c r="P22" s="3839">
        <f>Summary2!E22</f>
        <v>2681.6556676425739</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6408.1365207979152</v>
      </c>
      <c r="D23" s="3839">
        <f>Summary2!C23</f>
        <v>6408.1365207979152</v>
      </c>
      <c r="E23" s="3839">
        <f t="shared" si="4"/>
        <v>0</v>
      </c>
      <c r="F23" s="3847">
        <f t="shared" si="5"/>
        <v>0</v>
      </c>
      <c r="G23" s="3844">
        <f>IF(E23="NA","NA",E23/Table8s2!$G$35*100)</f>
        <v>0</v>
      </c>
      <c r="H23" s="3845">
        <f>IF(E23="NA","NA",E23/Table8s2!$G$34*100)</f>
        <v>0</v>
      </c>
      <c r="I23" s="1925"/>
      <c r="J23" s="1925"/>
      <c r="K23" s="1925"/>
      <c r="L23" s="1925"/>
      <c r="M23" s="1925"/>
      <c r="N23" s="1925"/>
      <c r="O23" s="1925"/>
      <c r="P23" s="1925"/>
      <c r="Q23" s="1925"/>
      <c r="R23" s="1925"/>
      <c r="S23" s="1925"/>
      <c r="T23" s="1925"/>
    </row>
    <row r="24" spans="2:20" ht="18" customHeight="1" x14ac:dyDescent="0.2">
      <c r="B24" s="1394" t="s">
        <v>621</v>
      </c>
      <c r="C24" s="3839">
        <v>3138.4711638427398</v>
      </c>
      <c r="D24" s="3839">
        <f>Summary2!C24</f>
        <v>3186.7659698427397</v>
      </c>
      <c r="E24" s="3839">
        <f t="shared" si="4"/>
        <v>48.29480599999988</v>
      </c>
      <c r="F24" s="3847">
        <f t="shared" si="5"/>
        <v>1.5388003737739553</v>
      </c>
      <c r="G24" s="3844">
        <f>IF(E24="NA","NA",E24/Table8s2!$G$35*100)</f>
        <v>8.747041036419604E-3</v>
      </c>
      <c r="H24" s="3845">
        <f>IF(E24="NA","NA",E24/Table8s2!$G$34*100)</f>
        <v>7.654827179879151E-3</v>
      </c>
      <c r="I24" s="3846">
        <v>16.177380799999998</v>
      </c>
      <c r="J24" s="3839">
        <f>Summary2!D24</f>
        <v>16.177380799999998</v>
      </c>
      <c r="K24" s="3839">
        <f t="shared" ref="K24" si="18">IF(J24="NO",IF(I24="NO","NA",-I24),IF(I24="NO",J24,J24-I24))</f>
        <v>0</v>
      </c>
      <c r="L24" s="3847">
        <f t="shared" ref="L24" si="19">IF(K24="NA","NA",K24/I24*100)</f>
        <v>0</v>
      </c>
      <c r="M24" s="3844">
        <f>IF(K24="NA","NA",K24/Table8s2!$G$35*100)</f>
        <v>0</v>
      </c>
      <c r="N24" s="3845">
        <f>IF(K24="NA","NA",K24/Table8s2!$G$34*100)</f>
        <v>0</v>
      </c>
      <c r="O24" s="3848">
        <v>2665.0898261376283</v>
      </c>
      <c r="P24" s="3847">
        <f>Summary2!E24</f>
        <v>2665.0898261376283</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11125.923167063163</v>
      </c>
      <c r="D25" s="3839">
        <f>Summary2!C25</f>
        <v>11125.923167063165</v>
      </c>
      <c r="E25" s="3839">
        <f t="shared" si="4"/>
        <v>1.8189894035458565E-12</v>
      </c>
      <c r="F25" s="3847">
        <f t="shared" si="5"/>
        <v>1.6349109878187334E-14</v>
      </c>
      <c r="G25" s="3844">
        <f>IF(E25="NA","NA",E25/Table8s2!$G$35*100)</f>
        <v>3.2945105851813683E-16</v>
      </c>
      <c r="H25" s="3845">
        <f>IF(E25="NA","NA",E25/Table8s2!$G$34*100)</f>
        <v>2.8831360304408347E-16</v>
      </c>
      <c r="I25" s="3846">
        <v>70.22806418458643</v>
      </c>
      <c r="J25" s="3839">
        <f>Summary2!D25</f>
        <v>70.22806418458643</v>
      </c>
      <c r="K25" s="3839">
        <f t="shared" ref="K25:K26" si="22">IF(J25="NO",IF(I25="NO","NA",-I25),IF(I25="NO",J25,J25-I25))</f>
        <v>0</v>
      </c>
      <c r="L25" s="3847">
        <f t="shared" ref="L25:L26" si="23">IF(K25="NA","NA",K25/I25*100)</f>
        <v>0</v>
      </c>
      <c r="M25" s="3844">
        <f>IF(K25="NA","NA",K25/Table8s2!$G$35*100)</f>
        <v>0</v>
      </c>
      <c r="N25" s="3845">
        <f>IF(K25="NA","NA",K25/Table8s2!$G$34*100)</f>
        <v>0</v>
      </c>
      <c r="O25" s="3848">
        <v>16.565841504945752</v>
      </c>
      <c r="P25" s="3847">
        <f>Summary2!E25</f>
        <v>16.565841504945752</v>
      </c>
      <c r="Q25" s="3839">
        <f t="shared" ref="Q25:Q29" si="24">IF(P25="NO",IF(O25="NO","NA",-O25),IF(O25="NO",P25,P25-O25))</f>
        <v>0</v>
      </c>
      <c r="R25" s="3847">
        <f t="shared" ref="R25:R29" si="25">IF(Q25="NA","NA",Q25/O25*100)</f>
        <v>0</v>
      </c>
      <c r="S25" s="3844">
        <f>IF(Q25="NA","NA",Q25/Table8s2!$G$35*100)</f>
        <v>0</v>
      </c>
      <c r="T25" s="3845">
        <f>IF(Q25="NA","NA",Q25/Table8s2!$G$34*100)</f>
        <v>0</v>
      </c>
    </row>
    <row r="26" spans="2:20" ht="18" customHeight="1" x14ac:dyDescent="0.2">
      <c r="B26" s="1395" t="s">
        <v>1519</v>
      </c>
      <c r="C26" s="3839">
        <v>237.02918379999997</v>
      </c>
      <c r="D26" s="3839">
        <f>Summary2!C26</f>
        <v>238.76239894999998</v>
      </c>
      <c r="E26" s="3839">
        <f t="shared" si="4"/>
        <v>1.7332151500000066</v>
      </c>
      <c r="F26" s="3847">
        <f t="shared" si="5"/>
        <v>0.7312243674865182</v>
      </c>
      <c r="G26" s="3844">
        <f>IF(E26="NA","NA",E26/Table8s2!$G$35*100)</f>
        <v>3.1391582858815616E-4</v>
      </c>
      <c r="H26" s="3845">
        <f>IF(E26="NA","NA",E26/Table8s2!$G$34*100)</f>
        <v>2.7471820548980781E-4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161.40890909572053</v>
      </c>
      <c r="D29" s="3855">
        <f>Summary2!C30</f>
        <v>161.40890909572053</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1943.1837325816937</v>
      </c>
      <c r="D30" s="3875">
        <f>Summary2!C31</f>
        <v>1943.1837325816937</v>
      </c>
      <c r="E30" s="3861">
        <f t="shared" si="4"/>
        <v>0</v>
      </c>
      <c r="F30" s="3876">
        <f t="shared" si="5"/>
        <v>0</v>
      </c>
      <c r="G30" s="3877">
        <f>IF(E30="NA","NA",E30/Table8s2!$G$35*100)</f>
        <v>0</v>
      </c>
      <c r="H30" s="3878">
        <f>IF(E30="NA","NA",E30/Table8s2!$G$34*100)</f>
        <v>0</v>
      </c>
      <c r="I30" s="3874">
        <f>SUM(I31:I40)</f>
        <v>64835.735107721644</v>
      </c>
      <c r="J30" s="3875">
        <f>Summary2!D31</f>
        <v>64835.735107721644</v>
      </c>
      <c r="K30" s="3861">
        <f t="shared" ref="K30" si="28">IF(J30="NO",IF(I30="NO","NA",-I30),IF(I30="NO",J30,J30-I30))</f>
        <v>0</v>
      </c>
      <c r="L30" s="3876">
        <f t="shared" ref="L30" si="29">IF(K30="NA","NA",K30/I30*100)</f>
        <v>0</v>
      </c>
      <c r="M30" s="3877">
        <f>IF(K30="NA","NA",K30/Table8s2!$G$35*100)</f>
        <v>0</v>
      </c>
      <c r="N30" s="3878">
        <f>IF(K30="NA","NA",K30/Table8s2!$G$34*100)</f>
        <v>0</v>
      </c>
      <c r="O30" s="3874">
        <f>SUM(O31:O40)</f>
        <v>10967.075872366035</v>
      </c>
      <c r="P30" s="3875">
        <f>Summary2!E31</f>
        <v>10967.045165598516</v>
      </c>
      <c r="Q30" s="3861">
        <f t="shared" ref="Q30" si="30">IF(P30="NO",IF(O30="NO","NA",-O30),IF(O30="NO",P30,P30-O30))</f>
        <v>-3.0706767518495326E-2</v>
      </c>
      <c r="R30" s="3880">
        <f t="shared" ref="R30" si="31">IF(Q30="NA","NA",Q30/O30*100)</f>
        <v>-2.7999047217196519E-4</v>
      </c>
      <c r="S30" s="3881">
        <f>IF(Q30="NA","NA",Q30/Table8s2!$G$35*100)</f>
        <v>-5.5615371056687929E-6</v>
      </c>
      <c r="T30" s="3882">
        <f>IF(Q30="NA","NA",Q30/Table8s2!$G$34*100)</f>
        <v>-4.8670865062965339E-6</v>
      </c>
    </row>
    <row r="31" spans="2:20" ht="18" customHeight="1" x14ac:dyDescent="0.2">
      <c r="B31" s="620" t="s">
        <v>1492</v>
      </c>
      <c r="C31" s="3867"/>
      <c r="D31" s="3867"/>
      <c r="E31" s="3868"/>
      <c r="F31" s="3868"/>
      <c r="G31" s="3869"/>
      <c r="H31" s="3870"/>
      <c r="I31" s="3846">
        <v>57978.533657850538</v>
      </c>
      <c r="J31" s="3839">
        <f>Summary2!D32</f>
        <v>57978.533657850538</v>
      </c>
      <c r="K31" s="3883">
        <f t="shared" ref="K31:K33" si="32">IF(J31="NO",IF(I31="NO","NA",-I31),IF(I31="NO",J31,J31-I31))</f>
        <v>0</v>
      </c>
      <c r="L31" s="3883">
        <f t="shared" ref="L31:L33" si="33">IF(K31="NA","NA",K31/I31*100)</f>
        <v>0</v>
      </c>
      <c r="M31" s="3884">
        <f>IF(K31="NA","NA",K31/Table8s2!$G$35*100)</f>
        <v>0</v>
      </c>
      <c r="N31" s="3885">
        <f>IF(K31="NA","NA",K31/Table8s2!$G$34*100)</f>
        <v>0</v>
      </c>
      <c r="O31" s="3886"/>
      <c r="P31" s="3887"/>
      <c r="Q31" s="3868"/>
      <c r="R31" s="3888"/>
      <c r="S31" s="3889"/>
      <c r="T31" s="3890"/>
    </row>
    <row r="32" spans="2:20" ht="18" customHeight="1" x14ac:dyDescent="0.2">
      <c r="B32" s="620" t="s">
        <v>1493</v>
      </c>
      <c r="C32" s="3891"/>
      <c r="D32" s="3891"/>
      <c r="E32" s="3892"/>
      <c r="F32" s="3892"/>
      <c r="G32" s="3869"/>
      <c r="H32" s="3870"/>
      <c r="I32" s="3846">
        <v>6604.8951319646339</v>
      </c>
      <c r="J32" s="3847">
        <f>Summary2!D33</f>
        <v>6604.8951319646339</v>
      </c>
      <c r="K32" s="3893">
        <f t="shared" si="32"/>
        <v>0</v>
      </c>
      <c r="L32" s="3893">
        <f t="shared" si="33"/>
        <v>0</v>
      </c>
      <c r="M32" s="3884">
        <f>IF(K32="NA","NA",K32/Table8s2!$G$35*100)</f>
        <v>0</v>
      </c>
      <c r="N32" s="3885">
        <f>IF(K32="NA","NA",K32/Table8s2!$G$34*100)</f>
        <v>0</v>
      </c>
      <c r="O32" s="3848">
        <v>406.73842615568185</v>
      </c>
      <c r="P32" s="3847">
        <f>Summary2!E33</f>
        <v>406.73842615568179</v>
      </c>
      <c r="Q32" s="3893">
        <f t="shared" ref="Q32" si="34">IF(P32="NO",IF(O32="NO","NA",-O32),IF(O32="NO",P32,P32-O32))</f>
        <v>-5.6843418860808015E-14</v>
      </c>
      <c r="R32" s="3894">
        <f t="shared" ref="R32" si="35">IF(Q32="NA","NA",Q32/O32*100)</f>
        <v>-1.3975423811826134E-14</v>
      </c>
      <c r="S32" s="3895">
        <f>IF(Q32="NA","NA",Q32/Table8s2!$G$35*100)</f>
        <v>-1.0295345578691776E-17</v>
      </c>
      <c r="T32" s="3896">
        <f>IF(Q32="NA","NA",Q32/Table8s2!$G$34*100)</f>
        <v>-9.0098000951276084E-18</v>
      </c>
    </row>
    <row r="33" spans="2:21" ht="18" customHeight="1" x14ac:dyDescent="0.2">
      <c r="B33" s="620" t="s">
        <v>1494</v>
      </c>
      <c r="C33" s="3891"/>
      <c r="D33" s="3891"/>
      <c r="E33" s="3892"/>
      <c r="F33" s="3892"/>
      <c r="G33" s="3897"/>
      <c r="H33" s="3898"/>
      <c r="I33" s="3848">
        <v>32.007544799999998</v>
      </c>
      <c r="J33" s="3847">
        <f>Summary2!D34</f>
        <v>32.007544799999998</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10474.451944338794</v>
      </c>
      <c r="P34" s="3847">
        <f>Summary2!E35</f>
        <v>10474.421237571276</v>
      </c>
      <c r="Q34" s="3893">
        <f t="shared" ref="Q34" si="36">IF(P34="NO",IF(O34="NO","NA",-O34),IF(O34="NO",P34,P34-O34))</f>
        <v>-3.0706767518495326E-2</v>
      </c>
      <c r="R34" s="3894">
        <f t="shared" ref="R34" si="37">IF(Q34="NA","NA",Q34/O34*100)</f>
        <v>-2.9315870349752902E-4</v>
      </c>
      <c r="S34" s="3895">
        <f>IF(Q34="NA","NA",Q34/Table8s2!$G$35*100)</f>
        <v>-5.5615371056687929E-6</v>
      </c>
      <c r="T34" s="3896">
        <f>IF(Q34="NA","NA",Q34/Table8s2!$G$34*100)</f>
        <v>-4.8670865062965339E-6</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220.29877310647464</v>
      </c>
      <c r="J36" s="3847">
        <f>Summary2!D37</f>
        <v>220.29877310647461</v>
      </c>
      <c r="K36" s="3893">
        <f t="shared" ref="K36" si="38">IF(J36="NO",IF(I36="NO","NA",-I36),IF(I36="NO",J36,J36-I36))</f>
        <v>-2.8421709430404007E-14</v>
      </c>
      <c r="L36" s="3893">
        <f t="shared" ref="L36" si="39">IF(K36="NA","NA",K36/I36*100)</f>
        <v>-1.2901437910717391E-14</v>
      </c>
      <c r="M36" s="3884">
        <f>IF(K36="NA","NA",K36/Table8s2!$G$35*100)</f>
        <v>-5.147672789345888E-18</v>
      </c>
      <c r="N36" s="3885">
        <f>IF(K36="NA","NA",K36/Table8s2!$G$34*100)</f>
        <v>-4.5049000475638042E-18</v>
      </c>
      <c r="O36" s="3848">
        <v>85.885501871559313</v>
      </c>
      <c r="P36" s="3847">
        <f>Summary2!E37</f>
        <v>85.885501871559327</v>
      </c>
      <c r="Q36" s="3893">
        <f t="shared" ref="Q36" si="40">IF(P36="NO",IF(O36="NO","NA",-O36),IF(O36="NO",P36,P36-O36))</f>
        <v>1.4210854715202004E-14</v>
      </c>
      <c r="R36" s="3894">
        <f t="shared" ref="R36" si="41">IF(Q36="NA","NA",Q36/O36*100)</f>
        <v>1.6546278947585539E-14</v>
      </c>
      <c r="S36" s="3895">
        <f>IF(Q36="NA","NA",Q36/Table8s2!$G$35*100)</f>
        <v>2.573836394672944E-18</v>
      </c>
      <c r="T36" s="3896">
        <f>IF(Q36="NA","NA",Q36/Table8s2!$G$34*100)</f>
        <v>2.2524500237819021E-18</v>
      </c>
    </row>
    <row r="37" spans="2:21" ht="18" customHeight="1" x14ac:dyDescent="0.2">
      <c r="B37" s="620" t="s">
        <v>721</v>
      </c>
      <c r="C37" s="3847">
        <v>1159.4904844523769</v>
      </c>
      <c r="D37" s="3847">
        <f>Summary2!C38</f>
        <v>1159.4904844523769</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783.69324812931677</v>
      </c>
      <c r="D38" s="3847">
        <f>Summary2!C39</f>
        <v>783.69324812931677</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56360.785318651171</v>
      </c>
      <c r="D41" s="3839">
        <f>Summary2!C42</f>
        <v>53642.717751712669</v>
      </c>
      <c r="E41" s="3929">
        <f t="shared" ref="E41" si="42">IF(D41="NO",IF(C41="NO","NA",-C41),IF(C41="NO",D41,D41-C41))</f>
        <v>-2718.0675669385018</v>
      </c>
      <c r="F41" s="3929">
        <f t="shared" ref="F41" si="43">IF(E41="NA","NA",E41/C41*100)</f>
        <v>-4.8226218842962538</v>
      </c>
      <c r="G41" s="3869"/>
      <c r="H41" s="3929">
        <f>IF(E41="NA","NA",E41/Table8s2!$G$34*100)</f>
        <v>-0.43081936157169548</v>
      </c>
      <c r="I41" s="3846">
        <f>SUM(I42:I49)</f>
        <v>23642.073600425912</v>
      </c>
      <c r="J41" s="3839">
        <f>Summary2!D42</f>
        <v>20361.017520322457</v>
      </c>
      <c r="K41" s="3929">
        <f t="shared" ref="K41:K46" si="44">IF(J41="NO",IF(I41="NO","NA",-I41),IF(I41="NO",J41,J41-I41))</f>
        <v>-3281.0560801034553</v>
      </c>
      <c r="L41" s="3929">
        <f t="shared" ref="L41:L46" si="45">IF(K41="NA","NA",K41/I41*100)</f>
        <v>-13.878038515387866</v>
      </c>
      <c r="M41" s="3889"/>
      <c r="N41" s="3930">
        <f>IF(K41="NA","NA",K41/Table8s2!$G$34*100)</f>
        <v>-0.5200542116409731</v>
      </c>
      <c r="O41" s="3846">
        <f>SUM(O42:O49)</f>
        <v>4777.4884772621281</v>
      </c>
      <c r="P41" s="3839">
        <f>Summary2!E42</f>
        <v>4775.4624289898002</v>
      </c>
      <c r="Q41" s="3929">
        <f t="shared" ref="Q41" si="46">IF(P41="NO",IF(O41="NO","NA",-O41),IF(O41="NO",P41,P41-O41))</f>
        <v>-2.0260482723278983</v>
      </c>
      <c r="R41" s="3929">
        <f t="shared" ref="R41" si="47">IF(Q41="NA","NA",Q41/O41*100)</f>
        <v>-4.2408229386017932E-2</v>
      </c>
      <c r="S41" s="3889"/>
      <c r="T41" s="3930">
        <f>IF(Q41="NA","NA",Q41/Table8s2!$G$34*100)</f>
        <v>-3.211328643242263E-4</v>
      </c>
      <c r="U41" s="713"/>
    </row>
    <row r="42" spans="2:21" ht="18" customHeight="1" x14ac:dyDescent="0.2">
      <c r="B42" s="620" t="s">
        <v>981</v>
      </c>
      <c r="C42" s="3847">
        <v>-22871.427498960995</v>
      </c>
      <c r="D42" s="3847">
        <f>Summary2!C43</f>
        <v>-26117.059401995764</v>
      </c>
      <c r="E42" s="3931">
        <f t="shared" ref="E42:E50" si="48">IF(D42="NO",IF(C42="NO","NA",-C42),IF(C42="NO",D42,D42-C42))</f>
        <v>-3245.6319030347695</v>
      </c>
      <c r="F42" s="3931">
        <f t="shared" ref="F42:F50" si="49">IF(E42="NA","NA",E42/C42*100)</f>
        <v>14.190771009733485</v>
      </c>
      <c r="G42" s="3889"/>
      <c r="H42" s="3931">
        <f>IF(E42="NA","NA",E42/Table8s2!$G$34*100)</f>
        <v>-0.51443940591113479</v>
      </c>
      <c r="I42" s="3848">
        <v>9121.0306934587097</v>
      </c>
      <c r="J42" s="3847">
        <f>Summary2!D43</f>
        <v>8654.00474627728</v>
      </c>
      <c r="K42" s="3931">
        <f t="shared" si="44"/>
        <v>-467.02594718142973</v>
      </c>
      <c r="L42" s="3931">
        <f t="shared" si="45"/>
        <v>-5.1203198725815575</v>
      </c>
      <c r="M42" s="3889"/>
      <c r="N42" s="3932">
        <f>IF(K42="NA","NA",K42/Table8s2!$G$34*100)</f>
        <v>-7.4024583807070721E-2</v>
      </c>
      <c r="O42" s="3848">
        <v>1578.9145439108524</v>
      </c>
      <c r="P42" s="3847">
        <f>Summary2!E43</f>
        <v>1537.0399480145525</v>
      </c>
      <c r="Q42" s="3931">
        <f t="shared" ref="Q42:Q46" si="50">IF(P42="NO",IF(O42="NO","NA",-O42),IF(O42="NO",P42,P42-O42))</f>
        <v>-41.874595896299979</v>
      </c>
      <c r="R42" s="3931">
        <f t="shared" ref="R42:R46" si="51">IF(Q42="NA","NA",Q42/O42*100)</f>
        <v>-2.6521128744928628</v>
      </c>
      <c r="S42" s="3889"/>
      <c r="T42" s="3932">
        <f>IF(Q42="NA","NA",Q42/Table8s2!$G$34*100)</f>
        <v>-6.6372105276383932E-3</v>
      </c>
      <c r="U42" s="713"/>
    </row>
    <row r="43" spans="2:21" ht="18" customHeight="1" x14ac:dyDescent="0.2">
      <c r="B43" s="620" t="s">
        <v>984</v>
      </c>
      <c r="C43" s="3847">
        <v>11100.792793268913</v>
      </c>
      <c r="D43" s="3847">
        <f>Summary2!C44</f>
        <v>11084.152476448246</v>
      </c>
      <c r="E43" s="3931">
        <f t="shared" si="48"/>
        <v>-16.640316820667067</v>
      </c>
      <c r="F43" s="3931">
        <f t="shared" si="49"/>
        <v>-0.14990205772291421</v>
      </c>
      <c r="G43" s="3889"/>
      <c r="H43" s="3931">
        <f>IF(E43="NA","NA",E43/Table8s2!$G$34*100)</f>
        <v>-2.637524819556016E-3</v>
      </c>
      <c r="I43" s="3848">
        <v>57.178938797396341</v>
      </c>
      <c r="J43" s="3847">
        <f>Summary2!D44</f>
        <v>57.480192000000002</v>
      </c>
      <c r="K43" s="3931">
        <f t="shared" si="44"/>
        <v>0.30125320260366095</v>
      </c>
      <c r="L43" s="3931">
        <f t="shared" si="45"/>
        <v>0.52686042962619406</v>
      </c>
      <c r="M43" s="3889"/>
      <c r="N43" s="3932">
        <f>IF(K43="NA","NA",K43/Table8s2!$G$34*100)</f>
        <v>4.7749259067655234E-5</v>
      </c>
      <c r="O43" s="3848">
        <v>39.47439406562502</v>
      </c>
      <c r="P43" s="3847">
        <f>Summary2!E44</f>
        <v>39.257219678819325</v>
      </c>
      <c r="Q43" s="3931">
        <f t="shared" si="50"/>
        <v>-0.21717438680569501</v>
      </c>
      <c r="R43" s="3931">
        <f t="shared" si="51"/>
        <v>-0.55016521962224163</v>
      </c>
      <c r="S43" s="3889"/>
      <c r="T43" s="3932">
        <f>IF(Q43="NA","NA",Q43/Table8s2!$G$34*100)</f>
        <v>-3.4422591922075974E-5</v>
      </c>
      <c r="U43" s="713"/>
    </row>
    <row r="44" spans="2:21" ht="18" customHeight="1" x14ac:dyDescent="0.2">
      <c r="B44" s="620" t="s">
        <v>987</v>
      </c>
      <c r="C44" s="3847">
        <v>67000.698609211526</v>
      </c>
      <c r="D44" s="3847">
        <f>Summary2!C45</f>
        <v>67256.97019360619</v>
      </c>
      <c r="E44" s="3931">
        <f t="shared" si="48"/>
        <v>256.27158439466439</v>
      </c>
      <c r="F44" s="3931">
        <f t="shared" si="49"/>
        <v>0.3824909138476224</v>
      </c>
      <c r="G44" s="3889"/>
      <c r="H44" s="3931">
        <f>IF(E44="NA","NA",E44/Table8s2!$G$34*100)</f>
        <v>4.0619579042412458E-2</v>
      </c>
      <c r="I44" s="3848">
        <v>8974.4376032222008</v>
      </c>
      <c r="J44" s="3847">
        <f>Summary2!D45</f>
        <v>9071.6333890737915</v>
      </c>
      <c r="K44" s="3931">
        <f t="shared" si="44"/>
        <v>97.195785851590699</v>
      </c>
      <c r="L44" s="3931">
        <f t="shared" si="45"/>
        <v>1.0830292676690216</v>
      </c>
      <c r="M44" s="3889"/>
      <c r="N44" s="3932">
        <f>IF(K44="NA","NA",K44/Table8s2!$G$34*100)</f>
        <v>1.5405734175771856E-2</v>
      </c>
      <c r="O44" s="3848">
        <v>2998.3945327413694</v>
      </c>
      <c r="P44" s="3847">
        <f>Summary2!E45</f>
        <v>3037.5065010384328</v>
      </c>
      <c r="Q44" s="3931">
        <f t="shared" si="50"/>
        <v>39.111968297063413</v>
      </c>
      <c r="R44" s="3931">
        <f t="shared" si="51"/>
        <v>1.3044303499747967</v>
      </c>
      <c r="S44" s="3889"/>
      <c r="T44" s="3932">
        <f>IF(Q44="NA","NA",Q44/Table8s2!$G$34*100)</f>
        <v>6.1993283082850239E-3</v>
      </c>
      <c r="U44" s="713"/>
    </row>
    <row r="45" spans="2:21" ht="18" customHeight="1" x14ac:dyDescent="0.2">
      <c r="B45" s="620" t="s">
        <v>1525</v>
      </c>
      <c r="C45" s="3847">
        <v>1384.2668998221907</v>
      </c>
      <c r="D45" s="3847">
        <f>Summary2!C46</f>
        <v>1389.7699748607338</v>
      </c>
      <c r="E45" s="3931">
        <f t="shared" si="48"/>
        <v>5.503075038543102</v>
      </c>
      <c r="F45" s="3931">
        <f t="shared" si="49"/>
        <v>0.39754436368087492</v>
      </c>
      <c r="G45" s="3889"/>
      <c r="H45" s="3931">
        <f>IF(E45="NA","NA",E45/Table8s2!$G$34*100)</f>
        <v>8.7224883723426385E-4</v>
      </c>
      <c r="I45" s="3848">
        <v>5407.174474806774</v>
      </c>
      <c r="J45" s="3847">
        <f>Summary2!D46</f>
        <v>2493.7277657713862</v>
      </c>
      <c r="K45" s="3931">
        <f t="shared" si="44"/>
        <v>-2913.4467090353878</v>
      </c>
      <c r="L45" s="3931">
        <f t="shared" si="45"/>
        <v>-53.881130017346081</v>
      </c>
      <c r="M45" s="3889"/>
      <c r="N45" s="3932">
        <f>IF(K45="NA","NA",K45/Table8s2!$G$34*100)</f>
        <v>-0.46178736188429054</v>
      </c>
      <c r="O45" s="3848">
        <v>104.15678689838168</v>
      </c>
      <c r="P45" s="3847">
        <f>Summary2!E46</f>
        <v>104.73500455485959</v>
      </c>
      <c r="Q45" s="3931">
        <f t="shared" si="50"/>
        <v>0.57821765647790357</v>
      </c>
      <c r="R45" s="3931">
        <f t="shared" si="51"/>
        <v>0.55514160305466143</v>
      </c>
      <c r="S45" s="3889"/>
      <c r="T45" s="3932">
        <f>IF(Q45="NA","NA",Q45/Table8s2!$G$34*100)</f>
        <v>9.1648700953330116E-5</v>
      </c>
      <c r="U45" s="713"/>
    </row>
    <row r="46" spans="2:21" ht="18" customHeight="1" x14ac:dyDescent="0.2">
      <c r="B46" s="620" t="s">
        <v>1526</v>
      </c>
      <c r="C46" s="3847">
        <v>4780.2516840884364</v>
      </c>
      <c r="D46" s="3847">
        <f>Summary2!C47</f>
        <v>4791.8709359467648</v>
      </c>
      <c r="E46" s="3931">
        <f t="shared" si="48"/>
        <v>11.619251858328425</v>
      </c>
      <c r="F46" s="3931">
        <f t="shared" si="49"/>
        <v>0.24306778442240418</v>
      </c>
      <c r="G46" s="3889"/>
      <c r="H46" s="3931">
        <f>IF(E46="NA","NA",E46/Table8s2!$G$34*100)</f>
        <v>1.8416755817384169E-3</v>
      </c>
      <c r="I46" s="3848">
        <v>82.251890140828834</v>
      </c>
      <c r="J46" s="3847">
        <f>Summary2!D47</f>
        <v>84.171427199999997</v>
      </c>
      <c r="K46" s="3931">
        <f t="shared" si="44"/>
        <v>1.9195370591711622</v>
      </c>
      <c r="L46" s="3931">
        <f t="shared" si="45"/>
        <v>2.3337300284341156</v>
      </c>
      <c r="M46" s="3889"/>
      <c r="N46" s="3932">
        <f>IF(K46="NA","NA",K46/Table8s2!$G$34*100)</f>
        <v>3.0425061554919061E-4</v>
      </c>
      <c r="O46" s="3848">
        <v>24.326944186673892</v>
      </c>
      <c r="P46" s="3847">
        <f>Summary2!E47</f>
        <v>24.702480243911427</v>
      </c>
      <c r="Q46" s="3931">
        <f t="shared" si="50"/>
        <v>0.37553605723753591</v>
      </c>
      <c r="R46" s="3931">
        <f t="shared" si="51"/>
        <v>1.5437041921740899</v>
      </c>
      <c r="S46" s="3889"/>
      <c r="T46" s="3932">
        <f>IF(Q46="NA","NA",Q46/Table8s2!$G$34*100)</f>
        <v>5.9523245998059284E-5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-5034.20386030997</v>
      </c>
      <c r="D48" s="3847">
        <f>Summary2!C49</f>
        <v>-4763.393118684573</v>
      </c>
      <c r="E48" s="3931">
        <f t="shared" si="48"/>
        <v>270.81074162539699</v>
      </c>
      <c r="F48" s="3931">
        <f t="shared" si="49"/>
        <v>-5.3794154774002818</v>
      </c>
      <c r="G48" s="3889"/>
      <c r="H48" s="3931">
        <f>IF(E48="NA","NA",E48/Table8s2!$G$34*100)</f>
        <v>4.2924065697609884E-2</v>
      </c>
      <c r="I48" s="3913"/>
      <c r="J48" s="3910"/>
      <c r="K48" s="3918"/>
      <c r="L48" s="3918"/>
      <c r="M48" s="3918"/>
      <c r="N48" s="3905"/>
      <c r="O48" s="3913"/>
      <c r="P48" s="3910"/>
      <c r="Q48" s="3918"/>
      <c r="R48" s="3918"/>
      <c r="S48" s="3918"/>
      <c r="T48" s="3905"/>
      <c r="U48" s="713"/>
    </row>
    <row r="49" spans="2:21" ht="18" customHeight="1" thickBot="1" x14ac:dyDescent="0.25">
      <c r="B49" s="1552" t="s">
        <v>1529</v>
      </c>
      <c r="C49" s="3855">
        <v>0.40669153106816663</v>
      </c>
      <c r="D49" s="3855">
        <f>Summary2!C50</f>
        <v>0.40669153106816663</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32.221275459224692</v>
      </c>
      <c r="P49" s="3855">
        <f>Summary2!E50</f>
        <v>32.221275459224692</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30.577141562580699</v>
      </c>
      <c r="D50" s="3839">
        <f>Summary2!C51</f>
        <v>30.577141562580699</v>
      </c>
      <c r="E50" s="3839">
        <f t="shared" si="48"/>
        <v>0</v>
      </c>
      <c r="F50" s="3839">
        <f t="shared" si="49"/>
        <v>0</v>
      </c>
      <c r="G50" s="3844">
        <f>IF(E50="NA","NA",E50/Table8s2!$G$35*100)</f>
        <v>0</v>
      </c>
      <c r="H50" s="3845">
        <f>IF(E50="NA","NA",E50/Table8s2!$G$34*100)</f>
        <v>0</v>
      </c>
      <c r="I50" s="3839">
        <f>SUM(I51:I55)</f>
        <v>15800.684469836373</v>
      </c>
      <c r="J50" s="3839">
        <f>Summary2!D51</f>
        <v>15841.699616345366</v>
      </c>
      <c r="K50" s="3839">
        <f t="shared" ref="K50" si="54">IF(J50="NO",IF(I50="NO","NA",-I50),IF(I50="NO",J50,J50-I50))</f>
        <v>41.015146508992984</v>
      </c>
      <c r="L50" s="3839">
        <f t="shared" ref="L50" si="55">IF(K50="NA","NA",K50/I50*100)</f>
        <v>0.25957828970821623</v>
      </c>
      <c r="M50" s="3844">
        <f>IF(K50="NA","NA",K50/Table8s2!$G$35*100)</f>
        <v>7.4285663271724256E-3</v>
      </c>
      <c r="N50" s="3845">
        <f>IF(K50="NA","NA",K50/Table8s2!$G$34*100)</f>
        <v>6.5009860125282573E-3</v>
      </c>
      <c r="O50" s="3839">
        <f>SUM(O51:O55)</f>
        <v>553.57649430917763</v>
      </c>
      <c r="P50" s="3839">
        <f>Summary2!E51</f>
        <v>334.34645373637721</v>
      </c>
      <c r="Q50" s="3839">
        <f t="shared" si="52"/>
        <v>-219.23004057280042</v>
      </c>
      <c r="R50" s="3839">
        <f t="shared" si="53"/>
        <v>-39.602483636228676</v>
      </c>
      <c r="S50" s="3844">
        <f>IF(Q50="NA","NA",Q50/Table8s2!$G$35*100)</f>
        <v>-3.9706426428262803E-2</v>
      </c>
      <c r="T50" s="3845">
        <f>IF(Q50="NA","NA",Q50/Table8s2!$G$34*100)</f>
        <v>-3.4748417318886962E-2</v>
      </c>
    </row>
    <row r="51" spans="2:21" ht="18" customHeight="1" x14ac:dyDescent="0.2">
      <c r="B51" s="620" t="s">
        <v>1530</v>
      </c>
      <c r="C51" s="3918"/>
      <c r="D51" s="3918"/>
      <c r="E51" s="3888"/>
      <c r="F51" s="3903"/>
      <c r="G51" s="3904"/>
      <c r="H51" s="3905"/>
      <c r="I51" s="3839">
        <v>12636.601780291006</v>
      </c>
      <c r="J51" s="3839">
        <f>Summary2!D52</f>
        <v>12677.616926800001</v>
      </c>
      <c r="K51" s="3839">
        <f t="shared" ref="K51:K52" si="56">IF(J51="NO",IF(I51="NO","NA",-I51),IF(I51="NO",J51,J51-I51))</f>
        <v>41.015146508994803</v>
      </c>
      <c r="L51" s="3839">
        <f t="shared" ref="L51:L52" si="57">IF(K51="NA","NA",K51/I51*100)</f>
        <v>0.32457417921458209</v>
      </c>
      <c r="M51" s="3844">
        <f>IF(K51="NA","NA",K51/Table8s2!$G$35*100)</f>
        <v>7.4285663271727552E-3</v>
      </c>
      <c r="N51" s="3845">
        <f>IF(K51="NA","NA",K51/Table8s2!$G$34*100)</f>
        <v>6.5009860125285453E-3</v>
      </c>
      <c r="O51" s="3886"/>
      <c r="P51" s="3887"/>
      <c r="Q51" s="3940"/>
      <c r="R51" s="3941"/>
      <c r="S51" s="3942"/>
      <c r="T51" s="3943"/>
    </row>
    <row r="52" spans="2:21" ht="18" customHeight="1" x14ac:dyDescent="0.2">
      <c r="B52" s="1396" t="s">
        <v>1531</v>
      </c>
      <c r="C52" s="3918"/>
      <c r="D52" s="3918"/>
      <c r="E52" s="3888"/>
      <c r="F52" s="3903"/>
      <c r="G52" s="3904"/>
      <c r="H52" s="3905"/>
      <c r="I52" s="3849">
        <v>84.224112209999987</v>
      </c>
      <c r="J52" s="3847">
        <f>Summary2!D53</f>
        <v>84.224112209999987</v>
      </c>
      <c r="K52" s="3839">
        <f t="shared" si="56"/>
        <v>0</v>
      </c>
      <c r="L52" s="3839">
        <f t="shared" si="57"/>
        <v>0</v>
      </c>
      <c r="M52" s="3844">
        <f>IF(K52="NA","NA",K52/Table8s2!$G$35*100)</f>
        <v>0</v>
      </c>
      <c r="N52" s="3845">
        <f>IF(K52="NA","NA",K52/Table8s2!$G$34*100)</f>
        <v>0</v>
      </c>
      <c r="O52" s="3839">
        <v>102.03149593440001</v>
      </c>
      <c r="P52" s="3839">
        <f>Summary2!E53</f>
        <v>102.03149593440001</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30.577141562580699</v>
      </c>
      <c r="D53" s="3839">
        <f>Summary2!C54</f>
        <v>30.577141562580699</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3079.8585773353661</v>
      </c>
      <c r="J54" s="3847">
        <f>Summary2!D55</f>
        <v>3079.8585773353652</v>
      </c>
      <c r="K54" s="3839">
        <f t="shared" ref="K54" si="62">IF(J54="NO",IF(I54="NO","NA",-I54),IF(I54="NO",J54,J54-I54))</f>
        <v>-9.0949470177292824E-13</v>
      </c>
      <c r="L54" s="3839">
        <f t="shared" ref="L54" si="63">IF(K54="NA","NA",K54/I54*100)</f>
        <v>-2.9530404690198644E-14</v>
      </c>
      <c r="M54" s="3844">
        <f>IF(K54="NA","NA",K54/Table8s2!$G$35*100)</f>
        <v>-1.6472552925906842E-16</v>
      </c>
      <c r="N54" s="3845">
        <f>IF(K54="NA","NA",K54/Table8s2!$G$34*100)</f>
        <v>-1.4415680152204173E-16</v>
      </c>
      <c r="O54" s="3839">
        <v>451.54499837477766</v>
      </c>
      <c r="P54" s="3839">
        <f>Summary2!E55</f>
        <v>232.31495780197719</v>
      </c>
      <c r="Q54" s="3839">
        <f t="shared" ref="Q54" si="64">IF(P54="NO",IF(O54="NO","NA",-O54),IF(O54="NO",P54,P54-O54))</f>
        <v>-219.23004057280048</v>
      </c>
      <c r="R54" s="3839">
        <f t="shared" ref="R54" si="65">IF(Q54="NA","NA",Q54/O54*100)</f>
        <v>-48.551094876892385</v>
      </c>
      <c r="S54" s="3844">
        <f>IF(Q54="NA","NA",Q54/Table8s2!$G$35*100)</f>
        <v>-3.970642642826281E-2</v>
      </c>
      <c r="T54" s="3845">
        <f>IF(Q54="NA","NA",Q54/Table8s2!$G$34*100)</f>
        <v>-3.4748417318886969E-2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12188.04760448</v>
      </c>
      <c r="D59" s="3847">
        <f>Summary2!C60</f>
        <v>12188.047604479998</v>
      </c>
      <c r="E59" s="3861">
        <f t="shared" ref="E59" si="66">IF(D59="NO",IF(C59="NO","NA",-C59),IF(C59="NO",D59,D59-C59))</f>
        <v>-1.8189894035458565E-12</v>
      </c>
      <c r="F59" s="3861">
        <f t="shared" ref="F59" si="67">IF(E59="NA","NA",E59/C59*100)</f>
        <v>-1.4924370683268784E-14</v>
      </c>
      <c r="G59" s="3862">
        <f>IF(E59="NA","NA",E59/Table8s2!$G$35*100)</f>
        <v>-3.2945105851813683E-16</v>
      </c>
      <c r="H59" s="3863">
        <f>IF(E59="NA","NA",E59/Table8s2!$G$34*100)</f>
        <v>-2.8831360304408347E-16</v>
      </c>
      <c r="I59" s="3847">
        <v>7.7177163102437998</v>
      </c>
      <c r="J59" s="3847">
        <f>Summary2!D60</f>
        <v>7.7177163102439019</v>
      </c>
      <c r="K59" s="3861">
        <f t="shared" ref="K59:K61" si="68">IF(J59="NO",IF(I59="NO","NA",-I59),IF(I59="NO",J59,J59-I59))</f>
        <v>1.021405182655144E-13</v>
      </c>
      <c r="L59" s="3861">
        <f t="shared" ref="L59:L61" si="69">IF(K59="NA","NA",K59/I59*100)</f>
        <v>1.3234552056538059E-12</v>
      </c>
      <c r="M59" s="3862">
        <f>IF(K59="NA","NA",K59/Table8s2!$G$35*100)</f>
        <v>1.8499449086711786E-17</v>
      </c>
      <c r="N59" s="3863">
        <f>IF(K59="NA","NA",K59/Table8s2!$G$34*100)</f>
        <v>1.6189484545932422E-17</v>
      </c>
      <c r="O59" s="3848">
        <v>32.545925125992994</v>
      </c>
      <c r="P59" s="3847">
        <f>Summary2!E60</f>
        <v>32.545925125993072</v>
      </c>
      <c r="Q59" s="3861">
        <f t="shared" ref="Q59" si="70">IF(P59="NO",IF(O59="NO","NA",-O59),IF(O59="NO",P59,P59-O59))</f>
        <v>7.815970093361102E-14</v>
      </c>
      <c r="R59" s="3966">
        <f t="shared" ref="R59" si="71">IF(Q59="NA","NA",Q59/O59*100)</f>
        <v>2.4015203326080388E-13</v>
      </c>
      <c r="S59" s="3967">
        <f>IF(Q59="NA","NA",Q59/Table8s2!$G$35*100)</f>
        <v>1.4156100170701193E-17</v>
      </c>
      <c r="T59" s="3968">
        <f>IF(Q59="NA","NA",Q59/Table8s2!$G$34*100)</f>
        <v>1.2388475130800461E-17</v>
      </c>
    </row>
    <row r="60" spans="2:21" ht="18" customHeight="1" x14ac:dyDescent="0.2">
      <c r="B60" s="1410" t="s">
        <v>111</v>
      </c>
      <c r="C60" s="3847">
        <v>9474.0236044800004</v>
      </c>
      <c r="D60" s="3847">
        <f>Summary2!C61</f>
        <v>9474.0236044799985</v>
      </c>
      <c r="E60" s="3861">
        <f t="shared" ref="E60:E61" si="72">IF(D60="NO",IF(C60="NO","NA",-C60),IF(C60="NO",D60,D60-C60))</f>
        <v>-1.8189894035458565E-12</v>
      </c>
      <c r="F60" s="3861">
        <f t="shared" ref="F60:F61" si="73">IF(E60="NA","NA",E60/C60*100)</f>
        <v>-1.919975587442813E-14</v>
      </c>
      <c r="G60" s="3862">
        <f>IF(E60="NA","NA",E60/Table8s2!$G$35*100)</f>
        <v>-3.2945105851813683E-16</v>
      </c>
      <c r="H60" s="3863">
        <f>IF(E60="NA","NA",E60/Table8s2!$G$34*100)</f>
        <v>-2.8831360304408347E-16</v>
      </c>
      <c r="I60" s="3847">
        <v>0.4657163102438</v>
      </c>
      <c r="J60" s="3847">
        <f>Summary2!D61</f>
        <v>0.46571631024390248</v>
      </c>
      <c r="K60" s="3861">
        <f t="shared" si="68"/>
        <v>1.0247358517290195E-13</v>
      </c>
      <c r="L60" s="3861">
        <f t="shared" si="69"/>
        <v>2.2003434906382723E-11</v>
      </c>
      <c r="M60" s="3862">
        <f>IF(K60="NA","NA",K60/Table8s2!$G$35*100)</f>
        <v>1.8559773377211935E-17</v>
      </c>
      <c r="N60" s="3863">
        <f>IF(K60="NA","NA",K60/Table8s2!$G$34*100)</f>
        <v>1.624227634336481E-17</v>
      </c>
      <c r="O60" s="3848">
        <v>12.935925125993</v>
      </c>
      <c r="P60" s="3847">
        <f>Summary2!E61</f>
        <v>12.935925125993069</v>
      </c>
      <c r="Q60" s="3861">
        <f t="shared" ref="Q60:Q61" si="74">IF(P60="NO",IF(O60="NO","NA",-O60),IF(O60="NO",P60,P60-O60))</f>
        <v>6.9277916736609768E-14</v>
      </c>
      <c r="R60" s="3966">
        <f t="shared" ref="R60:R61" si="75">IF(Q60="NA","NA",Q60/O60*100)</f>
        <v>5.3554667379301017E-13</v>
      </c>
      <c r="S60" s="3967">
        <f>IF(Q60="NA","NA",Q60/Table8s2!$G$35*100)</f>
        <v>1.2547452424030601E-17</v>
      </c>
      <c r="T60" s="3968">
        <f>IF(Q60="NA","NA",Q60/Table8s2!$G$34*100)</f>
        <v>1.0980693865936773E-17</v>
      </c>
    </row>
    <row r="61" spans="2:21" ht="18" customHeight="1" x14ac:dyDescent="0.2">
      <c r="B61" s="1411" t="s">
        <v>1503</v>
      </c>
      <c r="C61" s="3847">
        <v>2714.0239999999999</v>
      </c>
      <c r="D61" s="3847">
        <f>Summary2!C62</f>
        <v>2714.0239999999994</v>
      </c>
      <c r="E61" s="3861">
        <f t="shared" si="72"/>
        <v>-4.5474735088646412E-13</v>
      </c>
      <c r="F61" s="3861">
        <f t="shared" si="73"/>
        <v>-1.6755465349107603E-14</v>
      </c>
      <c r="G61" s="3862">
        <f>IF(E61="NA","NA",E61/Table8s2!$G$35*100)</f>
        <v>-8.2362764629534209E-17</v>
      </c>
      <c r="H61" s="3863">
        <f>IF(E61="NA","NA",E61/Table8s2!$G$34*100)</f>
        <v>-7.2078400761020867E-17</v>
      </c>
      <c r="I61" s="3847">
        <v>7.2520000000000007</v>
      </c>
      <c r="J61" s="3847">
        <f>Summary2!D62</f>
        <v>7.2520000000000007</v>
      </c>
      <c r="K61" s="3861">
        <f t="shared" si="68"/>
        <v>0</v>
      </c>
      <c r="L61" s="3861">
        <f t="shared" si="69"/>
        <v>0</v>
      </c>
      <c r="M61" s="3862">
        <f>IF(K61="NA","NA",K61/Table8s2!$G$35*100)</f>
        <v>0</v>
      </c>
      <c r="N61" s="3863">
        <f>IF(K61="NA","NA",K61/Table8s2!$G$34*100)</f>
        <v>0</v>
      </c>
      <c r="O61" s="3848">
        <v>19.61</v>
      </c>
      <c r="P61" s="3847">
        <f>Summary2!E62</f>
        <v>19.61</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14734.322020375808</v>
      </c>
      <c r="D63" s="3847">
        <f>Summary2!C64</f>
        <v>14734.32202037581</v>
      </c>
      <c r="E63" s="3861">
        <f t="shared" ref="E63:E65" si="76">IF(D63="NO",IF(C63="NO","NA",-C63),IF(C63="NO",D63,D63-C63))</f>
        <v>1.8189894035458565E-12</v>
      </c>
      <c r="F63" s="3861">
        <f t="shared" ref="F63:F65" si="77">IF(E63="NA","NA",E63/C63*100)</f>
        <v>1.2345253490662219E-14</v>
      </c>
      <c r="G63" s="3862">
        <f>IF(E63="NA","NA",E63/Table8s2!$G$35*100)</f>
        <v>3.2945105851813683E-16</v>
      </c>
      <c r="H63" s="3863">
        <f>IF(E63="NA","NA",E63/Table8s2!$G$34*100)</f>
        <v>2.8831360304408347E-16</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-273555.88923510816</v>
      </c>
      <c r="D65" s="3849">
        <f>Summary2!C66</f>
        <v>-273959.04669071984</v>
      </c>
      <c r="E65" s="3977">
        <f t="shared" si="76"/>
        <v>-403.15745561168296</v>
      </c>
      <c r="F65" s="3984">
        <f t="shared" si="77"/>
        <v>0.14737663178773258</v>
      </c>
      <c r="G65" s="3985">
        <f>IF(E65="NA","NA",E65/Table8s2!$G$35*100)</f>
        <v>-7.3018924817172162E-2</v>
      </c>
      <c r="H65" s="3986">
        <f>IF(E65="NA","NA",E65/Table8s2!$G$34*100)</f>
        <v>-6.3901295078962334E-2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6141.5462216641936</v>
      </c>
      <c r="D10" s="4019">
        <f>IF(SUM(D11:D30)=0,"NO",SUM(D11:D30))</f>
        <v>6141.5462216641918</v>
      </c>
      <c r="E10" s="4019">
        <f>IF(D10="NO",IF(C10="NO","NA",-C10),IF(C10="NO",D10,D10-C10))</f>
        <v>-1.8189894035458565E-12</v>
      </c>
      <c r="F10" s="4019">
        <f>IF(E10="NA","NA",E10/C10*100)</f>
        <v>-2.961777601102153E-14</v>
      </c>
      <c r="G10" s="4020">
        <f>IF(E10="NA","NA",E10/$G$35*100)</f>
        <v>-3.2945105851813683E-16</v>
      </c>
      <c r="H10" s="4021">
        <f>IF(E10="NA","NA",E10/$G$34*100)</f>
        <v>-2.8831360304408347E-16</v>
      </c>
      <c r="I10" s="4022">
        <f>IF(SUM(I11:I30)=0,"NO",SUM(I11:I30))</f>
        <v>322.43408328130437</v>
      </c>
      <c r="J10" s="4022">
        <f>IF(SUM(J11:J30)=0,"NO",SUM(J11:J30))</f>
        <v>322.43408328130437</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151.50594481761419</v>
      </c>
      <c r="V10" s="4019">
        <f>IF(SUM(V11:V30)=0,"NO",SUM(V11:V30))</f>
        <v>151.50594481761419</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322.43408328130437</v>
      </c>
      <c r="J13" s="3839">
        <f>'Table2(II)'!AH41</f>
        <v>322.43408328130437</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5735.1178756254221</v>
      </c>
      <c r="D21" s="3847">
        <f>'Table2(I)'!F46</f>
        <v>5735.1178756254203</v>
      </c>
      <c r="E21" s="3847">
        <f>IF(D21="NO",IF(C21="NO","NA",-C21),IF(C21="NO",D21,D21-C21))</f>
        <v>-1.8189894035458565E-12</v>
      </c>
      <c r="F21" s="4016">
        <f>IF(E21="NA","NA",E21/C21*100)</f>
        <v>-3.1716687311287277E-14</v>
      </c>
      <c r="G21" s="3871">
        <f>IF(E21="NA","NA",E21/$G$35*100)</f>
        <v>-3.2945105851813683E-16</v>
      </c>
      <c r="H21" s="3872">
        <f>IF(E21="NA","NA",E21/$G$34*100)</f>
        <v>-2.8831360304408347E-16</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81.300990333414148</v>
      </c>
      <c r="D22" s="3847">
        <f>'Table2(I)'!F47</f>
        <v>81.300990333414148</v>
      </c>
      <c r="E22" s="3847">
        <f t="shared" ref="E22:E25" si="0">IF(D22="NO",IF(C22="NO","NA",-C22),IF(C22="NO",D22,D22-C22))</f>
        <v>0</v>
      </c>
      <c r="F22" s="4016">
        <f t="shared" ref="F22:F25" si="1">IF(E22="NA","NA",E22/C22*100)</f>
        <v>0</v>
      </c>
      <c r="G22" s="3871">
        <f t="shared" ref="G22:G25" si="2">IF(E22="NA","NA",E22/$G$35*100)</f>
        <v>0</v>
      </c>
      <c r="H22" s="3872">
        <f t="shared" ref="H22:H25" si="3">IF(E22="NA","NA",E22/$G$34*100)</f>
        <v>0</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40.057429483412257</v>
      </c>
      <c r="D23" s="3847">
        <f>'Table2(I)'!F48</f>
        <v>40.057429483412257</v>
      </c>
      <c r="E23" s="3847">
        <f t="shared" si="0"/>
        <v>0</v>
      </c>
      <c r="F23" s="4016">
        <f t="shared" si="1"/>
        <v>0</v>
      </c>
      <c r="G23" s="3871">
        <f t="shared" si="2"/>
        <v>0</v>
      </c>
      <c r="H23" s="3872">
        <f t="shared" si="3"/>
        <v>0</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177.06744096099172</v>
      </c>
      <c r="D24" s="3847">
        <f>'Table2(I)'!F49</f>
        <v>177.06744096099177</v>
      </c>
      <c r="E24" s="3847">
        <f t="shared" si="0"/>
        <v>5.6843418860808015E-14</v>
      </c>
      <c r="F24" s="4016">
        <f t="shared" si="1"/>
        <v>3.2102694065212548E-14</v>
      </c>
      <c r="G24" s="3871">
        <f t="shared" si="2"/>
        <v>1.0295345578691776E-17</v>
      </c>
      <c r="H24" s="3872">
        <f t="shared" si="3"/>
        <v>9.0098000951276084E-18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108.0024852609527</v>
      </c>
      <c r="D25" s="3847">
        <f>'Table2(I)'!F50</f>
        <v>108.00248526095267</v>
      </c>
      <c r="E25" s="3847">
        <f t="shared" si="0"/>
        <v>-2.8421709430404007E-14</v>
      </c>
      <c r="F25" s="4016">
        <f t="shared" si="1"/>
        <v>-2.6315792050277582E-14</v>
      </c>
      <c r="G25" s="3871">
        <f t="shared" si="2"/>
        <v>-5.147672789345888E-18</v>
      </c>
      <c r="H25" s="3872">
        <f t="shared" si="3"/>
        <v>-4.5049000475638042E-18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133.871024760181</v>
      </c>
      <c r="V27" s="3847">
        <f>IFERROR('Table2(I)'!I53*23500,'Table2(I)'!I53)</f>
        <v>133.87102476018109</v>
      </c>
      <c r="W27" s="3847">
        <f>IF(V27="NO",IF(U27="NO","NA",-U27),IF(U27="NO",V27,V27-U27))</f>
        <v>8.5265128291212022E-14</v>
      </c>
      <c r="X27" s="4016">
        <f>IF(W27="NA","NA",W27/U27*100)</f>
        <v>6.3691996415174628E-14</v>
      </c>
      <c r="Y27" s="3871">
        <f>IF(W27="NA","NA",W27/$G$35*100)</f>
        <v>1.5443018368037666E-17</v>
      </c>
      <c r="Z27" s="3872">
        <f>IF(W27="NA","NA",W27/$G$34*100)</f>
        <v>1.3514700142691414E-17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17.634920057433188</v>
      </c>
      <c r="V28" s="3847">
        <f>IFERROR('Table2(I)'!I54*23500,'Table2(I)'!I54)</f>
        <v>17.634920057433103</v>
      </c>
      <c r="W28" s="3847">
        <f>IF(V28="NO",IF(U28="NO","NA",-U28),IF(U28="NO",V28,V28-U28))</f>
        <v>-8.5265128291212022E-14</v>
      </c>
      <c r="X28" s="4016">
        <f>IF(W28="NA","NA",W28/U28*100)</f>
        <v>-4.8350164340706735E-13</v>
      </c>
      <c r="Y28" s="3871">
        <f>IF(W28="NA","NA",W28/$G$35*100)</f>
        <v>-1.5443018368037666E-17</v>
      </c>
      <c r="Z28" s="3872">
        <f>IF(W28="NA","NA",W28/$G$34*100)</f>
        <v>-1.3514700142691414E-17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636678.37423698837</v>
      </c>
      <c r="F34" s="4523"/>
      <c r="G34" s="4522">
        <f>SUM(Table8s1!D10,Table8s1!J10,Table8s1!P10,D10,J10,P10,V10,AB10)</f>
        <v>630906.54909811204</v>
      </c>
      <c r="H34" s="4523"/>
      <c r="I34" s="3839">
        <f>G34-E34</f>
        <v>-5771.825138876331</v>
      </c>
      <c r="J34" s="4045">
        <f>IF(I34="NA","NA",I34/E34*100)</f>
        <v>-0.90655272307520007</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551898.0268406492</v>
      </c>
      <c r="F35" s="4525"/>
      <c r="G35" s="4526">
        <f>G34-SUM(Table8s1!D41,Table8s1!J41,Table8s1!P41)</f>
        <v>552127.3513970871</v>
      </c>
      <c r="H35" s="4527"/>
      <c r="I35" s="3855">
        <f>G35-E35</f>
        <v>229.32455643790308</v>
      </c>
      <c r="J35" s="4046">
        <f>IF(I35="NA","NA",I35/E35*100)</f>
        <v>4.1551979765297564E-2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1253385.4992775184</v>
      </c>
      <c r="D10" s="1913" t="s">
        <v>1814</v>
      </c>
      <c r="E10" s="628"/>
      <c r="F10" s="628"/>
      <c r="G10" s="628"/>
      <c r="H10" s="1847">
        <f>IF(SUM(H11:H14)=0,"NO",SUM(H11:H14))</f>
        <v>84939.139138535204</v>
      </c>
      <c r="I10" s="1847">
        <f>IF(SUM(I11:I15)=0,"NO",SUM(I11:I15))</f>
        <v>18.131143587407109</v>
      </c>
      <c r="J10" s="2192">
        <f>IF(SUM(J11:J15)=0,"NO",SUM(J11:J15))</f>
        <v>6.5901892421657928</v>
      </c>
    </row>
    <row r="11" spans="2:11" ht="18" customHeight="1" x14ac:dyDescent="0.2">
      <c r="B11" s="282" t="s">
        <v>132</v>
      </c>
      <c r="C11" s="1913">
        <f>IF(SUM(C17:C18,C21:C24,C82,C89:C92,C100)=0,"NO",SUM(C17:C18,C21:C24,C82,C89:C92,C100))</f>
        <v>1229501.66512933</v>
      </c>
      <c r="D11" s="1909" t="s">
        <v>1814</v>
      </c>
      <c r="E11" s="1913">
        <f>IFERROR(H11*1000/$C11,"NA")</f>
        <v>68.135887811231711</v>
      </c>
      <c r="F11" s="1913">
        <f t="shared" ref="F11:G15" si="0">IFERROR(I11*1000000/$C11,"NA")</f>
        <v>14.158530296563576</v>
      </c>
      <c r="G11" s="1913">
        <f t="shared" si="0"/>
        <v>5.3245647903802391</v>
      </c>
      <c r="H11" s="1913">
        <f>IF(SUM(H17:H18,H21:H24,H82,H89:H92,H100)=0,"NO",SUM(H17:H18,H21:H24,H82,H89:H92,H100))</f>
        <v>83773.187518974606</v>
      </c>
      <c r="I11" s="1913">
        <f>IF(SUM(I17:I18,I21:I24,I82,I89:I92,I100)=0,"NO",SUM(I17:I18,I21:I24,I82,I89:I92,I100))</f>
        <v>17.407936575408986</v>
      </c>
      <c r="J11" s="3085">
        <f>IF(SUM(J17:J18,J21:J24,J82,J89:J92,J100)=0,"NO",SUM(J17:J18,J21:J24,J82,J89:J92,J100))</f>
        <v>6.5465612758615066</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14179.593645544255</v>
      </c>
      <c r="D13" s="1909" t="s">
        <v>1814</v>
      </c>
      <c r="E13" s="1913">
        <f t="shared" si="1"/>
        <v>51.411918339265</v>
      </c>
      <c r="F13" s="1913">
        <f t="shared" si="0"/>
        <v>24.281641510072195</v>
      </c>
      <c r="G13" s="1913">
        <f t="shared" si="0"/>
        <v>0.24451502018844887</v>
      </c>
      <c r="H13" s="1913">
        <f>IF(SUM(H26,H84,H94,H102)=0,"NO",SUM(H26,H84,H94,H102))</f>
        <v>729.00011058868211</v>
      </c>
      <c r="I13" s="1913">
        <f>IF(SUM(I26,I84,I94,I102)=0,"NO",SUM(I26,I84,I94,I102))</f>
        <v>0.34430380965960328</v>
      </c>
      <c r="J13" s="3085">
        <f>IF(SUM(J26,J84,J94,J102)=0,"NO",SUM(J26,J84,J94,J102))</f>
        <v>3.4671236265042551E-3</v>
      </c>
    </row>
    <row r="14" spans="2:11" ht="18" customHeight="1" x14ac:dyDescent="0.2">
      <c r="B14" s="282" t="s">
        <v>175</v>
      </c>
      <c r="C14" s="1913">
        <f>IF(SUM(C28,C86,C96,C103)=0,"NO",SUM(C28,C86,C96,C103))</f>
        <v>4858.438048730206</v>
      </c>
      <c r="D14" s="1909" t="s">
        <v>1814</v>
      </c>
      <c r="E14" s="1913">
        <f t="shared" si="1"/>
        <v>89.93662255014759</v>
      </c>
      <c r="F14" s="1913">
        <f t="shared" si="0"/>
        <v>31.878558179923527</v>
      </c>
      <c r="G14" s="1913">
        <f t="shared" si="0"/>
        <v>0.99620494312261021</v>
      </c>
      <c r="H14" s="1913">
        <f>IF(SUM(H28,H86,H96,H103)=0,"NO",SUM(H28,H86,H96,H103))</f>
        <v>436.95150897192406</v>
      </c>
      <c r="I14" s="1913">
        <f>IF(SUM(I28,I86,I96,I103)=0,"NO",SUM(I28,I86,I96,I103))</f>
        <v>0.15487999999999999</v>
      </c>
      <c r="J14" s="3085">
        <f>IF(SUM(J28,J86,J96,J103)=0,"NO",SUM(J28,J86,J96,J103))</f>
        <v>4.8399999999999997E-3</v>
      </c>
    </row>
    <row r="15" spans="2:11" ht="18" customHeight="1" x14ac:dyDescent="0.2">
      <c r="B15" s="282" t="s">
        <v>137</v>
      </c>
      <c r="C15" s="1913">
        <f>IF(SUM(C19,C27,C85,C95,C104)=0,"NO",SUM(C19,C27,C85,C95,C104))</f>
        <v>4845.8024539139342</v>
      </c>
      <c r="D15" s="1913" t="s">
        <v>1814</v>
      </c>
      <c r="E15" s="1913">
        <f t="shared" si="1"/>
        <v>67.259999999999934</v>
      </c>
      <c r="F15" s="1913">
        <f t="shared" si="0"/>
        <v>46.23036214726023</v>
      </c>
      <c r="G15" s="1913">
        <f t="shared" si="0"/>
        <v>7.2889563727992854</v>
      </c>
      <c r="H15" s="1913">
        <f>IF(SUM(H19,H27,H85,H95,H104)=0,"NO",SUM(H19,H27,H85,H95,H104))</f>
        <v>325.92867305025089</v>
      </c>
      <c r="I15" s="1913">
        <f>IF(SUM(I19,I27,I85,I95,I104)=0,"NO",SUM(I19,I27,I85,I95,I104))</f>
        <v>0.22402320233852349</v>
      </c>
      <c r="J15" s="3085">
        <f>IF(SUM(J19,J27,J85,J95,J104)=0,"NO",SUM(J19,J27,J85,J95,J104))</f>
        <v>3.5320842677782384E-2</v>
      </c>
    </row>
    <row r="16" spans="2:11" ht="18" customHeight="1" x14ac:dyDescent="0.2">
      <c r="B16" s="1241" t="s">
        <v>176</v>
      </c>
      <c r="C16" s="1913">
        <f>IF(SUM(C17:C19)=0,"NO",SUM(C17:C19))</f>
        <v>95688.109404380419</v>
      </c>
      <c r="D16" s="1909" t="s">
        <v>1814</v>
      </c>
      <c r="E16" s="628"/>
      <c r="F16" s="628"/>
      <c r="G16" s="628"/>
      <c r="H16" s="1913">
        <f>IF(SUM(H17:H18)=0,"NO",SUM(H17:H18))</f>
        <v>6653.2227368495523</v>
      </c>
      <c r="I16" s="1913">
        <f>IF(SUM(I17:I19)=0,"NO",SUM(I17:I19))</f>
        <v>3.3143373003848113E-2</v>
      </c>
      <c r="J16" s="3085">
        <f>IF(SUM(J17:J19)=0,"NO",SUM(J17:J19))</f>
        <v>5.0781130509167008E-2</v>
      </c>
    </row>
    <row r="17" spans="2:10" ht="18" customHeight="1" x14ac:dyDescent="0.2">
      <c r="B17" s="282" t="s">
        <v>177</v>
      </c>
      <c r="C17" s="691">
        <v>2565.2606520477098</v>
      </c>
      <c r="D17" s="1909" t="s">
        <v>1814</v>
      </c>
      <c r="E17" s="1913">
        <f t="shared" ref="E17:E19" si="2">IFERROR(H17*1000/$C17,"NA")</f>
        <v>66.999999999999986</v>
      </c>
      <c r="F17" s="1913">
        <f t="shared" ref="F17:G19" si="3">IFERROR(I17*1000000/$C17,"NA")</f>
        <v>0.5</v>
      </c>
      <c r="G17" s="1913">
        <f t="shared" si="3"/>
        <v>2</v>
      </c>
      <c r="H17" s="691">
        <v>171.87246368719653</v>
      </c>
      <c r="I17" s="691">
        <v>1.2826303260238549E-3</v>
      </c>
      <c r="J17" s="2911">
        <v>5.1305213040954197E-3</v>
      </c>
    </row>
    <row r="18" spans="2:10" ht="18" customHeight="1" x14ac:dyDescent="0.2">
      <c r="B18" s="282" t="s">
        <v>178</v>
      </c>
      <c r="C18" s="691">
        <v>93122.848752332706</v>
      </c>
      <c r="D18" s="1909" t="s">
        <v>1814</v>
      </c>
      <c r="E18" s="1913">
        <f t="shared" si="2"/>
        <v>69.599999999999994</v>
      </c>
      <c r="F18" s="1913">
        <f t="shared" si="3"/>
        <v>0.34213668401146452</v>
      </c>
      <c r="G18" s="1913">
        <f t="shared" si="3"/>
        <v>0.49021920846174771</v>
      </c>
      <c r="H18" s="691">
        <v>6481.3502731623557</v>
      </c>
      <c r="I18" s="691">
        <v>3.1860742677824259E-2</v>
      </c>
      <c r="J18" s="2911">
        <v>4.5650609205071586E-2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1081429.2598478736</v>
      </c>
      <c r="D20" s="1909" t="s">
        <v>1814</v>
      </c>
      <c r="E20" s="628"/>
      <c r="F20" s="628"/>
      <c r="G20" s="628"/>
      <c r="H20" s="1913">
        <f>IF(SUM(H21:H24,H26,H28)=0,"NO",SUM(H21:H24,H26,H28))</f>
        <v>73091.804287065781</v>
      </c>
      <c r="I20" s="1913">
        <f>IF(SUM(I21:I24,I26:I28)=0,"NO",SUM(I21:I24,I26:I28))</f>
        <v>13.552882039561226</v>
      </c>
      <c r="J20" s="3085">
        <f>IF(SUM(J21:J24,J26:J28)=0,"NO",SUM(J21:J24,J26:J28))</f>
        <v>5.4644996375773243</v>
      </c>
    </row>
    <row r="21" spans="2:10" ht="18" customHeight="1" x14ac:dyDescent="0.2">
      <c r="B21" s="282" t="s">
        <v>167</v>
      </c>
      <c r="C21" s="1913">
        <f>IF(SUM(C31,C41,C51,C61,C72)=0,"NO",SUM(C31,C41,C51,C61,C72))</f>
        <v>625557.59481613594</v>
      </c>
      <c r="D21" s="1909" t="s">
        <v>1814</v>
      </c>
      <c r="E21" s="1913">
        <f t="shared" ref="E21:E23" si="4">IFERROR(H21*1000/$C21,"NA")</f>
        <v>67.40000000000002</v>
      </c>
      <c r="F21" s="1913">
        <f t="shared" ref="F21:G23" si="5">IFERROR(I21*1000000/$C21,"NA")</f>
        <v>13.662151528197496</v>
      </c>
      <c r="G21" s="1913">
        <f t="shared" si="5"/>
        <v>7.4110027381130692</v>
      </c>
      <c r="H21" s="1913">
        <f>IF(SUM(H31,H41,H51,H61,H72)=0,"NO",SUM(H31,H41,H51,H61,H72))</f>
        <v>42162.581890607573</v>
      </c>
      <c r="I21" s="1913">
        <f>IF(SUM(I31,I41,I51,I61,I72)=0,"NO",SUM(I31,I41,I51,I61,I72))</f>
        <v>8.5464626499928222</v>
      </c>
      <c r="J21" s="3085">
        <f>IF(SUM(J31,J41,J51,J61,J72)=0,"NO",SUM(J31,J41,J51,J61,J72))</f>
        <v>4.6360090480298091</v>
      </c>
    </row>
    <row r="22" spans="2:10" ht="18" customHeight="1" x14ac:dyDescent="0.2">
      <c r="B22" s="282" t="s">
        <v>168</v>
      </c>
      <c r="C22" s="1913">
        <f t="shared" ref="C22:C29" si="6">IF(SUM(C32,C42,C52,C62,C73)=0,"NO",SUM(C32,C42,C52,C62,C73))</f>
        <v>390843.75105586962</v>
      </c>
      <c r="D22" s="1909" t="s">
        <v>1814</v>
      </c>
      <c r="E22" s="1913">
        <f t="shared" si="4"/>
        <v>69.899999999999963</v>
      </c>
      <c r="F22" s="1913">
        <f t="shared" si="5"/>
        <v>7.6309990148926188</v>
      </c>
      <c r="G22" s="1913">
        <f t="shared" si="5"/>
        <v>1.6831349873951691</v>
      </c>
      <c r="H22" s="1913">
        <f t="shared" ref="H22:J29" si="7">IF(SUM(H32,H42,H52,H62,H73)=0,"NO",SUM(H32,H42,H52,H62,H73))</f>
        <v>27319.978198805271</v>
      </c>
      <c r="I22" s="1913">
        <f t="shared" si="7"/>
        <v>2.9825282792842769</v>
      </c>
      <c r="J22" s="3085">
        <f t="shared" si="7"/>
        <v>0.65784279200690166</v>
      </c>
    </row>
    <row r="23" spans="2:10" ht="18" customHeight="1" x14ac:dyDescent="0.2">
      <c r="B23" s="282" t="s">
        <v>169</v>
      </c>
      <c r="C23" s="1913">
        <f t="shared" si="6"/>
        <v>58090</v>
      </c>
      <c r="D23" s="1909" t="s">
        <v>1814</v>
      </c>
      <c r="E23" s="1913">
        <f t="shared" si="4"/>
        <v>60.20000000000001</v>
      </c>
      <c r="F23" s="1913">
        <f t="shared" si="5"/>
        <v>27.634140387758553</v>
      </c>
      <c r="G23" s="1913">
        <f t="shared" si="5"/>
        <v>2.2935131412004877</v>
      </c>
      <c r="H23" s="1913">
        <f t="shared" si="7"/>
        <v>3497.0180000000005</v>
      </c>
      <c r="I23" s="1913">
        <f t="shared" si="7"/>
        <v>1.6052672151248943</v>
      </c>
      <c r="J23" s="3085">
        <f t="shared" si="7"/>
        <v>0.13323017837233631</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2176.8491799442559</v>
      </c>
      <c r="D26" s="1909" t="s">
        <v>1814</v>
      </c>
      <c r="E26" s="1913">
        <f t="shared" si="8"/>
        <v>51.411918339264986</v>
      </c>
      <c r="F26" s="1913">
        <f t="shared" si="9"/>
        <v>104.10908145988274</v>
      </c>
      <c r="G26" s="1913">
        <f t="shared" si="9"/>
        <v>0.99999999999999978</v>
      </c>
      <c r="H26" s="1913">
        <f t="shared" si="7"/>
        <v>111.91599227619004</v>
      </c>
      <c r="I26" s="1913">
        <f t="shared" si="7"/>
        <v>0.22662976860069547</v>
      </c>
      <c r="J26" s="3085">
        <f t="shared" si="7"/>
        <v>2.1768491799442555E-3</v>
      </c>
    </row>
    <row r="27" spans="2:10" ht="18" customHeight="1" x14ac:dyDescent="0.2">
      <c r="B27" s="282" t="s">
        <v>137</v>
      </c>
      <c r="C27" s="1913">
        <f t="shared" si="6"/>
        <v>4756.832798969529</v>
      </c>
      <c r="D27" s="1909" t="s">
        <v>1814</v>
      </c>
      <c r="E27" s="1913">
        <f t="shared" si="8"/>
        <v>67.259999999999934</v>
      </c>
      <c r="F27" s="1913">
        <f t="shared" si="9"/>
        <v>40.361756377085513</v>
      </c>
      <c r="G27" s="1913">
        <f t="shared" si="9"/>
        <v>7.4084525308450218</v>
      </c>
      <c r="H27" s="1913">
        <f t="shared" si="7"/>
        <v>319.94457405869025</v>
      </c>
      <c r="I27" s="1913">
        <f t="shared" si="7"/>
        <v>0.19199412655853793</v>
      </c>
      <c r="J27" s="3085">
        <f t="shared" si="7"/>
        <v>3.5240769988332414E-2</v>
      </c>
    </row>
    <row r="28" spans="2:10" ht="18" customHeight="1" x14ac:dyDescent="0.2">
      <c r="B28" s="282" t="s">
        <v>181</v>
      </c>
      <c r="C28" s="1913">
        <f>C29</f>
        <v>4.2319969543621401</v>
      </c>
      <c r="D28" s="1909" t="s">
        <v>1814</v>
      </c>
      <c r="E28" s="628"/>
      <c r="F28" s="628"/>
      <c r="G28" s="628"/>
      <c r="H28" s="1913">
        <f>H29</f>
        <v>0.31020537675474463</v>
      </c>
      <c r="I28" s="1913" t="str">
        <f>I29</f>
        <v>NE</v>
      </c>
      <c r="J28" s="3085" t="str">
        <f>J29</f>
        <v>NE</v>
      </c>
    </row>
    <row r="29" spans="2:10" ht="18" customHeight="1" x14ac:dyDescent="0.2">
      <c r="B29" s="3105" t="s">
        <v>252</v>
      </c>
      <c r="C29" s="1913">
        <f t="shared" si="6"/>
        <v>4.2319969543621401</v>
      </c>
      <c r="D29" s="1909" t="s">
        <v>1814</v>
      </c>
      <c r="E29" s="3103">
        <f t="shared" ref="E29" si="10">IFERROR(H29*1000/$C29,"NA")</f>
        <v>73.29999999999994</v>
      </c>
      <c r="F29" s="3103" t="str">
        <f>IFERROR(I29*1000000/$C29,"NA")</f>
        <v>NA</v>
      </c>
      <c r="G29" s="3103" t="str">
        <f>IFERROR(J29*1000000/$C29,"NA")</f>
        <v>NA</v>
      </c>
      <c r="H29" s="1913">
        <f t="shared" si="7"/>
        <v>0.31020537675474463</v>
      </c>
      <c r="I29" s="1913" t="str">
        <f>IF(SUM(I39,I49,I59,I69,I80)=0,"NE",SUM(I39,I49,I59,I69,I80))</f>
        <v>NE</v>
      </c>
      <c r="J29" s="3085" t="str">
        <f>IF(SUM(J39,J49,J59,J69,J80)=0,"NE",SUM(J39,J49,J59,J69,J80))</f>
        <v>NE</v>
      </c>
    </row>
    <row r="30" spans="2:10" ht="18" customHeight="1" x14ac:dyDescent="0.2">
      <c r="B30" s="1242" t="s">
        <v>182</v>
      </c>
      <c r="C30" s="1913">
        <f>IF(SUM(C31:C34,C36:C38)=0,"NO",SUM(C31:C34,C36:C38))</f>
        <v>626360.62727107608</v>
      </c>
      <c r="D30" s="1909" t="s">
        <v>1814</v>
      </c>
      <c r="E30" s="628"/>
      <c r="F30" s="628"/>
      <c r="G30" s="628"/>
      <c r="H30" s="1913">
        <f>IF(SUM(H31:H34,H36,H38)=0,"NO",SUM(H31:H34,H36,H38))</f>
        <v>41772.255604845857</v>
      </c>
      <c r="I30" s="1913">
        <f>IF(SUM(I31:I34,I36:I38)=0,"NO",SUM(I31:I34,I36:I38))</f>
        <v>8.6427322318023077</v>
      </c>
      <c r="J30" s="3085">
        <f>IF(SUM(J31:J34,J36:J38)=0,"NO",SUM(J31:J34,J36:J38))</f>
        <v>4.4368872973582212</v>
      </c>
    </row>
    <row r="31" spans="2:10" ht="18" customHeight="1" x14ac:dyDescent="0.2">
      <c r="B31" s="282" t="s">
        <v>167</v>
      </c>
      <c r="C31" s="691">
        <v>532659.878544281</v>
      </c>
      <c r="D31" s="1909" t="s">
        <v>1814</v>
      </c>
      <c r="E31" s="1913">
        <f t="shared" ref="E31:E33" si="11">IFERROR(H31*1000/$C31,"NA")</f>
        <v>67.400000000000034</v>
      </c>
      <c r="F31" s="1913">
        <f t="shared" ref="F31:G33" si="12">IFERROR(I31*1000000/$C31,"NA")</f>
        <v>13.224570848329774</v>
      </c>
      <c r="G31" s="1913">
        <f t="shared" si="12"/>
        <v>8.0031954106391776</v>
      </c>
      <c r="H31" s="691">
        <v>35901.275813884553</v>
      </c>
      <c r="I31" s="691">
        <v>7.0441983018715764</v>
      </c>
      <c r="J31" s="2911">
        <v>4.2629810953972118</v>
      </c>
    </row>
    <row r="32" spans="2:10" ht="18" customHeight="1" x14ac:dyDescent="0.2">
      <c r="B32" s="282" t="s">
        <v>168</v>
      </c>
      <c r="C32" s="691">
        <v>48774.992635952498</v>
      </c>
      <c r="D32" s="1909" t="s">
        <v>1814</v>
      </c>
      <c r="E32" s="1913">
        <f t="shared" si="11"/>
        <v>69.899999999999991</v>
      </c>
      <c r="F32" s="1913">
        <f t="shared" si="12"/>
        <v>5.9219809934612337</v>
      </c>
      <c r="G32" s="1913">
        <f t="shared" si="12"/>
        <v>1.0877296210763592</v>
      </c>
      <c r="H32" s="691">
        <v>3409.3719852530794</v>
      </c>
      <c r="I32" s="691">
        <v>0.28884457934632235</v>
      </c>
      <c r="J32" s="2911">
        <v>5.3054004257906823E-2</v>
      </c>
    </row>
    <row r="33" spans="2:10" ht="18" customHeight="1" x14ac:dyDescent="0.2">
      <c r="B33" s="282" t="s">
        <v>169</v>
      </c>
      <c r="C33" s="691">
        <v>40877.101200861798</v>
      </c>
      <c r="D33" s="1909" t="s">
        <v>1814</v>
      </c>
      <c r="E33" s="1913">
        <f t="shared" si="11"/>
        <v>60.2</v>
      </c>
      <c r="F33" s="1913">
        <f t="shared" si="12"/>
        <v>28.234348847834976</v>
      </c>
      <c r="G33" s="1913">
        <f t="shared" si="12"/>
        <v>2.3058930718793338</v>
      </c>
      <c r="H33" s="691">
        <v>2460.8014922918801</v>
      </c>
      <c r="I33" s="691">
        <v>1.154138335193386</v>
      </c>
      <c r="J33" s="2911">
        <v>9.4258224457577616E-2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15.683394870184602</v>
      </c>
      <c r="D36" s="1909" t="s">
        <v>1814</v>
      </c>
      <c r="E36" s="1913">
        <f t="shared" si="13"/>
        <v>51.411918339264894</v>
      </c>
      <c r="F36" s="1913">
        <f t="shared" si="14"/>
        <v>260.99999999999949</v>
      </c>
      <c r="G36" s="1913">
        <f t="shared" si="14"/>
        <v>0.999999999999998</v>
      </c>
      <c r="H36" s="691">
        <v>0.80631341634837672</v>
      </c>
      <c r="I36" s="691">
        <v>4.0933660611181732E-3</v>
      </c>
      <c r="J36" s="2911">
        <v>1.568339487018457E-5</v>
      </c>
    </row>
    <row r="37" spans="2:10" ht="18" customHeight="1" x14ac:dyDescent="0.2">
      <c r="B37" s="282" t="s">
        <v>137</v>
      </c>
      <c r="C37" s="691">
        <v>4032.9714951105798</v>
      </c>
      <c r="D37" s="1909" t="s">
        <v>1814</v>
      </c>
      <c r="E37" s="1913">
        <f t="shared" si="13"/>
        <v>67.259999999999948</v>
      </c>
      <c r="F37" s="1913">
        <f t="shared" si="14"/>
        <v>37.554852424205066</v>
      </c>
      <c r="G37" s="1913">
        <f t="shared" si="14"/>
        <v>6.5902498648646493</v>
      </c>
      <c r="H37" s="691">
        <v>271.2576627611374</v>
      </c>
      <c r="I37" s="691">
        <v>0.15145764932990347</v>
      </c>
      <c r="J37" s="2911">
        <v>2.6578289850655482E-2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186974.4142417486</v>
      </c>
      <c r="D40" s="1909" t="s">
        <v>1814</v>
      </c>
      <c r="E40" s="628"/>
      <c r="F40" s="628"/>
      <c r="G40" s="628"/>
      <c r="H40" s="1913">
        <f>IF(SUM(H41:H44,H46,H48)=0,"NO",SUM(H41:H44,H46,H48))</f>
        <v>12667.849145636212</v>
      </c>
      <c r="I40" s="1913">
        <f>IF(SUM(I41:I44,I46:I48)=0,"NO",SUM(I41:I44,I46:I48))</f>
        <v>2.8027320676214948</v>
      </c>
      <c r="J40" s="3085">
        <f>IF(SUM(J41:J44,J46:J48)=0,"NO",SUM(J41:J44,J46:J48))</f>
        <v>0.50181413691990584</v>
      </c>
    </row>
    <row r="41" spans="2:10" ht="18" customHeight="1" x14ac:dyDescent="0.2">
      <c r="B41" s="282" t="s">
        <v>167</v>
      </c>
      <c r="C41" s="691">
        <v>86213.859589727508</v>
      </c>
      <c r="D41" s="1909" t="s">
        <v>1814</v>
      </c>
      <c r="E41" s="1913">
        <f t="shared" ref="E41:E43" si="16">IFERROR(H41*1000/$C41,"NA")</f>
        <v>67.399999999999991</v>
      </c>
      <c r="F41" s="1913">
        <f t="shared" ref="F41:G43" si="17">IFERROR(I41*1000000/$C41,"NA")</f>
        <v>13.156566607847777</v>
      </c>
      <c r="G41" s="1913">
        <f t="shared" si="17"/>
        <v>4.2534868451001788</v>
      </c>
      <c r="H41" s="691">
        <v>5810.8141363476325</v>
      </c>
      <c r="I41" s="691">
        <v>1.1342783862118859</v>
      </c>
      <c r="J41" s="2911">
        <v>0.36670951763021986</v>
      </c>
    </row>
    <row r="42" spans="2:10" ht="18" customHeight="1" x14ac:dyDescent="0.2">
      <c r="B42" s="282" t="s">
        <v>168</v>
      </c>
      <c r="C42" s="691">
        <v>86088.657598657097</v>
      </c>
      <c r="D42" s="1909" t="s">
        <v>1814</v>
      </c>
      <c r="E42" s="1913">
        <f t="shared" si="16"/>
        <v>69.899999999999991</v>
      </c>
      <c r="F42" s="1913">
        <f t="shared" si="17"/>
        <v>14.01195572745552</v>
      </c>
      <c r="G42" s="1913">
        <f t="shared" si="17"/>
        <v>1.0730978522701753</v>
      </c>
      <c r="H42" s="691">
        <v>6017.5971661461299</v>
      </c>
      <c r="I42" s="691">
        <v>1.2062704589084605</v>
      </c>
      <c r="J42" s="2911">
        <v>9.2381553573941427E-2</v>
      </c>
    </row>
    <row r="43" spans="2:10" ht="18" customHeight="1" x14ac:dyDescent="0.2">
      <c r="B43" s="282" t="s">
        <v>169</v>
      </c>
      <c r="C43" s="691">
        <v>13921.419135460701</v>
      </c>
      <c r="D43" s="1909" t="s">
        <v>1814</v>
      </c>
      <c r="E43" s="1913">
        <f t="shared" si="16"/>
        <v>60.200000000000045</v>
      </c>
      <c r="F43" s="1913">
        <f t="shared" si="17"/>
        <v>29.788616014772067</v>
      </c>
      <c r="G43" s="1913">
        <f t="shared" si="17"/>
        <v>2.4447197970882</v>
      </c>
      <c r="H43" s="691">
        <v>838.0694319547348</v>
      </c>
      <c r="I43" s="691">
        <v>0.41469980900693892</v>
      </c>
      <c r="J43" s="2911">
        <v>3.4033968964023269E-2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26.616614044351</v>
      </c>
      <c r="D46" s="1909" t="s">
        <v>1814</v>
      </c>
      <c r="E46" s="1913">
        <f t="shared" si="18"/>
        <v>51.411918339264965</v>
      </c>
      <c r="F46" s="1913">
        <f t="shared" si="19"/>
        <v>260.99999999999983</v>
      </c>
      <c r="G46" s="1913">
        <f t="shared" si="19"/>
        <v>0.99999999999999933</v>
      </c>
      <c r="H46" s="691">
        <v>1.3684111877159066</v>
      </c>
      <c r="I46" s="691">
        <v>6.9469362655756057E-3</v>
      </c>
      <c r="J46" s="2911">
        <v>2.6616614044350981E-5</v>
      </c>
    </row>
    <row r="47" spans="2:10" ht="18" customHeight="1" x14ac:dyDescent="0.2">
      <c r="B47" s="282" t="s">
        <v>137</v>
      </c>
      <c r="C47" s="691">
        <v>723.86130385894899</v>
      </c>
      <c r="D47" s="1909" t="s">
        <v>1814</v>
      </c>
      <c r="E47" s="1913">
        <f t="shared" si="18"/>
        <v>67.259999999999962</v>
      </c>
      <c r="F47" s="1913">
        <f t="shared" si="19"/>
        <v>56.000337374759525</v>
      </c>
      <c r="G47" s="1913">
        <f t="shared" si="19"/>
        <v>11.967044089104807</v>
      </c>
      <c r="H47" s="691">
        <v>48.686911297552875</v>
      </c>
      <c r="I47" s="691">
        <v>4.053647722863446E-2</v>
      </c>
      <c r="J47" s="2911">
        <v>8.6624801376769343E-3</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263357.71449000703</v>
      </c>
      <c r="D50" s="1909" t="s">
        <v>1814</v>
      </c>
      <c r="E50" s="628"/>
      <c r="F50" s="628"/>
      <c r="G50" s="628"/>
      <c r="H50" s="1913">
        <f>IF(SUM(H51:H54,H56,H58)=0,"NO",SUM(H51:H54,H56,H58))</f>
        <v>18332.434208645856</v>
      </c>
      <c r="I50" s="1913">
        <f>IF(SUM(I51:I54,I56:I58)=0,"NO",SUM(I51:I54,I56:I58))</f>
        <v>1.7744405484622447</v>
      </c>
      <c r="J50" s="3085">
        <f>IF(SUM(J51:J54,J56:J58)=0,"NO",SUM(J51:J54,J56:J58))</f>
        <v>0.52135850741019396</v>
      </c>
    </row>
    <row r="51" spans="2:10" ht="18" customHeight="1" x14ac:dyDescent="0.2">
      <c r="B51" s="282" t="s">
        <v>167</v>
      </c>
      <c r="C51" s="691">
        <v>1951.5848340397699</v>
      </c>
      <c r="D51" s="1909" t="s">
        <v>1814</v>
      </c>
      <c r="E51" s="1913">
        <f t="shared" ref="E51:E53" si="21">IFERROR(H51*1000/$C51,"NA")</f>
        <v>67.399999999999963</v>
      </c>
      <c r="F51" s="1913">
        <f t="shared" ref="F51:G53" si="22">IFERROR(I51*1000000/$C51,"NA")</f>
        <v>17.938636139998909</v>
      </c>
      <c r="G51" s="1913">
        <f t="shared" si="22"/>
        <v>0.96267355669414811</v>
      </c>
      <c r="H51" s="691">
        <v>131.53681781428043</v>
      </c>
      <c r="I51" s="691">
        <v>3.5008770234179587E-2</v>
      </c>
      <c r="J51" s="2911">
        <v>1.878739113375424E-3</v>
      </c>
    </row>
    <row r="52" spans="2:10" ht="18" customHeight="1" x14ac:dyDescent="0.2">
      <c r="B52" s="282" t="s">
        <v>168</v>
      </c>
      <c r="C52" s="691">
        <v>255980.10082126001</v>
      </c>
      <c r="D52" s="1909" t="s">
        <v>1814</v>
      </c>
      <c r="E52" s="1913">
        <f t="shared" si="21"/>
        <v>69.899999999999949</v>
      </c>
      <c r="F52" s="1913">
        <f t="shared" si="22"/>
        <v>5.8106596421262111</v>
      </c>
      <c r="G52" s="1913">
        <f t="shared" si="22"/>
        <v>2.0017463565765432</v>
      </c>
      <c r="H52" s="691">
        <v>17893.009047406063</v>
      </c>
      <c r="I52" s="691">
        <v>1.4874132410294942</v>
      </c>
      <c r="J52" s="2911">
        <v>0.51240723417505341</v>
      </c>
    </row>
    <row r="53" spans="2:10" ht="18" customHeight="1" x14ac:dyDescent="0.2">
      <c r="B53" s="282" t="s">
        <v>169</v>
      </c>
      <c r="C53" s="691">
        <v>3291.4796636775</v>
      </c>
      <c r="D53" s="1909" t="s">
        <v>1814</v>
      </c>
      <c r="E53" s="1913">
        <f t="shared" si="21"/>
        <v>60.200000000000031</v>
      </c>
      <c r="F53" s="1913">
        <f t="shared" si="22"/>
        <v>11.067688288211349</v>
      </c>
      <c r="G53" s="1913">
        <f t="shared" si="22"/>
        <v>1.5002325565694989</v>
      </c>
      <c r="H53" s="691">
        <v>198.14707575338562</v>
      </c>
      <c r="I53" s="691">
        <v>3.642907092456929E-2</v>
      </c>
      <c r="J53" s="2911">
        <v>4.93798495073541E-3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2134.5491710297201</v>
      </c>
      <c r="D56" s="1909" t="s">
        <v>1814</v>
      </c>
      <c r="E56" s="1913">
        <f t="shared" si="23"/>
        <v>51.411918339264993</v>
      </c>
      <c r="F56" s="1913">
        <f t="shared" si="24"/>
        <v>100.99999999999999</v>
      </c>
      <c r="G56" s="1913">
        <f t="shared" si="24"/>
        <v>0.99999999999999978</v>
      </c>
      <c r="H56" s="691">
        <v>109.74126767212576</v>
      </c>
      <c r="I56" s="691">
        <v>0.21558946627400169</v>
      </c>
      <c r="J56" s="2911">
        <v>2.1345491710297198E-3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4736.5038450420325</v>
      </c>
      <c r="D60" s="1909" t="s">
        <v>1814</v>
      </c>
      <c r="E60" s="628"/>
      <c r="F60" s="628"/>
      <c r="G60" s="628"/>
      <c r="H60" s="1913">
        <f>IF(SUM(H61:H64,H66,H68)=0,"NO",SUM(H61:H64,H66,H68))</f>
        <v>319.26532793786373</v>
      </c>
      <c r="I60" s="1913">
        <f>IF(SUM(I61:I64,I66:I68)=0,"NO",SUM(I61:I64,I66:I68))</f>
        <v>0.33297719167518081</v>
      </c>
      <c r="J60" s="3085">
        <f>IF(SUM(J61:J64,J66:J68)=0,"NO",SUM(J61:J64,J66:J68))</f>
        <v>4.4396958890024103E-3</v>
      </c>
    </row>
    <row r="61" spans="2:10" ht="18" customHeight="1" x14ac:dyDescent="0.2">
      <c r="B61" s="282" t="s">
        <v>167</v>
      </c>
      <c r="C61" s="691">
        <v>4732.2718480876702</v>
      </c>
      <c r="D61" s="1909" t="s">
        <v>1814</v>
      </c>
      <c r="E61" s="1913">
        <f t="shared" ref="E61:E63" si="26">IFERROR(H61*1000/$C61,"NA")</f>
        <v>67.399999999999991</v>
      </c>
      <c r="F61" s="1913">
        <f t="shared" ref="F61:G63" si="27">IFERROR(I61*1000000/$C61,"NA")</f>
        <v>70.363073459048678</v>
      </c>
      <c r="G61" s="1913">
        <f t="shared" si="27"/>
        <v>0.93817431278731578</v>
      </c>
      <c r="H61" s="691">
        <v>318.95512256110896</v>
      </c>
      <c r="I61" s="691">
        <v>0.33297719167518081</v>
      </c>
      <c r="J61" s="2911">
        <v>4.4396958890024103E-3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4.2319969543621401</v>
      </c>
      <c r="D68" s="1909" t="s">
        <v>1814</v>
      </c>
      <c r="E68" s="628"/>
      <c r="F68" s="628"/>
      <c r="G68" s="628"/>
      <c r="H68" s="1913">
        <f>H69</f>
        <v>0.31020537675474463</v>
      </c>
      <c r="I68" s="1913" t="str">
        <f>I69</f>
        <v>NE</v>
      </c>
      <c r="J68" s="3085" t="str">
        <f>J69</f>
        <v>NE</v>
      </c>
    </row>
    <row r="69" spans="2:10" ht="18" customHeight="1" x14ac:dyDescent="0.2">
      <c r="B69" s="3105" t="s">
        <v>252</v>
      </c>
      <c r="C69" s="691">
        <v>4.2319969543621401</v>
      </c>
      <c r="D69" s="1909" t="s">
        <v>1814</v>
      </c>
      <c r="E69" s="3103">
        <f t="shared" ref="E69" si="30">IFERROR(H69*1000/$C69,"NA")</f>
        <v>73.29999999999994</v>
      </c>
      <c r="F69" s="3103" t="str">
        <f>IFERROR(I69*1000000/$C69,"NA")</f>
        <v>NA</v>
      </c>
      <c r="G69" s="3103" t="str">
        <f>IFERROR(J69*1000000/$C69,"NA")</f>
        <v>NA</v>
      </c>
      <c r="H69" s="691">
        <v>0.31020537675474463</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34407.300000000003</v>
      </c>
      <c r="D81" s="1909" t="s">
        <v>1814</v>
      </c>
      <c r="E81" s="628"/>
      <c r="F81" s="628"/>
      <c r="G81" s="628"/>
      <c r="H81" s="1913">
        <f>IF(SUM(H82:H84,H86)=0,"NO",SUM(H82:H84,H86))</f>
        <v>2405.0702700000002</v>
      </c>
      <c r="I81" s="1913">
        <f>IF(SUM(I82:I86)=0,"NO",SUM(I82:I86))</f>
        <v>0.13762920000000001</v>
      </c>
      <c r="J81" s="3085">
        <f>IF(SUM(J82:J86)=0,"NO",SUM(J82:J86))</f>
        <v>1.032219</v>
      </c>
    </row>
    <row r="82" spans="2:10" ht="18" customHeight="1" x14ac:dyDescent="0.2">
      <c r="B82" s="282" t="s">
        <v>132</v>
      </c>
      <c r="C82" s="691">
        <v>34407.300000000003</v>
      </c>
      <c r="D82" s="1909" t="s">
        <v>1814</v>
      </c>
      <c r="E82" s="1913">
        <f t="shared" ref="E82:E85" si="36">IFERROR(H82*1000/$C82,"NA")</f>
        <v>69.899999999999991</v>
      </c>
      <c r="F82" s="1913">
        <f t="shared" ref="F82:G85" si="37">IFERROR(I82*1000000/$C82,"NA")</f>
        <v>4</v>
      </c>
      <c r="G82" s="1913">
        <f t="shared" si="37"/>
        <v>29.999999999999996</v>
      </c>
      <c r="H82" s="691">
        <v>2405.0702700000002</v>
      </c>
      <c r="I82" s="691">
        <v>0.13762920000000001</v>
      </c>
      <c r="J82" s="2911">
        <v>1.032219</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29277.550802252634</v>
      </c>
      <c r="D88" s="1909" t="s">
        <v>1814</v>
      </c>
      <c r="E88" s="628"/>
      <c r="F88" s="628"/>
      <c r="G88" s="628"/>
      <c r="H88" s="1913">
        <f>IF(SUM(H89:H92,H94,H96)=0,"NO",SUM(H89:H92,H94,H96))</f>
        <v>2132.344918442951</v>
      </c>
      <c r="I88" s="3334">
        <f>IF(SUM(I89:I92,I94:I96)=0,"NE",SUM(I89:I92,I94:I96))</f>
        <v>4.2798250910068072</v>
      </c>
      <c r="J88" s="3335">
        <f>IF(SUM(J89:J92,J94:J96)=0,"NE",SUM(J89:J92,J94:J96))</f>
        <v>4.1364710133106969E-2</v>
      </c>
    </row>
    <row r="89" spans="2:10" ht="18" customHeight="1" x14ac:dyDescent="0.2">
      <c r="B89" s="282" t="s">
        <v>190</v>
      </c>
      <c r="C89" s="691">
        <v>6460.0111999999999</v>
      </c>
      <c r="D89" s="1909" t="s">
        <v>1814</v>
      </c>
      <c r="E89" s="1913">
        <f t="shared" ref="E89:E91" si="39">IFERROR(H89*1000/$C89,"NA")</f>
        <v>73.599999999999994</v>
      </c>
      <c r="F89" s="1913">
        <f t="shared" ref="F89:G91" si="40">IFERROR(I89*1000000/$C89,"NA")</f>
        <v>7</v>
      </c>
      <c r="G89" s="1913">
        <f t="shared" si="40"/>
        <v>1.9999999999999998</v>
      </c>
      <c r="H89" s="691">
        <v>475.45682431999995</v>
      </c>
      <c r="I89" s="3336">
        <v>4.5220078399999995E-2</v>
      </c>
      <c r="J89" s="3337">
        <v>1.2920022399999998E-2</v>
      </c>
    </row>
    <row r="90" spans="2:10" ht="18" customHeight="1" x14ac:dyDescent="0.2">
      <c r="B90" s="282" t="s">
        <v>191</v>
      </c>
      <c r="C90" s="691">
        <v>6742.0555871828301</v>
      </c>
      <c r="D90" s="1909" t="s">
        <v>1814</v>
      </c>
      <c r="E90" s="1913">
        <f t="shared" si="39"/>
        <v>69.899999999999949</v>
      </c>
      <c r="F90" s="1913">
        <f t="shared" si="40"/>
        <v>6.9999999999999938</v>
      </c>
      <c r="G90" s="1913">
        <f t="shared" si="40"/>
        <v>1.9999999999999984</v>
      </c>
      <c r="H90" s="691">
        <v>471.26968554407949</v>
      </c>
      <c r="I90" s="3336">
        <v>4.7194389110279775E-2</v>
      </c>
      <c r="J90" s="3337">
        <v>1.3484111174365649E-2</v>
      </c>
    </row>
    <row r="91" spans="2:10" ht="18" customHeight="1" x14ac:dyDescent="0.2">
      <c r="B91" s="282" t="s">
        <v>167</v>
      </c>
      <c r="C91" s="691">
        <v>11049.9485056386</v>
      </c>
      <c r="D91" s="1909" t="s">
        <v>1814</v>
      </c>
      <c r="E91" s="1913">
        <f t="shared" si="39"/>
        <v>67.399999999999849</v>
      </c>
      <c r="F91" s="1913">
        <f t="shared" si="40"/>
        <v>359.99999999999909</v>
      </c>
      <c r="G91" s="1913">
        <f t="shared" si="40"/>
        <v>0.8999999999999978</v>
      </c>
      <c r="H91" s="691">
        <v>744.76652928004</v>
      </c>
      <c r="I91" s="3336">
        <v>3.9779814620298861</v>
      </c>
      <c r="J91" s="3337">
        <v>9.9449536550747161E-3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100</v>
      </c>
      <c r="D94" s="1909" t="s">
        <v>1814</v>
      </c>
      <c r="E94" s="1913">
        <f t="shared" ref="E94:E95" si="43">IFERROR(H94*1000/$C94,"NA")</f>
        <v>51.411918339265</v>
      </c>
      <c r="F94" s="1913">
        <f t="shared" si="42"/>
        <v>243.00000000000003</v>
      </c>
      <c r="G94" s="1913">
        <f t="shared" si="42"/>
        <v>1</v>
      </c>
      <c r="H94" s="691">
        <v>5.1411918339265004</v>
      </c>
      <c r="I94" s="3336">
        <v>2.4300000000000002E-2</v>
      </c>
      <c r="J94" s="3337">
        <v>1E-4</v>
      </c>
    </row>
    <row r="95" spans="2:10" ht="18" customHeight="1" x14ac:dyDescent="0.2">
      <c r="B95" s="282" t="s">
        <v>137</v>
      </c>
      <c r="C95" s="691">
        <v>84.025448518445501</v>
      </c>
      <c r="D95" s="1909" t="s">
        <v>1814</v>
      </c>
      <c r="E95" s="1913">
        <f t="shared" si="43"/>
        <v>67.260000000000005</v>
      </c>
      <c r="F95" s="1913">
        <f t="shared" si="42"/>
        <v>360</v>
      </c>
      <c r="G95" s="1913">
        <f t="shared" si="42"/>
        <v>0.90000000000000013</v>
      </c>
      <c r="H95" s="691">
        <v>5.6515516673506445</v>
      </c>
      <c r="I95" s="3336">
        <v>3.0249161466640379E-2</v>
      </c>
      <c r="J95" s="3337">
        <v>7.5622903666600956E-5</v>
      </c>
    </row>
    <row r="96" spans="2:10" ht="18" customHeight="1" x14ac:dyDescent="0.2">
      <c r="B96" s="282" t="s">
        <v>183</v>
      </c>
      <c r="C96" s="1913">
        <f>IF(SUM(C97:C98)=0,"NO",SUM(C97:C98))</f>
        <v>4841.5100609127576</v>
      </c>
      <c r="D96" s="1909" t="s">
        <v>1814</v>
      </c>
      <c r="E96" s="628"/>
      <c r="F96" s="628"/>
      <c r="G96" s="628"/>
      <c r="H96" s="1913">
        <f>IF(SUM(H97:H98)=0,"NO",SUM(H97:H98))</f>
        <v>435.71068746490505</v>
      </c>
      <c r="I96" s="3334">
        <f>IF(SUM(I97:I98)=0,"NE",SUM(I97:I98))</f>
        <v>0.15487999999999999</v>
      </c>
      <c r="J96" s="3335">
        <f>IF(SUM(J97:J98)=0,"NE",SUM(J97:J98))</f>
        <v>4.8399999999999997E-3</v>
      </c>
    </row>
    <row r="97" spans="2:10" ht="18" customHeight="1" x14ac:dyDescent="0.2">
      <c r="B97" s="2572" t="s">
        <v>2260</v>
      </c>
      <c r="C97" s="691">
        <v>4840</v>
      </c>
      <c r="D97" s="1909" t="s">
        <v>1814</v>
      </c>
      <c r="E97" s="3103">
        <f t="shared" ref="E97" si="44">IFERROR(H97*1000/$C97,"NA")</f>
        <v>89.999999999999986</v>
      </c>
      <c r="F97" s="3103">
        <f>IFERROR(I97*1000000/$C97,"NA")</f>
        <v>32</v>
      </c>
      <c r="G97" s="3103">
        <f>IFERROR(J97*1000000/$C97,"NA")</f>
        <v>1</v>
      </c>
      <c r="H97" s="691">
        <v>435.59999999999997</v>
      </c>
      <c r="I97" s="3336">
        <v>0.15487999999999999</v>
      </c>
      <c r="J97" s="3337">
        <v>4.8399999999999997E-3</v>
      </c>
    </row>
    <row r="98" spans="2:10" ht="18" customHeight="1" x14ac:dyDescent="0.2">
      <c r="B98" s="2572" t="s">
        <v>252</v>
      </c>
      <c r="C98" s="691">
        <v>1.5100609127572702</v>
      </c>
      <c r="D98" s="1909" t="s">
        <v>1814</v>
      </c>
      <c r="E98" s="3103">
        <f t="shared" ref="E98" si="45">IFERROR(H98*1000/$C98,"NA")</f>
        <v>73.300000000000196</v>
      </c>
      <c r="F98" s="3103" t="str">
        <f>IFERROR(I98*1000000/$C98,"NA")</f>
        <v>NA</v>
      </c>
      <c r="G98" s="3103" t="str">
        <f>IFERROR(J98*1000000/$C98,"NA")</f>
        <v>NA</v>
      </c>
      <c r="H98" s="691">
        <v>0.1106874649051082</v>
      </c>
      <c r="I98" s="3336" t="s">
        <v>2154</v>
      </c>
      <c r="J98" s="3337" t="s">
        <v>2154</v>
      </c>
    </row>
    <row r="99" spans="2:10" ht="18" customHeight="1" x14ac:dyDescent="0.2">
      <c r="B99" s="1241" t="s">
        <v>193</v>
      </c>
      <c r="C99" s="1913">
        <f>IF(SUM(C100:C104)=0,"NO",SUM(C100:C104))</f>
        <v>12583.279223011767</v>
      </c>
      <c r="D99" s="1909" t="s">
        <v>1814</v>
      </c>
      <c r="E99" s="628"/>
      <c r="F99" s="628"/>
      <c r="G99" s="628"/>
      <c r="H99" s="1913">
        <f>IF(SUM(H100:H103)=0,"NO",SUM(H100:H103))</f>
        <v>656.69692617692931</v>
      </c>
      <c r="I99" s="1913">
        <f>IF(SUM(I100:I104)=0,"NO",SUM(I100:I104))</f>
        <v>0.12766388383523478</v>
      </c>
      <c r="J99" s="3085">
        <f>IF(SUM(J100:J104)=0,"NO",SUM(J100:J104))</f>
        <v>1.3247639461952902E-3</v>
      </c>
    </row>
    <row r="100" spans="2:10" ht="18" customHeight="1" x14ac:dyDescent="0.2">
      <c r="B100" s="282" t="s">
        <v>132</v>
      </c>
      <c r="C100" s="1913">
        <f>IF(SUM(C106,C113:C116)=0,"NO",SUM(C106,C113:C116))</f>
        <v>662.89456012272319</v>
      </c>
      <c r="D100" s="1909" t="s">
        <v>1814</v>
      </c>
      <c r="E100" s="3103">
        <f t="shared" ref="E100:E104" si="46">IFERROR(H100*1000/$C100,"NA")</f>
        <v>66.109131382804506</v>
      </c>
      <c r="F100" s="3103">
        <f t="shared" ref="F100:G104" si="47">IFERROR(I100*1000000/$C100,"NA")</f>
        <v>49.042382331457347</v>
      </c>
      <c r="G100" s="3103">
        <f t="shared" si="47"/>
        <v>0.1961695293258294</v>
      </c>
      <c r="H100" s="1913">
        <f>IF(SUM(H106,H113:H116)=0,"NO",SUM(H106,H113:H116))</f>
        <v>43.823383568099509</v>
      </c>
      <c r="I100" s="1913">
        <f>IF(SUM(I106,I113:I116)=0,"NO",SUM(I106,I113:I116))</f>
        <v>3.2509928462981827E-2</v>
      </c>
      <c r="J100" s="3085">
        <f>IF(SUM(J106,J113:J116)=0,"NO",SUM(J106,J113:J116))</f>
        <v>1.3003971385192734E-4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11902.744465599999</v>
      </c>
      <c r="D102" s="1909" t="s">
        <v>1814</v>
      </c>
      <c r="E102" s="3103">
        <f t="shared" si="46"/>
        <v>51.411918339265</v>
      </c>
      <c r="F102" s="3103">
        <f t="shared" si="47"/>
        <v>7.8447488584474891</v>
      </c>
      <c r="G102" s="3103">
        <f t="shared" si="47"/>
        <v>9.9999999999999978E-2</v>
      </c>
      <c r="H102" s="1913">
        <f t="shared" si="48"/>
        <v>611.9429264785656</v>
      </c>
      <c r="I102" s="1913">
        <f t="shared" si="48"/>
        <v>9.3374041058907772E-2</v>
      </c>
      <c r="J102" s="3085">
        <f t="shared" si="48"/>
        <v>1.1902744465599998E-3</v>
      </c>
    </row>
    <row r="103" spans="2:10" ht="18" customHeight="1" x14ac:dyDescent="0.2">
      <c r="B103" s="282" t="s">
        <v>175</v>
      </c>
      <c r="C103" s="1913">
        <f>IF(SUM(C109,C120)=0,"NO",SUM(C109,C120))</f>
        <v>12.695990863086401</v>
      </c>
      <c r="D103" s="1909" t="s">
        <v>1814</v>
      </c>
      <c r="E103" s="3103">
        <f t="shared" si="46"/>
        <v>73.300000000000054</v>
      </c>
      <c r="F103" s="3103" t="str">
        <f t="shared" si="47"/>
        <v>NA</v>
      </c>
      <c r="G103" s="3103" t="str">
        <f t="shared" si="47"/>
        <v>NA</v>
      </c>
      <c r="H103" s="1913">
        <f t="shared" si="48"/>
        <v>0.93061613026423373</v>
      </c>
      <c r="I103" s="1913" t="str">
        <f t="shared" si="48"/>
        <v>NO</v>
      </c>
      <c r="J103" s="3085" t="str">
        <f t="shared" si="48"/>
        <v>NO</v>
      </c>
    </row>
    <row r="104" spans="2:10" ht="18" customHeight="1" x14ac:dyDescent="0.2">
      <c r="B104" s="282" t="s">
        <v>137</v>
      </c>
      <c r="C104" s="1913">
        <f>IF(SUM(C110,C121)=0,"NO",SUM(C110,C121))</f>
        <v>4.9442064259588401</v>
      </c>
      <c r="D104" s="1909" t="s">
        <v>1814</v>
      </c>
      <c r="E104" s="3103">
        <f t="shared" si="46"/>
        <v>67.260000000000005</v>
      </c>
      <c r="F104" s="3103">
        <f t="shared" si="47"/>
        <v>360.00000000000006</v>
      </c>
      <c r="G104" s="3103">
        <f t="shared" si="47"/>
        <v>0.90000000000000024</v>
      </c>
      <c r="H104" s="1913">
        <f t="shared" si="48"/>
        <v>0.33254732420999167</v>
      </c>
      <c r="I104" s="1913">
        <f t="shared" si="48"/>
        <v>1.7799143133451828E-3</v>
      </c>
      <c r="J104" s="3085">
        <f t="shared" si="48"/>
        <v>4.4497857833629569E-6</v>
      </c>
    </row>
    <row r="105" spans="2:10" ht="18" customHeight="1" x14ac:dyDescent="0.2">
      <c r="B105" s="1244" t="s">
        <v>194</v>
      </c>
      <c r="C105" s="1913">
        <f>IF(SUM(C106:C110)=0,"NO",SUM(C106:C110))</f>
        <v>11902.744465599999</v>
      </c>
      <c r="D105" s="1909" t="s">
        <v>1814</v>
      </c>
      <c r="E105" s="628"/>
      <c r="F105" s="628"/>
      <c r="G105" s="628"/>
      <c r="H105" s="1913">
        <f>IF(SUM(H106:H109)=0,"NO",SUM(H106:H109))</f>
        <v>611.9429264785656</v>
      </c>
      <c r="I105" s="1913">
        <f>IF(SUM(I106:I110)=0,"NO",SUM(I106:I110))</f>
        <v>9.3374041058907772E-2</v>
      </c>
      <c r="J105" s="3085">
        <f>IF(SUM(J106:J110)=0,"NO",SUM(J106:J110))</f>
        <v>1.1902744465599998E-3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11902.744465599999</v>
      </c>
      <c r="D108" s="1909" t="s">
        <v>1814</v>
      </c>
      <c r="E108" s="3103">
        <f t="shared" si="49"/>
        <v>51.411918339265</v>
      </c>
      <c r="F108" s="3103">
        <f t="shared" si="50"/>
        <v>7.8447488584474891</v>
      </c>
      <c r="G108" s="3103">
        <f t="shared" si="50"/>
        <v>9.9999999999999978E-2</v>
      </c>
      <c r="H108" s="691">
        <v>611.9429264785656</v>
      </c>
      <c r="I108" s="691">
        <v>9.3374041058907772E-2</v>
      </c>
      <c r="J108" s="2911">
        <v>1.1902744465599998E-3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680.53475741176851</v>
      </c>
      <c r="D111" s="1909" t="s">
        <v>1814</v>
      </c>
      <c r="E111" s="628"/>
      <c r="F111" s="628"/>
      <c r="G111" s="628"/>
      <c r="H111" s="1913">
        <f>H112</f>
        <v>44.753999698363742</v>
      </c>
      <c r="I111" s="1913">
        <f>I112</f>
        <v>3.4289842776327011E-2</v>
      </c>
      <c r="J111" s="3085">
        <f>J112</f>
        <v>1.3448949963529029E-4</v>
      </c>
    </row>
    <row r="112" spans="2:10" ht="18" customHeight="1" x14ac:dyDescent="0.2">
      <c r="B112" s="3089" t="s">
        <v>2148</v>
      </c>
      <c r="C112" s="3099">
        <f>IF(SUM(C113:C116,C118:C121)=0,"NO",SUM(C113:C116,C118:C121))</f>
        <v>680.53475741176851</v>
      </c>
      <c r="D112" s="3099" t="s">
        <v>1814</v>
      </c>
      <c r="E112" s="628"/>
      <c r="F112" s="628"/>
      <c r="G112" s="628"/>
      <c r="H112" s="3099">
        <f>IF(SUM(H113:H116,H118:H120)=0,"NO",SUM(H113:H116,H118:H120))</f>
        <v>44.753999698363742</v>
      </c>
      <c r="I112" s="3099">
        <f>IF(SUM(I113:I116,I118:I121)=0,"NO",SUM(I113:I116,I118:I121))</f>
        <v>3.4289842776327011E-2</v>
      </c>
      <c r="J112" s="3100">
        <f>IF(SUM(J113:J116,J118:J121)=0,"NO",SUM(J113:J116,J118:J121))</f>
        <v>1.3448949963529029E-4</v>
      </c>
    </row>
    <row r="113" spans="2:10" ht="18" customHeight="1" x14ac:dyDescent="0.2">
      <c r="B113" s="282" t="s">
        <v>167</v>
      </c>
      <c r="C113" s="691">
        <v>662.89456012272319</v>
      </c>
      <c r="D113" s="1913" t="s">
        <v>1814</v>
      </c>
      <c r="E113" s="1913">
        <f t="shared" ref="E113:E115" si="51">IFERROR(H113*1000/$C113,"NA")</f>
        <v>66.109131382804506</v>
      </c>
      <c r="F113" s="1913">
        <f t="shared" ref="F113:G115" si="52">IFERROR(I113*1000000/$C113,"NA")</f>
        <v>49.042382331457347</v>
      </c>
      <c r="G113" s="1913">
        <f t="shared" si="52"/>
        <v>0.1961695293258294</v>
      </c>
      <c r="H113" s="691">
        <v>43.823383568099509</v>
      </c>
      <c r="I113" s="691">
        <v>3.2509928462981827E-2</v>
      </c>
      <c r="J113" s="2911">
        <v>1.3003971385192734E-4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12.695990863086401</v>
      </c>
      <c r="D120" s="1909" t="s">
        <v>1814</v>
      </c>
      <c r="E120" s="3103">
        <f t="shared" si="53"/>
        <v>73.300000000000054</v>
      </c>
      <c r="F120" s="3103" t="str">
        <f t="shared" si="54"/>
        <v>NA</v>
      </c>
      <c r="G120" s="3103" t="str">
        <f t="shared" si="54"/>
        <v>NA</v>
      </c>
      <c r="H120" s="691">
        <v>0.93061613026423373</v>
      </c>
      <c r="I120" s="691" t="s">
        <v>2154</v>
      </c>
      <c r="J120" s="2911" t="s">
        <v>2154</v>
      </c>
    </row>
    <row r="121" spans="2:10" ht="18" customHeight="1" thickBot="1" x14ac:dyDescent="0.25">
      <c r="B121" s="2185" t="s">
        <v>137</v>
      </c>
      <c r="C121" s="1559">
        <v>4.9442064259588401</v>
      </c>
      <c r="D121" s="2880" t="s">
        <v>1814</v>
      </c>
      <c r="E121" s="3104">
        <f t="shared" si="53"/>
        <v>67.260000000000005</v>
      </c>
      <c r="F121" s="3104">
        <f t="shared" si="54"/>
        <v>360.00000000000006</v>
      </c>
      <c r="G121" s="3104">
        <f t="shared" si="54"/>
        <v>0.90000000000000024</v>
      </c>
      <c r="H121" s="1559">
        <v>0.33254732420999167</v>
      </c>
      <c r="I121" s="1559">
        <v>1.7799143133451828E-3</v>
      </c>
      <c r="J121" s="1561">
        <v>4.4497857833629569E-6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388155.9110410104</v>
      </c>
      <c r="D10" s="3109" t="s">
        <v>1814</v>
      </c>
      <c r="E10" s="2135"/>
      <c r="F10" s="2135"/>
      <c r="G10" s="2135"/>
      <c r="H10" s="3109">
        <f>IF(SUM(H11:H15)=0,"NO",SUM(H11:H15))</f>
        <v>19338.07645335851</v>
      </c>
      <c r="I10" s="3109">
        <f>IF(SUM(I11:I16)=0,"NO",SUM(I11:I16))</f>
        <v>43.022614033889134</v>
      </c>
      <c r="J10" s="3109">
        <f>IF(SUM(J11:J16)=0,"NO",SUM(J11:J16))</f>
        <v>0.64602842966627461</v>
      </c>
      <c r="K10" s="420" t="str">
        <f>IF(SUM(K11:K16)=0,"NO",SUM(K11:K16))</f>
        <v>NO</v>
      </c>
    </row>
    <row r="11" spans="2:12" ht="18" customHeight="1" x14ac:dyDescent="0.2">
      <c r="B11" s="282" t="s">
        <v>132</v>
      </c>
      <c r="C11" s="1913">
        <f>IF(SUM(C18,C39,C60)=0,"NO",SUM(C18,C39,C60))</f>
        <v>138646.40060795436</v>
      </c>
      <c r="D11" s="3109" t="s">
        <v>1814</v>
      </c>
      <c r="E11" s="1913">
        <f t="shared" ref="E11:E16" si="0">IFERROR(H11*1000/$C11,"NA")</f>
        <v>68.297972441640454</v>
      </c>
      <c r="F11" s="1913">
        <f t="shared" ref="F11:G16" si="1">IFERROR(I11*1000000/$C11,"NA")</f>
        <v>9.5441448184452931</v>
      </c>
      <c r="G11" s="1913">
        <f t="shared" si="1"/>
        <v>2.6159690149652759</v>
      </c>
      <c r="H11" s="1913">
        <f>IF(SUM(H18,H39,H60)=0,"NO",SUM(H18,H39,H60))</f>
        <v>9469.2680478547081</v>
      </c>
      <c r="I11" s="1913">
        <f>IF(SUM(I18,I39,I60)=0,"NO",SUM(I18,I39,I60))</f>
        <v>1.323261325958498</v>
      </c>
      <c r="J11" s="1913">
        <f>IF(SUM(J18,J39,J60)=0,"NO",SUM(J18,J39,J60))</f>
        <v>0.36269468802687144</v>
      </c>
      <c r="K11" s="3085" t="str">
        <f>IF(SUM(K18,K39,K60)=0,"NO",SUM(K18,K39,K60))</f>
        <v>NO</v>
      </c>
    </row>
    <row r="12" spans="2:12" ht="18" customHeight="1" x14ac:dyDescent="0.2">
      <c r="B12" s="282" t="s">
        <v>133</v>
      </c>
      <c r="C12" s="1913">
        <f t="shared" ref="C12:C16" si="2">IF(SUM(C19,C40,C61)=0,"NO",SUM(C19,C40,C61))</f>
        <v>1539.6210523202276</v>
      </c>
      <c r="D12" s="3109" t="s">
        <v>1814</v>
      </c>
      <c r="E12" s="1913">
        <f t="shared" si="0"/>
        <v>92.858495844047525</v>
      </c>
      <c r="F12" s="1913">
        <f t="shared" si="1"/>
        <v>0.95238095238095233</v>
      </c>
      <c r="G12" s="1913">
        <f t="shared" si="1"/>
        <v>0.66666666666666674</v>
      </c>
      <c r="H12" s="1913">
        <f t="shared" ref="H12:K16" si="3">IF(SUM(H19,H40,H61)=0,"NO",SUM(H19,H40,H61))</f>
        <v>142.96689508828592</v>
      </c>
      <c r="I12" s="1913">
        <f t="shared" si="3"/>
        <v>1.4663057641145024E-3</v>
      </c>
      <c r="J12" s="1913">
        <f t="shared" si="3"/>
        <v>1.0264140348801517E-3</v>
      </c>
      <c r="K12" s="3085" t="str">
        <f t="shared" si="3"/>
        <v>NO</v>
      </c>
    </row>
    <row r="13" spans="2:12" ht="18" customHeight="1" x14ac:dyDescent="0.2">
      <c r="B13" s="282" t="s">
        <v>134</v>
      </c>
      <c r="C13" s="1913">
        <f t="shared" si="2"/>
        <v>189098.9092036605</v>
      </c>
      <c r="D13" s="3109" t="s">
        <v>1814</v>
      </c>
      <c r="E13" s="1913">
        <f t="shared" si="0"/>
        <v>51.432562733298134</v>
      </c>
      <c r="F13" s="1913">
        <f t="shared" si="1"/>
        <v>0.90909090909090928</v>
      </c>
      <c r="G13" s="1913">
        <f t="shared" si="1"/>
        <v>0.90909090909090928</v>
      </c>
      <c r="H13" s="1913">
        <f t="shared" si="3"/>
        <v>9725.8415104155174</v>
      </c>
      <c r="I13" s="1913">
        <f t="shared" si="3"/>
        <v>0.17190809927605502</v>
      </c>
      <c r="J13" s="1913">
        <f t="shared" si="3"/>
        <v>0.17190809927605502</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58870.980177075289</v>
      </c>
      <c r="D16" s="3109" t="s">
        <v>1814</v>
      </c>
      <c r="E16" s="1913">
        <f t="shared" si="0"/>
        <v>77.474128359817826</v>
      </c>
      <c r="F16" s="1913">
        <f t="shared" si="1"/>
        <v>705.37263313752214</v>
      </c>
      <c r="G16" s="1913">
        <f t="shared" si="1"/>
        <v>1.8752741672790785</v>
      </c>
      <c r="H16" s="1913">
        <f t="shared" si="3"/>
        <v>4560.977874907021</v>
      </c>
      <c r="I16" s="1913">
        <f t="shared" si="3"/>
        <v>41.525978302890465</v>
      </c>
      <c r="J16" s="1913">
        <f t="shared" si="3"/>
        <v>0.110399228328468</v>
      </c>
      <c r="K16" s="3085" t="str">
        <f t="shared" si="3"/>
        <v>NO</v>
      </c>
    </row>
    <row r="17" spans="2:11" ht="18" customHeight="1" x14ac:dyDescent="0.2">
      <c r="B17" s="1241" t="s">
        <v>1942</v>
      </c>
      <c r="C17" s="3109">
        <f>IF(SUM(C18:C23)=0,"NO",SUM(C18:C23))</f>
        <v>82449.633014101943</v>
      </c>
      <c r="D17" s="3109" t="s">
        <v>1814</v>
      </c>
      <c r="E17" s="628"/>
      <c r="F17" s="628"/>
      <c r="G17" s="628"/>
      <c r="H17" s="3078">
        <f>IF(SUM(H18:H22)=0,"NO",SUM(H18:H22))</f>
        <v>4841.3548908914563</v>
      </c>
      <c r="I17" s="3078">
        <f>IF(SUM(I18:I23)=0,"NO",SUM(I18:I23))</f>
        <v>0.10703895079394607</v>
      </c>
      <c r="J17" s="3110">
        <f>IF(SUM(J18:J23)=0,"NO",SUM(J18:J23))</f>
        <v>8.8171441288576E-2</v>
      </c>
      <c r="K17" s="3085" t="str">
        <f>IF(SUM(K18:K23)=0,"NO",SUM(K18:K23))</f>
        <v>NO</v>
      </c>
    </row>
    <row r="18" spans="2:11" ht="18" customHeight="1" x14ac:dyDescent="0.2">
      <c r="B18" s="282" t="s">
        <v>132</v>
      </c>
      <c r="C18" s="3109">
        <f>IF(SUM(C26,C33)=0,"NO",SUM(C26,C33))</f>
        <v>32782.829130593782</v>
      </c>
      <c r="D18" s="3109" t="s">
        <v>1814</v>
      </c>
      <c r="E18" s="1913">
        <f t="shared" ref="E18" si="4">IFERROR(H18*1000/$C18,"NA")</f>
        <v>68.783068475771373</v>
      </c>
      <c r="F18" s="1913">
        <f t="shared" ref="F18:G23" si="5">IFERROR(I18*1000000/$C18,"NA")</f>
        <v>1.8104988780826168</v>
      </c>
      <c r="G18" s="1913">
        <f t="shared" si="5"/>
        <v>1.2784212629184248</v>
      </c>
      <c r="H18" s="3109">
        <f>IF(SUM(H26,H33)=0,"NO",SUM(H26,H33))</f>
        <v>2254.9035809191446</v>
      </c>
      <c r="I18" s="3109">
        <f>IF(SUM(I26,I33)=0,"NO",SUM(I26,I33))</f>
        <v>5.935327536131417E-2</v>
      </c>
      <c r="J18" s="3109">
        <f>IF(SUM(J26,J33)=0,"NO",SUM(J26,J33))</f>
        <v>4.1910265819172628E-2</v>
      </c>
      <c r="K18" s="3085" t="str">
        <f>IF(SUM(K26,K33)=0,"NO",SUM(K26,K33))</f>
        <v>NO</v>
      </c>
    </row>
    <row r="19" spans="2:11" ht="18" customHeight="1" x14ac:dyDescent="0.2">
      <c r="B19" s="282" t="s">
        <v>133</v>
      </c>
      <c r="C19" s="3109">
        <f t="shared" ref="C19:C21" si="6">IF(SUM(C27,C34)=0,"NO",SUM(C27,C34))</f>
        <v>1497.2331990636608</v>
      </c>
      <c r="D19" s="3109" t="s">
        <v>1814</v>
      </c>
      <c r="E19" s="1913">
        <f t="shared" ref="E19:E23" si="7">IFERROR(H19*1000/$C19,"NA")</f>
        <v>92.797868171639777</v>
      </c>
      <c r="F19" s="1913">
        <f t="shared" si="5"/>
        <v>0.95238095238095233</v>
      </c>
      <c r="G19" s="1913">
        <f t="shared" si="5"/>
        <v>0.66666666666666663</v>
      </c>
      <c r="H19" s="3109">
        <f t="shared" ref="H19:K21" si="8">IF(SUM(H27,H34)=0,"NO",SUM(H27,H34))</f>
        <v>138.94004902891209</v>
      </c>
      <c r="I19" s="3109">
        <f t="shared" si="8"/>
        <v>1.4259363800606293E-3</v>
      </c>
      <c r="J19" s="3109">
        <f t="shared" si="8"/>
        <v>9.9815546604244045E-4</v>
      </c>
      <c r="K19" s="3085" t="str">
        <f t="shared" si="8"/>
        <v>NO</v>
      </c>
    </row>
    <row r="20" spans="2:11" ht="18" customHeight="1" x14ac:dyDescent="0.2">
      <c r="B20" s="282" t="s">
        <v>134</v>
      </c>
      <c r="C20" s="3109">
        <f t="shared" si="6"/>
        <v>47578.474111109965</v>
      </c>
      <c r="D20" s="3109" t="s">
        <v>1814</v>
      </c>
      <c r="E20" s="1913">
        <f t="shared" si="7"/>
        <v>51.441566941128222</v>
      </c>
      <c r="F20" s="1913">
        <f t="shared" si="5"/>
        <v>0.90909090909090917</v>
      </c>
      <c r="G20" s="1913">
        <f t="shared" si="5"/>
        <v>0.90909090909090917</v>
      </c>
      <c r="H20" s="3109">
        <f t="shared" si="8"/>
        <v>2447.5112609433991</v>
      </c>
      <c r="I20" s="3109">
        <f t="shared" si="8"/>
        <v>4.3253158282827241E-2</v>
      </c>
      <c r="J20" s="3109">
        <f t="shared" si="8"/>
        <v>4.3253158282827241E-2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591.09657333453129</v>
      </c>
      <c r="D23" s="3109" t="s">
        <v>1814</v>
      </c>
      <c r="E23" s="1913">
        <f t="shared" si="7"/>
        <v>72.20261370171913</v>
      </c>
      <c r="F23" s="1913">
        <f t="shared" si="5"/>
        <v>5.0864459470355472</v>
      </c>
      <c r="G23" s="1913">
        <f t="shared" si="5"/>
        <v>3.400225633512854</v>
      </c>
      <c r="H23" s="3109">
        <f>IF(SUM(H31,H37)=0,"NO",SUM(H31,H37))</f>
        <v>42.678717544883057</v>
      </c>
      <c r="I23" s="3109">
        <f>IF(SUM(I31,I37)=0,"NO",SUM(I31,I37))</f>
        <v>3.0065807697440268E-3</v>
      </c>
      <c r="J23" s="3109">
        <f>IF(SUM(J31,J37)=0,"NO",SUM(J31,J37))</f>
        <v>2.0098617205336839E-3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82449.633014101943</v>
      </c>
      <c r="D25" s="3078" t="s">
        <v>1814</v>
      </c>
      <c r="E25" s="628"/>
      <c r="F25" s="628"/>
      <c r="G25" s="628"/>
      <c r="H25" s="3078">
        <f>IF(SUM(H26:H30)=0,"NO",SUM(H26:H30))</f>
        <v>4841.3548908914563</v>
      </c>
      <c r="I25" s="3078">
        <f>IF(SUM(I26:I31)=0,"NO",SUM(I26:I31))</f>
        <v>0.10703895079394607</v>
      </c>
      <c r="J25" s="3110">
        <f>IF(SUM(J26:J31)=0,"NO",SUM(J26:J31))</f>
        <v>8.8171441288576E-2</v>
      </c>
      <c r="K25" s="3085" t="str">
        <f>IF(SUM(K26:K31)=0,"NO",SUM(K26:K31))</f>
        <v>NO</v>
      </c>
    </row>
    <row r="26" spans="2:11" ht="18" customHeight="1" x14ac:dyDescent="0.2">
      <c r="B26" s="282" t="s">
        <v>132</v>
      </c>
      <c r="C26" s="691">
        <v>32782.829130593782</v>
      </c>
      <c r="D26" s="3078" t="s">
        <v>1814</v>
      </c>
      <c r="E26" s="1913">
        <f t="shared" ref="E26:E31" si="9">IFERROR(H26*1000/$C26,"NA")</f>
        <v>68.783068475771373</v>
      </c>
      <c r="F26" s="1913">
        <f t="shared" ref="F26:G31" si="10">IFERROR(I26*1000000/$C26,"NA")</f>
        <v>1.8104988780826168</v>
      </c>
      <c r="G26" s="1913">
        <f t="shared" si="10"/>
        <v>1.2784212629184248</v>
      </c>
      <c r="H26" s="691">
        <v>2254.9035809191446</v>
      </c>
      <c r="I26" s="691">
        <v>5.935327536131417E-2</v>
      </c>
      <c r="J26" s="691">
        <v>4.1910265819172628E-2</v>
      </c>
      <c r="K26" s="2911" t="s">
        <v>2146</v>
      </c>
    </row>
    <row r="27" spans="2:11" ht="18" customHeight="1" x14ac:dyDescent="0.2">
      <c r="B27" s="282" t="s">
        <v>133</v>
      </c>
      <c r="C27" s="691">
        <v>1497.2331990636608</v>
      </c>
      <c r="D27" s="3078" t="s">
        <v>1814</v>
      </c>
      <c r="E27" s="1913">
        <f t="shared" si="9"/>
        <v>92.797868171639777</v>
      </c>
      <c r="F27" s="1913">
        <f t="shared" si="10"/>
        <v>0.95238095238095233</v>
      </c>
      <c r="G27" s="1913">
        <f t="shared" si="10"/>
        <v>0.66666666666666663</v>
      </c>
      <c r="H27" s="691">
        <v>138.94004902891209</v>
      </c>
      <c r="I27" s="691">
        <v>1.4259363800606293E-3</v>
      </c>
      <c r="J27" s="691">
        <v>9.9815546604244045E-4</v>
      </c>
      <c r="K27" s="2911" t="s">
        <v>2146</v>
      </c>
    </row>
    <row r="28" spans="2:11" ht="18" customHeight="1" x14ac:dyDescent="0.2">
      <c r="B28" s="282" t="s">
        <v>134</v>
      </c>
      <c r="C28" s="691">
        <v>47578.474111109965</v>
      </c>
      <c r="D28" s="3078" t="s">
        <v>1814</v>
      </c>
      <c r="E28" s="1913">
        <f t="shared" si="9"/>
        <v>51.441566941128222</v>
      </c>
      <c r="F28" s="1913">
        <f t="shared" si="10"/>
        <v>0.90909090909090917</v>
      </c>
      <c r="G28" s="1913">
        <f t="shared" si="10"/>
        <v>0.90909090909090917</v>
      </c>
      <c r="H28" s="691">
        <v>2447.5112609433991</v>
      </c>
      <c r="I28" s="691">
        <v>4.3253158282827241E-2</v>
      </c>
      <c r="J28" s="691">
        <v>4.3253158282827241E-2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591.09657333453129</v>
      </c>
      <c r="D31" s="3078" t="s">
        <v>1814</v>
      </c>
      <c r="E31" s="1913">
        <f t="shared" si="9"/>
        <v>72.20261370171913</v>
      </c>
      <c r="F31" s="1913">
        <f t="shared" si="10"/>
        <v>5.0864459470355472</v>
      </c>
      <c r="G31" s="1913">
        <f t="shared" si="10"/>
        <v>3.400225633512854</v>
      </c>
      <c r="H31" s="691">
        <v>42.678717544883057</v>
      </c>
      <c r="I31" s="691">
        <v>3.0065807697440268E-3</v>
      </c>
      <c r="J31" s="691">
        <v>2.0098617205336839E-3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220123.87802690844</v>
      </c>
      <c r="D38" s="3078" t="s">
        <v>1814</v>
      </c>
      <c r="E38" s="628"/>
      <c r="F38" s="628"/>
      <c r="G38" s="628"/>
      <c r="H38" s="1913">
        <f>IF(SUM(H39:H43)=0,"NO",SUM(H39:H43))</f>
        <v>8545.8755722663409</v>
      </c>
      <c r="I38" s="1913">
        <f>IF(SUM(I39:I44)=0,"NO",SUM(I39:I44))</f>
        <v>42.396391239805148</v>
      </c>
      <c r="J38" s="1913">
        <f>IF(SUM(J39:J44)=0,"NO",SUM(J39:J44))</f>
        <v>0.24875190699241717</v>
      </c>
      <c r="K38" s="3085" t="str">
        <f>IF(SUM(K39:K44)=0,"NO",SUM(K39:K44))</f>
        <v>NO</v>
      </c>
    </row>
    <row r="39" spans="2:11" ht="18" customHeight="1" x14ac:dyDescent="0.2">
      <c r="B39" s="282" t="s">
        <v>132</v>
      </c>
      <c r="C39" s="3109">
        <f>IF(SUM(C47,C54)=0,"NO",SUM(C47,C54))</f>
        <v>20401.171477360585</v>
      </c>
      <c r="D39" s="3078" t="s">
        <v>1814</v>
      </c>
      <c r="E39" s="1913">
        <f t="shared" ref="E39:E44" si="13">IFERROR(H39*1000/$C39,"NA")</f>
        <v>62.236029354713729</v>
      </c>
      <c r="F39" s="1913">
        <f t="shared" ref="F39:G44" si="14">IFERROR(I39*1000000/$C39,"NA")</f>
        <v>36.50933962506916</v>
      </c>
      <c r="G39" s="1913">
        <f t="shared" si="14"/>
        <v>0.57783111840366763</v>
      </c>
      <c r="H39" s="1913">
        <f>IF(SUM(H47,H54)=0,"NO",SUM(H47,H54))</f>
        <v>1269.6879069355618</v>
      </c>
      <c r="I39" s="1913">
        <f>IF(SUM(I47,I54)=0,"NO",SUM(I47,I54))</f>
        <v>0.74483329821623157</v>
      </c>
      <c r="J39" s="1913">
        <f>IF(SUM(J47,J54)=0,"NO",SUM(J47,J54))</f>
        <v>1.1788431731508271E-2</v>
      </c>
      <c r="K39" s="3085" t="str">
        <f>IF(SUM(K47,K54)=0,"NO",SUM(K47,K54))</f>
        <v>NO</v>
      </c>
    </row>
    <row r="40" spans="2:11" ht="18" customHeight="1" x14ac:dyDescent="0.2">
      <c r="B40" s="282" t="s">
        <v>133</v>
      </c>
      <c r="C40" s="3109">
        <f t="shared" ref="C40:C42" si="15">IF(SUM(C48,C55)=0,"NO",SUM(C48,C55))</f>
        <v>42.387853256566792</v>
      </c>
      <c r="D40" s="3078" t="s">
        <v>1814</v>
      </c>
      <c r="E40" s="1913">
        <f t="shared" si="13"/>
        <v>95</v>
      </c>
      <c r="F40" s="1913">
        <f t="shared" si="14"/>
        <v>0.95238095238095222</v>
      </c>
      <c r="G40" s="1913">
        <f t="shared" si="14"/>
        <v>0.66666666666666663</v>
      </c>
      <c r="H40" s="1913">
        <f t="shared" ref="H40:K42" si="16">IF(SUM(H48,H55)=0,"NO",SUM(H48,H55))</f>
        <v>4.0268460593738453</v>
      </c>
      <c r="I40" s="1913">
        <f t="shared" si="16"/>
        <v>4.0369384053873128E-5</v>
      </c>
      <c r="J40" s="1913">
        <f t="shared" si="16"/>
        <v>2.8258568837711194E-5</v>
      </c>
      <c r="K40" s="3085" t="str">
        <f t="shared" si="16"/>
        <v>NO</v>
      </c>
    </row>
    <row r="41" spans="2:11" ht="18" customHeight="1" x14ac:dyDescent="0.2">
      <c r="B41" s="282" t="s">
        <v>134</v>
      </c>
      <c r="C41" s="3109">
        <f t="shared" si="15"/>
        <v>141400.43509255053</v>
      </c>
      <c r="D41" s="3078" t="s">
        <v>1814</v>
      </c>
      <c r="E41" s="1913">
        <f t="shared" si="13"/>
        <v>51.429550513840866</v>
      </c>
      <c r="F41" s="1913">
        <f t="shared" si="14"/>
        <v>0.90909090909090917</v>
      </c>
      <c r="G41" s="1913">
        <f t="shared" si="14"/>
        <v>0.90909090909090917</v>
      </c>
      <c r="H41" s="1913">
        <f t="shared" si="16"/>
        <v>7272.1608192714048</v>
      </c>
      <c r="I41" s="1913">
        <f t="shared" si="16"/>
        <v>0.12854585008413685</v>
      </c>
      <c r="J41" s="1913">
        <f t="shared" si="16"/>
        <v>0.12854585008413685</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58279.88360374076</v>
      </c>
      <c r="D44" s="3078" t="s">
        <v>1814</v>
      </c>
      <c r="E44" s="1913">
        <f t="shared" si="13"/>
        <v>77.527594050859207</v>
      </c>
      <c r="F44" s="1913">
        <f t="shared" si="14"/>
        <v>712.47519992396701</v>
      </c>
      <c r="G44" s="1913">
        <f t="shared" si="14"/>
        <v>1.8598075340180882</v>
      </c>
      <c r="H44" s="1913">
        <f>IF(SUM(H52,H58)=0,"NO",SUM(H52,H58))</f>
        <v>4518.2991573621384</v>
      </c>
      <c r="I44" s="1913">
        <f>IF(SUM(I52,I58)=0,"NO",SUM(I52,I58))</f>
        <v>41.522971722120722</v>
      </c>
      <c r="J44" s="1913">
        <f>IF(SUM(J52,J58)=0,"NO",SUM(J52,J58))</f>
        <v>0.10838936660793431</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215979.72213803939</v>
      </c>
      <c r="D46" s="3078" t="s">
        <v>1814</v>
      </c>
      <c r="E46" s="628"/>
      <c r="F46" s="628"/>
      <c r="G46" s="628"/>
      <c r="H46" s="1913">
        <f>IF(SUM(H47:H51)=0,"NO",SUM(H47:H51))</f>
        <v>8268.2334551478671</v>
      </c>
      <c r="I46" s="1913">
        <f>IF(SUM(I47:I52)=0,"NO",SUM(I47:I52))</f>
        <v>41.657093819840206</v>
      </c>
      <c r="J46" s="1913">
        <f>IF(SUM(J47:J52)=0,"NO",SUM(J47:J52))</f>
        <v>0.24710594744183001</v>
      </c>
      <c r="K46" s="3085" t="str">
        <f>IF(SUM(K47:K52)=0,"NO",SUM(K47:K52))</f>
        <v>NO</v>
      </c>
    </row>
    <row r="47" spans="2:11" ht="18" customHeight="1" x14ac:dyDescent="0.2">
      <c r="B47" s="282" t="s">
        <v>132</v>
      </c>
      <c r="C47" s="691">
        <v>16287.779539586389</v>
      </c>
      <c r="D47" s="3078" t="s">
        <v>1814</v>
      </c>
      <c r="E47" s="1913">
        <f t="shared" ref="E47:E52" si="17">IFERROR(H47*1000/$C47,"NA")</f>
        <v>60.907368460261019</v>
      </c>
      <c r="F47" s="1913">
        <f t="shared" ref="F47:G52" si="18">IFERROR(I47*1000000/$C47,"NA")</f>
        <v>1.0198382538925479</v>
      </c>
      <c r="G47" s="1913">
        <f t="shared" si="18"/>
        <v>0.62440430951245363</v>
      </c>
      <c r="H47" s="691">
        <v>992.0457898170888</v>
      </c>
      <c r="I47" s="691">
        <v>1.6610900645438548E-2</v>
      </c>
      <c r="J47" s="691">
        <v>1.017015973690651E-2</v>
      </c>
      <c r="K47" s="2911" t="s">
        <v>2146</v>
      </c>
    </row>
    <row r="48" spans="2:11" ht="18" customHeight="1" x14ac:dyDescent="0.2">
      <c r="B48" s="282" t="s">
        <v>133</v>
      </c>
      <c r="C48" s="691">
        <v>42.387853256566792</v>
      </c>
      <c r="D48" s="3078" t="s">
        <v>1814</v>
      </c>
      <c r="E48" s="1913">
        <f t="shared" si="17"/>
        <v>95</v>
      </c>
      <c r="F48" s="1913">
        <f t="shared" si="18"/>
        <v>0.95238095238095222</v>
      </c>
      <c r="G48" s="1913">
        <f t="shared" si="18"/>
        <v>0.66666666666666663</v>
      </c>
      <c r="H48" s="691">
        <v>4.0268460593738453</v>
      </c>
      <c r="I48" s="691">
        <v>4.0369384053873128E-5</v>
      </c>
      <c r="J48" s="691">
        <v>2.8258568837711194E-5</v>
      </c>
      <c r="K48" s="2911" t="s">
        <v>2146</v>
      </c>
    </row>
    <row r="49" spans="2:11" ht="18" customHeight="1" x14ac:dyDescent="0.2">
      <c r="B49" s="282" t="s">
        <v>134</v>
      </c>
      <c r="C49" s="691">
        <v>141400.43509255053</v>
      </c>
      <c r="D49" s="3078" t="s">
        <v>1814</v>
      </c>
      <c r="E49" s="1913">
        <f t="shared" si="17"/>
        <v>51.429550513840866</v>
      </c>
      <c r="F49" s="1913">
        <f t="shared" si="18"/>
        <v>0.90909090909090917</v>
      </c>
      <c r="G49" s="1913">
        <f t="shared" si="18"/>
        <v>0.90909090909090917</v>
      </c>
      <c r="H49" s="691">
        <v>7272.1608192714048</v>
      </c>
      <c r="I49" s="691">
        <v>0.12854585008413685</v>
      </c>
      <c r="J49" s="691">
        <v>0.12854585008413685</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58249.119652645903</v>
      </c>
      <c r="D52" s="3078" t="s">
        <v>1814</v>
      </c>
      <c r="E52" s="1913">
        <f t="shared" si="17"/>
        <v>77.533016823995098</v>
      </c>
      <c r="F52" s="1913">
        <f t="shared" si="18"/>
        <v>712.66135775566079</v>
      </c>
      <c r="G52" s="1913">
        <f t="shared" si="18"/>
        <v>1.8603144510704503</v>
      </c>
      <c r="H52" s="691">
        <v>4516.2299740114986</v>
      </c>
      <c r="I52" s="691">
        <v>41.511896699726577</v>
      </c>
      <c r="J52" s="691">
        <v>0.10836167905194895</v>
      </c>
      <c r="K52" s="2911" t="s">
        <v>2146</v>
      </c>
    </row>
    <row r="53" spans="2:11" ht="18" customHeight="1" x14ac:dyDescent="0.2">
      <c r="B53" s="1242" t="s">
        <v>205</v>
      </c>
      <c r="C53" s="3078">
        <f>IF(SUM(C54:C58)=0,"NO",SUM(C54:C58))</f>
        <v>4144.1558888690497</v>
      </c>
      <c r="D53" s="3078" t="s">
        <v>1814</v>
      </c>
      <c r="E53" s="628"/>
      <c r="F53" s="628"/>
      <c r="G53" s="628"/>
      <c r="H53" s="3078">
        <f>IF(SUM(H54:H57)=0,"NO",SUM(H54:H57))</f>
        <v>277.64211711847292</v>
      </c>
      <c r="I53" s="3078">
        <f>IF(SUM(I54:I58)=0,"NO",SUM(I54:I58))</f>
        <v>0.73929741996494081</v>
      </c>
      <c r="J53" s="3078">
        <f>IF(SUM(J54:J58)=0,"NO",SUM(J54:J58))</f>
        <v>1.6459595505871314E-3</v>
      </c>
      <c r="K53" s="2921"/>
    </row>
    <row r="54" spans="2:11" ht="18" customHeight="1" x14ac:dyDescent="0.2">
      <c r="B54" s="282" t="s">
        <v>132</v>
      </c>
      <c r="C54" s="691">
        <v>4113.391937774195</v>
      </c>
      <c r="D54" s="3078" t="s">
        <v>1814</v>
      </c>
      <c r="E54" s="1913">
        <f t="shared" ref="E54:E58" si="19">IFERROR(H54*1000/$C54,"NA")</f>
        <v>67.497121917516168</v>
      </c>
      <c r="F54" s="1913">
        <f t="shared" ref="F54:G58" si="20">IFERROR(I54*1000000/$C54,"NA")</f>
        <v>177.03695844866238</v>
      </c>
      <c r="G54" s="1913">
        <f t="shared" si="20"/>
        <v>0.39341546321924964</v>
      </c>
      <c r="H54" s="691">
        <v>277.64211711847292</v>
      </c>
      <c r="I54" s="691">
        <v>0.72822239757079299</v>
      </c>
      <c r="J54" s="691">
        <v>1.618271994601762E-3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30.763951094854999</v>
      </c>
      <c r="D58" s="3078" t="s">
        <v>1814</v>
      </c>
      <c r="E58" s="1913">
        <f t="shared" si="19"/>
        <v>67.260000000000034</v>
      </c>
      <c r="F58" s="1913">
        <f t="shared" si="20"/>
        <v>360.00000000000017</v>
      </c>
      <c r="G58" s="1913">
        <f t="shared" si="20"/>
        <v>0.90000000000000036</v>
      </c>
      <c r="H58" s="691">
        <v>2.0691833506399484</v>
      </c>
      <c r="I58" s="691">
        <v>1.1075022394147805E-2</v>
      </c>
      <c r="J58" s="691">
        <v>2.768755598536951E-5</v>
      </c>
      <c r="K58" s="2921"/>
    </row>
    <row r="59" spans="2:11" ht="18" customHeight="1" x14ac:dyDescent="0.2">
      <c r="B59" s="1245" t="s">
        <v>206</v>
      </c>
      <c r="C59" s="3078">
        <f>IF(SUM(C60:C65)=0,"NO",SUM(C60:C65))</f>
        <v>85582.400000000009</v>
      </c>
      <c r="D59" s="3078" t="s">
        <v>1814</v>
      </c>
      <c r="E59" s="628"/>
      <c r="F59" s="628"/>
      <c r="G59" s="628"/>
      <c r="H59" s="1913">
        <f>IF(SUM(H60:H64)=0,"NO",SUM(H60:H64))</f>
        <v>5950.8459902007144</v>
      </c>
      <c r="I59" s="1913">
        <f>IF(SUM(I60:I65)=0,"NO",SUM(I60:I65))</f>
        <v>0.5191838432900433</v>
      </c>
      <c r="J59" s="1913">
        <f>IF(SUM(J60:J65)=0,"NO",SUM(J60:J65))</f>
        <v>0.30910508138528142</v>
      </c>
      <c r="K59" s="3085" t="str">
        <f>IF(SUM(K60:K65)=0,"NO",SUM(K60:K65))</f>
        <v>NO</v>
      </c>
    </row>
    <row r="60" spans="2:11" ht="18" customHeight="1" x14ac:dyDescent="0.2">
      <c r="B60" s="282" t="s">
        <v>132</v>
      </c>
      <c r="C60" s="1913">
        <f>IF(SUM(C67,C74:C77,C84:C87)=0,"NO",SUM(C67,C74:C77,C84:C87))</f>
        <v>85462.400000000009</v>
      </c>
      <c r="D60" s="3078" t="s">
        <v>1814</v>
      </c>
      <c r="E60" s="1913">
        <f t="shared" ref="E60:E65" si="21">IFERROR(H60*1000/$C60,"NA")</f>
        <v>69.558970494626891</v>
      </c>
      <c r="F60" s="1913">
        <f t="shared" ref="F60:G65" si="22">IFERROR(I60*1000000/$C60,"NA")</f>
        <v>6.0737207518271461</v>
      </c>
      <c r="G60" s="1913">
        <f t="shared" si="22"/>
        <v>3.6155782013632951</v>
      </c>
      <c r="H60" s="1913">
        <f>IF(SUM(H67,H74:H77,H84:H87)=0,"NO",SUM(H67,H74:H77,H84:H87))</f>
        <v>5944.6765600000026</v>
      </c>
      <c r="I60" s="1913">
        <f>IF(SUM(I67,I74:I77,I84:I87)=0,"NO",SUM(I67,I74:I77,I84:I87))</f>
        <v>0.51907475238095235</v>
      </c>
      <c r="J60" s="1913">
        <f>IF(SUM(J67,J74:J77,J84:J87)=0,"NO",SUM(J67,J74:J77,J84:J87))</f>
        <v>0.30899599047619053</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120.00000000000003</v>
      </c>
      <c r="D62" s="3078" t="s">
        <v>1814</v>
      </c>
      <c r="E62" s="1913">
        <f t="shared" si="21"/>
        <v>51.411918339265</v>
      </c>
      <c r="F62" s="1913">
        <f t="shared" si="22"/>
        <v>0.90909090909090906</v>
      </c>
      <c r="G62" s="1913">
        <f t="shared" si="22"/>
        <v>0.90909090909090906</v>
      </c>
      <c r="H62" s="1913">
        <f>IF(SUM(H69,H79,H89)=0,"NO",SUM(H69,H79,H89))</f>
        <v>6.1694302007118011</v>
      </c>
      <c r="I62" s="1913">
        <f>IF(SUM(I69,I79,I89)=0,"NO",SUM(I69,I79,I89))</f>
        <v>1.0909090909090911E-4</v>
      </c>
      <c r="J62" s="1913">
        <f>IF(SUM(J69,J79,J89)=0,"NO",SUM(J69,J79,J89))</f>
        <v>1.0909090909090911E-4</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85582.400000000009</v>
      </c>
      <c r="D66" s="3078" t="s">
        <v>1814</v>
      </c>
      <c r="E66" s="2108"/>
      <c r="F66" s="2108"/>
      <c r="G66" s="2108"/>
      <c r="H66" s="1913">
        <f>IF(SUM(H67:H71)=0,"NO",SUM(H67:H71))</f>
        <v>5950.8459902007144</v>
      </c>
      <c r="I66" s="1913">
        <f>IF(SUM(I67:I72)=0,"NO",SUM(I67:I72))</f>
        <v>0.5191838432900433</v>
      </c>
      <c r="J66" s="1913">
        <f>IF(SUM(J67:J72)=0,"NO",SUM(J67:J72))</f>
        <v>0.30910508138528142</v>
      </c>
      <c r="K66" s="3085" t="str">
        <f>IF(SUM(K67:K72)=0,"NO",SUM(K67:K72))</f>
        <v>NO</v>
      </c>
    </row>
    <row r="67" spans="2:11" ht="18" customHeight="1" x14ac:dyDescent="0.2">
      <c r="B67" s="282" t="s">
        <v>132</v>
      </c>
      <c r="C67" s="691">
        <v>85462.400000000009</v>
      </c>
      <c r="D67" s="3078" t="s">
        <v>1814</v>
      </c>
      <c r="E67" s="1913">
        <f t="shared" ref="E67:E72" si="23">IFERROR(H67*1000/$C67,"NA")</f>
        <v>69.558970494626891</v>
      </c>
      <c r="F67" s="1913">
        <f t="shared" ref="F67:G72" si="24">IFERROR(I67*1000000/$C67,"NA")</f>
        <v>6.0737207518271461</v>
      </c>
      <c r="G67" s="1913">
        <f t="shared" si="24"/>
        <v>3.6155782013632951</v>
      </c>
      <c r="H67" s="691">
        <v>5944.6765600000026</v>
      </c>
      <c r="I67" s="691">
        <v>0.51907475238095235</v>
      </c>
      <c r="J67" s="691">
        <v>0.30899599047619053</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120.00000000000003</v>
      </c>
      <c r="D69" s="3078" t="s">
        <v>1814</v>
      </c>
      <c r="E69" s="1913">
        <f t="shared" si="23"/>
        <v>51.411918339265</v>
      </c>
      <c r="F69" s="1913">
        <f t="shared" si="24"/>
        <v>0.90909090909090906</v>
      </c>
      <c r="G69" s="1913">
        <f t="shared" si="24"/>
        <v>0.90909090909090906</v>
      </c>
      <c r="H69" s="691">
        <v>6.1694302007118011</v>
      </c>
      <c r="I69" s="691">
        <v>1.0909090909090911E-4</v>
      </c>
      <c r="J69" s="691">
        <v>1.0909090909090911E-4</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11873.844278731352</v>
      </c>
      <c r="D93" s="3078" t="s">
        <v>1814</v>
      </c>
      <c r="E93" s="2134"/>
      <c r="F93" s="2134"/>
      <c r="G93" s="2134"/>
      <c r="H93" s="3109">
        <f>IF(SUM(H94:H98)=0,"NO",SUM(H94:H98))</f>
        <v>826.77682606361236</v>
      </c>
      <c r="I93" s="3109">
        <f>IF(SUM(I94:I99)=0,"NO",SUM(I94:I99))</f>
        <v>2.8645639946599452E-2</v>
      </c>
      <c r="J93" s="3113">
        <f>IF(SUM(J94:J99)=0,"NO",SUM(J94:J99))</f>
        <v>2.3197127641231184E-2</v>
      </c>
      <c r="K93" s="449" t="str">
        <f>IF(SUM(K94:K99)=0,"NO",SUM(K94:K99))</f>
        <v>NO</v>
      </c>
    </row>
    <row r="94" spans="2:11" ht="18" customHeight="1" x14ac:dyDescent="0.2">
      <c r="B94" s="282" t="s">
        <v>132</v>
      </c>
      <c r="C94" s="691">
        <f>IF(SUM(C102,C110)=0,"NO",SUM(C102,C110))</f>
        <v>11872.676366396963</v>
      </c>
      <c r="D94" s="1913" t="s">
        <v>1814</v>
      </c>
      <c r="E94" s="1913">
        <f t="shared" ref="E94:E99" si="32">IFERROR(H94*1000/$C94,"NA")</f>
        <v>69.636937835147677</v>
      </c>
      <c r="F94" s="1913">
        <f t="shared" ref="F94:G99" si="33">IFERROR(I94*1000000/$C94,"NA")</f>
        <v>2.3347293070231685</v>
      </c>
      <c r="G94" s="1913">
        <f t="shared" si="33"/>
        <v>1.9535295318815005</v>
      </c>
      <c r="H94" s="691">
        <f t="shared" ref="H94:K97" si="34">IF(SUM(H102,H110)=0,"NO",SUM(H102,H110))</f>
        <v>826.77682606361236</v>
      </c>
      <c r="I94" s="691">
        <f t="shared" si="34"/>
        <v>2.7719485465428333E-2</v>
      </c>
      <c r="J94" s="691">
        <f t="shared" si="34"/>
        <v>2.3193623904228015E-2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1.1679123343898099</v>
      </c>
      <c r="D99" s="1913" t="s">
        <v>1814</v>
      </c>
      <c r="E99" s="1913">
        <f t="shared" si="32"/>
        <v>67.260000000000034</v>
      </c>
      <c r="F99" s="1913">
        <f t="shared" si="33"/>
        <v>793.00000000000023</v>
      </c>
      <c r="G99" s="1913">
        <f t="shared" si="33"/>
        <v>3.0000000000000013</v>
      </c>
      <c r="H99" s="691">
        <f>IF(SUM(H107,H114)=0,"NO",SUM(H107,H114))</f>
        <v>7.855378361105865E-2</v>
      </c>
      <c r="I99" s="691">
        <f>IF(SUM(I107,I114)=0,"NO",SUM(I107,I114))</f>
        <v>9.2615448117111955E-4</v>
      </c>
      <c r="J99" s="691">
        <f>IF(SUM(J107,J114)=0,"NO",SUM(J107,J114))</f>
        <v>3.5037370031694308E-6</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11873.844278731352</v>
      </c>
      <c r="D108" s="1913" t="s">
        <v>1814</v>
      </c>
      <c r="E108" s="1931"/>
      <c r="F108" s="1931"/>
      <c r="G108" s="1931"/>
      <c r="H108" s="3078">
        <f>H109</f>
        <v>826.77682606361236</v>
      </c>
      <c r="I108" s="3078">
        <f>I109</f>
        <v>2.8645639946599452E-2</v>
      </c>
      <c r="J108" s="3110">
        <f>J109</f>
        <v>2.3197127641231184E-2</v>
      </c>
      <c r="K108" s="2921"/>
    </row>
    <row r="109" spans="2:11" ht="18" customHeight="1" x14ac:dyDescent="0.2">
      <c r="B109" s="3125" t="s">
        <v>2149</v>
      </c>
      <c r="C109" s="3099">
        <f>IF(SUM(C110:C114)=0,"NO",SUM(C110:C114))</f>
        <v>11873.844278731352</v>
      </c>
      <c r="D109" s="1913" t="s">
        <v>1814</v>
      </c>
      <c r="E109" s="628"/>
      <c r="F109" s="628"/>
      <c r="G109" s="628"/>
      <c r="H109" s="3099">
        <f>IF(SUM(H110:H113)=0,"NO",SUM(H110:H113))</f>
        <v>826.77682606361236</v>
      </c>
      <c r="I109" s="3099">
        <f>IF(SUM(I110:I114)=0,"NO",SUM(I110:I114))</f>
        <v>2.8645639946599452E-2</v>
      </c>
      <c r="J109" s="3099">
        <f>IF(SUM(J110:J114)=0,"NO",SUM(J110:J114))</f>
        <v>2.3197127641231184E-2</v>
      </c>
      <c r="K109" s="2921"/>
    </row>
    <row r="110" spans="2:11" ht="18" customHeight="1" x14ac:dyDescent="0.2">
      <c r="B110" s="282" t="s">
        <v>132</v>
      </c>
      <c r="C110" s="691">
        <v>11872.676366396963</v>
      </c>
      <c r="D110" s="1913" t="s">
        <v>1814</v>
      </c>
      <c r="E110" s="1913">
        <f t="shared" ref="E110:E114" si="37">IFERROR(H110*1000/$C110,"NA")</f>
        <v>69.636937835147677</v>
      </c>
      <c r="F110" s="1913">
        <f t="shared" ref="F110:G114" si="38">IFERROR(I110*1000000/$C110,"NA")</f>
        <v>2.3347293070231685</v>
      </c>
      <c r="G110" s="1913">
        <f t="shared" si="38"/>
        <v>1.9535295318815005</v>
      </c>
      <c r="H110" s="691">
        <v>826.77682606361236</v>
      </c>
      <c r="I110" s="691">
        <v>2.7719485465428333E-2</v>
      </c>
      <c r="J110" s="691">
        <v>2.3193623904228015E-2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1.1679123343898099</v>
      </c>
      <c r="D114" s="2880" t="s">
        <v>1814</v>
      </c>
      <c r="E114" s="2880">
        <f t="shared" si="37"/>
        <v>67.260000000000034</v>
      </c>
      <c r="F114" s="2880">
        <f t="shared" si="38"/>
        <v>793.00000000000023</v>
      </c>
      <c r="G114" s="2880">
        <f t="shared" si="38"/>
        <v>3.0000000000000013</v>
      </c>
      <c r="H114" s="1559">
        <v>7.855378361105865E-2</v>
      </c>
      <c r="I114" s="1559">
        <v>9.2615448117111955E-4</v>
      </c>
      <c r="J114" s="1559">
        <v>3.5037370031694308E-6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977074.64086200006</v>
      </c>
      <c r="G11" s="3361">
        <v>940493.39850000013</v>
      </c>
      <c r="H11" s="3361">
        <v>613741.73649001005</v>
      </c>
      <c r="I11" s="3381"/>
      <c r="J11" s="3361">
        <v>-6726.9481731500127</v>
      </c>
      <c r="K11" s="3369">
        <f t="shared" ref="K11:K28" si="0">IF((SUM(F11:G11)-SUM(H11:J11))=0,"NO",(SUM(F11:G11)-SUM(H11:J11)))</f>
        <v>1310553.2510451402</v>
      </c>
      <c r="L11" s="2577">
        <f>IF(K11="NO","NA",1)</f>
        <v>1</v>
      </c>
      <c r="M11" s="5" t="s">
        <v>1814</v>
      </c>
      <c r="N11" s="3369">
        <f>K11</f>
        <v>1310553.2510451402</v>
      </c>
      <c r="O11" s="3342">
        <v>18.980716253443529</v>
      </c>
      <c r="P11" s="3369">
        <f>IFERROR(N11*O11/1000,"NA")</f>
        <v>24875.239393115753</v>
      </c>
      <c r="Q11" s="3369" t="str">
        <f>'Table1.A(d)'!G11</f>
        <v>NA</v>
      </c>
      <c r="R11" s="3369">
        <f>IF(SUM(P11,-SUM(Q11))=0,"NO",SUM(P11,-SUM(Q11)))</f>
        <v>24875.239393115753</v>
      </c>
      <c r="S11" s="2577">
        <f>IF(R11="NO","NA",1)</f>
        <v>1</v>
      </c>
      <c r="T11" s="3375">
        <f>IF(R11="NO","NO",R11*S11*44/12)</f>
        <v>91209.211108091098</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126080.35500000001</v>
      </c>
      <c r="G13" s="3361" t="s">
        <v>2146</v>
      </c>
      <c r="H13" s="3361" t="s">
        <v>2146</v>
      </c>
      <c r="I13" s="3381"/>
      <c r="J13" s="3361" t="s">
        <v>2146</v>
      </c>
      <c r="K13" s="3369">
        <f t="shared" si="0"/>
        <v>126080.35500000001</v>
      </c>
      <c r="L13" s="2577">
        <f t="shared" si="1"/>
        <v>1</v>
      </c>
      <c r="M13" s="5" t="s">
        <v>1814</v>
      </c>
      <c r="N13" s="3369">
        <f t="shared" si="2"/>
        <v>126080.35500000001</v>
      </c>
      <c r="O13" s="3342">
        <v>16.236330230178861</v>
      </c>
      <c r="P13" s="3369">
        <f t="shared" si="3"/>
        <v>2047.0822793181828</v>
      </c>
      <c r="Q13" s="3369" t="str">
        <f>'Table1.A(d)'!G13</f>
        <v>NA</v>
      </c>
      <c r="R13" s="3369">
        <f>IF(SUM(P13,-SUM(Q13))=0,"NO",SUM(P13,-SUM(Q13)))</f>
        <v>2047.0822793181828</v>
      </c>
      <c r="S13" s="2577">
        <f t="shared" si="4"/>
        <v>1</v>
      </c>
      <c r="T13" s="3375">
        <f t="shared" si="5"/>
        <v>7505.9683575000045</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139790.78999999998</v>
      </c>
      <c r="H15" s="3361">
        <v>10193.3899</v>
      </c>
      <c r="I15" s="3361" t="s">
        <v>2146</v>
      </c>
      <c r="J15" s="3361">
        <v>4143.8317646666683</v>
      </c>
      <c r="K15" s="3369">
        <f t="shared" si="0"/>
        <v>125453.56833533332</v>
      </c>
      <c r="L15" s="2577">
        <f>IF(K15="NO","NA",1)</f>
        <v>1</v>
      </c>
      <c r="M15" s="5" t="s">
        <v>1814</v>
      </c>
      <c r="N15" s="3369">
        <f t="shared" si="2"/>
        <v>125453.56833533332</v>
      </c>
      <c r="O15" s="3342">
        <v>18.38324844783974</v>
      </c>
      <c r="P15" s="3369">
        <f t="shared" si="3"/>
        <v>2306.244115376473</v>
      </c>
      <c r="Q15" s="3369" t="str">
        <f>'Table1.A(d)'!G15</f>
        <v>NA</v>
      </c>
      <c r="R15" s="3369">
        <f>IF(SUM(P15,-SUM(Q15))=0,"NO",SUM(P15,-SUM(Q15)))</f>
        <v>2306.244115376473</v>
      </c>
      <c r="S15" s="2577">
        <f>IF(R15="NO","NA",1)</f>
        <v>1</v>
      </c>
      <c r="T15" s="3375">
        <f>IF(R15="NO","NO",R15*S15*44/12)</f>
        <v>8456.2284230470668</v>
      </c>
    </row>
    <row r="16" spans="2:20" ht="18" customHeight="1" x14ac:dyDescent="0.2">
      <c r="B16" s="1727"/>
      <c r="C16" s="1567"/>
      <c r="D16" s="36" t="s">
        <v>178</v>
      </c>
      <c r="E16" s="2575" t="s">
        <v>2150</v>
      </c>
      <c r="F16" s="3382"/>
      <c r="G16" s="3361">
        <v>74573.433600000004</v>
      </c>
      <c r="H16" s="3361">
        <v>3913.5328</v>
      </c>
      <c r="I16" s="3361">
        <v>136121.02879999997</v>
      </c>
      <c r="J16" s="3361">
        <v>399.02111519999863</v>
      </c>
      <c r="K16" s="3369">
        <f t="shared" si="0"/>
        <v>-65860.149115199965</v>
      </c>
      <c r="L16" s="2577">
        <f t="shared" ref="L16:L28" si="6">IF(K16="NO","NA",1)</f>
        <v>1</v>
      </c>
      <c r="M16" s="5" t="s">
        <v>1814</v>
      </c>
      <c r="N16" s="3369">
        <f t="shared" si="2"/>
        <v>-65860.149115199965</v>
      </c>
      <c r="O16" s="3342">
        <v>18.981818181818181</v>
      </c>
      <c r="P16" s="3369">
        <f t="shared" si="3"/>
        <v>-1250.1453759321594</v>
      </c>
      <c r="Q16" s="3369" t="str">
        <f>'Table1.A(d)'!G16</f>
        <v>NA</v>
      </c>
      <c r="R16" s="3369">
        <f t="shared" ref="R16:R44" si="7">IF(SUM(P16,-SUM(Q16))=0,"NO",SUM(P16,-SUM(Q16)))</f>
        <v>-1250.1453759321594</v>
      </c>
      <c r="S16" s="2577">
        <f t="shared" ref="S16:S28" si="8">IF(R16="NO","NA",1)</f>
        <v>1</v>
      </c>
      <c r="T16" s="3375">
        <f t="shared" ref="T16:T28" si="9">IF(R16="NO","NO",R16*S16*44/12)</f>
        <v>-4583.866378417918</v>
      </c>
    </row>
    <row r="17" spans="2:20" ht="18" customHeight="1" x14ac:dyDescent="0.2">
      <c r="B17" s="1727"/>
      <c r="C17" s="1567"/>
      <c r="D17" s="36" t="s">
        <v>247</v>
      </c>
      <c r="E17" s="2575" t="s">
        <v>2150</v>
      </c>
      <c r="F17" s="3381"/>
      <c r="G17" s="3361" t="s">
        <v>2146</v>
      </c>
      <c r="H17" s="3361" t="s">
        <v>2146</v>
      </c>
      <c r="I17" s="3361" t="s">
        <v>2146</v>
      </c>
      <c r="J17" s="3361">
        <v>-0.61380000000000001</v>
      </c>
      <c r="K17" s="3369">
        <f t="shared" si="0"/>
        <v>0.61380000000000001</v>
      </c>
      <c r="L17" s="2577">
        <f t="shared" si="6"/>
        <v>1</v>
      </c>
      <c r="M17" s="5" t="s">
        <v>1814</v>
      </c>
      <c r="N17" s="3369">
        <f t="shared" si="2"/>
        <v>0.61380000000000001</v>
      </c>
      <c r="O17" s="3342">
        <v>18.790909090909089</v>
      </c>
      <c r="P17" s="3369">
        <f t="shared" si="3"/>
        <v>1.1533859999999998E-2</v>
      </c>
      <c r="Q17" s="3369" t="str">
        <f>'Table1.A(d)'!G17</f>
        <v>NA</v>
      </c>
      <c r="R17" s="3369">
        <f t="shared" si="7"/>
        <v>1.1533859999999998E-2</v>
      </c>
      <c r="S17" s="2577">
        <f t="shared" si="8"/>
        <v>1</v>
      </c>
      <c r="T17" s="3375">
        <f t="shared" si="9"/>
        <v>4.229082E-2</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318291.35399999999</v>
      </c>
      <c r="H19" s="3361">
        <v>13789.695599999999</v>
      </c>
      <c r="I19" s="3361">
        <v>2480</v>
      </c>
      <c r="J19" s="3361">
        <v>973.41593439999463</v>
      </c>
      <c r="K19" s="3369">
        <f t="shared" si="0"/>
        <v>301048.24246560002</v>
      </c>
      <c r="L19" s="2577">
        <f t="shared" si="6"/>
        <v>1</v>
      </c>
      <c r="M19" s="5" t="s">
        <v>1814</v>
      </c>
      <c r="N19" s="3369">
        <f t="shared" si="2"/>
        <v>301048.24246560002</v>
      </c>
      <c r="O19" s="3342">
        <v>19.06363636363637</v>
      </c>
      <c r="P19" s="3369">
        <f t="shared" si="3"/>
        <v>5739.0742222760309</v>
      </c>
      <c r="Q19" s="3369" t="str">
        <f>'Table1.A(d)'!G19</f>
        <v>NA</v>
      </c>
      <c r="R19" s="3369">
        <f t="shared" si="7"/>
        <v>5739.0742222760309</v>
      </c>
      <c r="S19" s="2577">
        <f t="shared" si="8"/>
        <v>1</v>
      </c>
      <c r="T19" s="3375">
        <f t="shared" si="9"/>
        <v>21043.272148345448</v>
      </c>
    </row>
    <row r="20" spans="2:20" ht="18" customHeight="1" x14ac:dyDescent="0.2">
      <c r="B20" s="1727"/>
      <c r="C20" s="1567"/>
      <c r="D20" s="36" t="s">
        <v>190</v>
      </c>
      <c r="E20" s="2575" t="s">
        <v>2150</v>
      </c>
      <c r="F20" s="3381"/>
      <c r="G20" s="3361">
        <v>66782.426900000006</v>
      </c>
      <c r="H20" s="3361">
        <v>7474.2395999999999</v>
      </c>
      <c r="I20" s="3361">
        <v>34519.999999999993</v>
      </c>
      <c r="J20" s="3361">
        <v>374.96655625000017</v>
      </c>
      <c r="K20" s="3369">
        <f t="shared" si="0"/>
        <v>24413.220743750011</v>
      </c>
      <c r="L20" s="2577">
        <f t="shared" si="6"/>
        <v>1</v>
      </c>
      <c r="M20" s="5" t="s">
        <v>1814</v>
      </c>
      <c r="N20" s="3369">
        <f t="shared" si="2"/>
        <v>24413.220743750011</v>
      </c>
      <c r="O20" s="3342">
        <v>20.072727272727271</v>
      </c>
      <c r="P20" s="3369">
        <f t="shared" si="3"/>
        <v>490.03992183818195</v>
      </c>
      <c r="Q20" s="3369" t="str">
        <f>'Table1.A(d)'!G20</f>
        <v>NA</v>
      </c>
      <c r="R20" s="3369">
        <f t="shared" si="7"/>
        <v>490.03992183818195</v>
      </c>
      <c r="S20" s="2577">
        <f t="shared" si="8"/>
        <v>1</v>
      </c>
      <c r="T20" s="3375">
        <f t="shared" si="9"/>
        <v>1796.8130467400006</v>
      </c>
    </row>
    <row r="21" spans="2:20" ht="18" customHeight="1" x14ac:dyDescent="0.2">
      <c r="B21" s="1727"/>
      <c r="C21" s="1567"/>
      <c r="D21" s="36" t="s">
        <v>169</v>
      </c>
      <c r="E21" s="2575" t="s">
        <v>2150</v>
      </c>
      <c r="F21" s="3381"/>
      <c r="G21" s="3361">
        <v>25740.760200000001</v>
      </c>
      <c r="H21" s="3361">
        <v>65742.36716139999</v>
      </c>
      <c r="I21" s="3381"/>
      <c r="J21" s="3361">
        <v>632.42219600000033</v>
      </c>
      <c r="K21" s="3369">
        <f t="shared" si="0"/>
        <v>-40634.029157399986</v>
      </c>
      <c r="L21" s="2577">
        <f t="shared" si="6"/>
        <v>1</v>
      </c>
      <c r="M21" s="5" t="s">
        <v>1814</v>
      </c>
      <c r="N21" s="3369">
        <f t="shared" si="2"/>
        <v>-40634.029157399986</v>
      </c>
      <c r="O21" s="3342">
        <v>16.418181818181822</v>
      </c>
      <c r="P21" s="3369">
        <f t="shared" si="3"/>
        <v>-667.13687871149455</v>
      </c>
      <c r="Q21" s="3369" t="str">
        <f>'Table1.A(d)'!G21</f>
        <v>NA</v>
      </c>
      <c r="R21" s="3369">
        <f t="shared" si="7"/>
        <v>-667.13687871149455</v>
      </c>
      <c r="S21" s="2577">
        <f t="shared" si="8"/>
        <v>1</v>
      </c>
      <c r="T21" s="3375">
        <f t="shared" si="9"/>
        <v>-2446.1685552754802</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349.7925580909091</v>
      </c>
      <c r="R22" s="3369">
        <f t="shared" si="7"/>
        <v>-349.7925580909091</v>
      </c>
      <c r="S22" s="2577">
        <f t="shared" si="8"/>
        <v>1</v>
      </c>
      <c r="T22" s="3375">
        <f t="shared" si="9"/>
        <v>-1282.572713</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16566.8976</v>
      </c>
      <c r="H24" s="3361" t="s">
        <v>2146</v>
      </c>
      <c r="I24" s="3381"/>
      <c r="J24" s="3361">
        <v>-336.00252816666682</v>
      </c>
      <c r="K24" s="3369">
        <f t="shared" si="0"/>
        <v>16902.900128166668</v>
      </c>
      <c r="L24" s="2577">
        <f t="shared" si="6"/>
        <v>1</v>
      </c>
      <c r="M24" s="5" t="s">
        <v>1814</v>
      </c>
      <c r="N24" s="3369">
        <f t="shared" si="2"/>
        <v>16902.900128166668</v>
      </c>
      <c r="O24" s="3342">
        <v>22.009090909090911</v>
      </c>
      <c r="P24" s="3369">
        <f t="shared" si="3"/>
        <v>372.01746554810461</v>
      </c>
      <c r="Q24" s="3369">
        <f>'Table1.A(d)'!G24</f>
        <v>783.43339909090912</v>
      </c>
      <c r="R24" s="3369">
        <f t="shared" si="7"/>
        <v>-411.41593354280451</v>
      </c>
      <c r="S24" s="2577">
        <f t="shared" si="8"/>
        <v>1</v>
      </c>
      <c r="T24" s="3375">
        <f t="shared" si="9"/>
        <v>-1508.5250896569498</v>
      </c>
    </row>
    <row r="25" spans="2:20" ht="18" customHeight="1" x14ac:dyDescent="0.2">
      <c r="B25" s="1727"/>
      <c r="C25" s="1567"/>
      <c r="D25" s="36" t="s">
        <v>252</v>
      </c>
      <c r="E25" s="2575" t="s">
        <v>2150</v>
      </c>
      <c r="F25" s="3381"/>
      <c r="G25" s="3361">
        <v>14300.399599999999</v>
      </c>
      <c r="H25" s="3361">
        <v>7089.6135999999988</v>
      </c>
      <c r="I25" s="3361" t="s">
        <v>2146</v>
      </c>
      <c r="J25" s="3361">
        <v>140.47208921666683</v>
      </c>
      <c r="K25" s="3369">
        <f t="shared" si="0"/>
        <v>7070.3139107833331</v>
      </c>
      <c r="L25" s="2577">
        <f t="shared" si="6"/>
        <v>1</v>
      </c>
      <c r="M25" s="5" t="s">
        <v>1814</v>
      </c>
      <c r="N25" s="3369">
        <f t="shared" si="2"/>
        <v>7070.3139107833331</v>
      </c>
      <c r="O25" s="3342">
        <v>18.991363636363641</v>
      </c>
      <c r="P25" s="3369">
        <f t="shared" si="3"/>
        <v>134.27490250292658</v>
      </c>
      <c r="Q25" s="3369">
        <f>'Table1.A(d)'!G25</f>
        <v>323.21971513636367</v>
      </c>
      <c r="R25" s="3369">
        <f t="shared" si="7"/>
        <v>-188.9448126334371</v>
      </c>
      <c r="S25" s="2577">
        <f t="shared" si="8"/>
        <v>1</v>
      </c>
      <c r="T25" s="3375">
        <f t="shared" si="9"/>
        <v>-692.79764632260265</v>
      </c>
    </row>
    <row r="26" spans="2:20" ht="18" customHeight="1" x14ac:dyDescent="0.2">
      <c r="B26" s="1727"/>
      <c r="C26" s="1567"/>
      <c r="D26" s="36" t="s">
        <v>253</v>
      </c>
      <c r="E26" s="2575" t="s">
        <v>2150</v>
      </c>
      <c r="F26" s="3381"/>
      <c r="G26" s="3361">
        <v>27743.362886108236</v>
      </c>
      <c r="H26" s="3361" t="s">
        <v>2146</v>
      </c>
      <c r="I26" s="3381"/>
      <c r="J26" s="3361" t="s">
        <v>2146</v>
      </c>
      <c r="K26" s="3369">
        <f t="shared" si="0"/>
        <v>27743.362886108236</v>
      </c>
      <c r="L26" s="2577">
        <f t="shared" si="6"/>
        <v>1</v>
      </c>
      <c r="M26" s="5" t="s">
        <v>1814</v>
      </c>
      <c r="N26" s="3369">
        <f t="shared" si="2"/>
        <v>27743.362886108236</v>
      </c>
      <c r="O26" s="3342">
        <v>25.26136363636364</v>
      </c>
      <c r="P26" s="3369">
        <f t="shared" si="3"/>
        <v>700.83517836157523</v>
      </c>
      <c r="Q26" s="3369">
        <f>'Table1.A(d)'!G26</f>
        <v>700.83517836157512</v>
      </c>
      <c r="R26" s="3369">
        <f t="shared" si="7"/>
        <v>1.1368683772161603E-13</v>
      </c>
      <c r="S26" s="2577">
        <f t="shared" si="8"/>
        <v>1</v>
      </c>
      <c r="T26" s="3375">
        <f t="shared" si="9"/>
        <v>4.1685173831259209E-13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65401.582169600006</v>
      </c>
      <c r="H28" s="3361">
        <v>1591.0688000000002</v>
      </c>
      <c r="I28" s="3381"/>
      <c r="J28" s="3361">
        <v>-2962.5830266333314</v>
      </c>
      <c r="K28" s="3369">
        <f t="shared" si="0"/>
        <v>66773.096396233334</v>
      </c>
      <c r="L28" s="2577">
        <f t="shared" si="6"/>
        <v>1</v>
      </c>
      <c r="M28" s="5" t="s">
        <v>1814</v>
      </c>
      <c r="N28" s="3369">
        <f t="shared" si="2"/>
        <v>66773.096396233334</v>
      </c>
      <c r="O28" s="3342">
        <v>19.03636901661795</v>
      </c>
      <c r="P28" s="3369">
        <f t="shared" si="3"/>
        <v>1271.1173033808998</v>
      </c>
      <c r="Q28" s="3369">
        <f>'Table1.A(d)'!G28</f>
        <v>468.91028502545453</v>
      </c>
      <c r="R28" s="3369">
        <f t="shared" si="7"/>
        <v>802.20701835544526</v>
      </c>
      <c r="S28" s="2577">
        <f t="shared" si="8"/>
        <v>1</v>
      </c>
      <c r="T28" s="3375">
        <f t="shared" si="9"/>
        <v>2941.4257339699657</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1899544.7464385151</v>
      </c>
      <c r="O31" s="3364"/>
      <c r="P31" s="3371">
        <f>SUM(P11:P29)</f>
        <v>36018.654060934474</v>
      </c>
      <c r="Q31" s="3371">
        <f>SUM(Q11:Q29)</f>
        <v>2626.1911357052113</v>
      </c>
      <c r="R31" s="3369">
        <f t="shared" si="7"/>
        <v>33392.462925229265</v>
      </c>
      <c r="S31" s="2578"/>
      <c r="T31" s="3377">
        <f>SUM(T11:T29)</f>
        <v>122439.03072584064</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8945139.7653227001</v>
      </c>
      <c r="G35" s="3361" t="s">
        <v>2146</v>
      </c>
      <c r="H35" s="3361">
        <v>7410600</v>
      </c>
      <c r="I35" s="3361" t="s">
        <v>2146</v>
      </c>
      <c r="J35" s="3361">
        <v>-5500</v>
      </c>
      <c r="K35" s="3369">
        <f t="shared" si="10"/>
        <v>1540039.7653227001</v>
      </c>
      <c r="L35" s="2577">
        <f t="shared" si="11"/>
        <v>1</v>
      </c>
      <c r="M35" s="55" t="s">
        <v>1814</v>
      </c>
      <c r="N35" s="3369">
        <f t="shared" si="12"/>
        <v>1540039.7653227001</v>
      </c>
      <c r="O35" s="3342">
        <v>24.4216727171004</v>
      </c>
      <c r="P35" s="3369">
        <f t="shared" si="13"/>
        <v>37610.347120031089</v>
      </c>
      <c r="Q35" s="3369">
        <f>'Table1.A(d)'!G35</f>
        <v>645.62195781818184</v>
      </c>
      <c r="R35" s="3369">
        <f t="shared" si="7"/>
        <v>36964.725162212904</v>
      </c>
      <c r="S35" s="2577">
        <f t="shared" si="14"/>
        <v>1</v>
      </c>
      <c r="T35" s="3375">
        <f t="shared" si="15"/>
        <v>135537.32559478065</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661063.20152587397</v>
      </c>
      <c r="G37" s="3361" t="s">
        <v>2146</v>
      </c>
      <c r="H37" s="3361" t="s">
        <v>2146</v>
      </c>
      <c r="I37" s="3381"/>
      <c r="J37" s="3361">
        <v>-78700</v>
      </c>
      <c r="K37" s="3369">
        <f t="shared" si="10"/>
        <v>739763.20152587397</v>
      </c>
      <c r="L37" s="2577">
        <f t="shared" si="11"/>
        <v>1</v>
      </c>
      <c r="M37" s="55" t="s">
        <v>1814</v>
      </c>
      <c r="N37" s="3369">
        <f t="shared" si="12"/>
        <v>739763.20152587397</v>
      </c>
      <c r="O37" s="3342">
        <v>25.32522644468148</v>
      </c>
      <c r="P37" s="3369">
        <f t="shared" si="13"/>
        <v>18734.670594085299</v>
      </c>
      <c r="Q37" s="3369" t="str">
        <f>'Table1.A(d)'!G37</f>
        <v>NO</v>
      </c>
      <c r="R37" s="3369">
        <f t="shared" si="7"/>
        <v>18734.670594085299</v>
      </c>
      <c r="S37" s="2577">
        <f t="shared" si="14"/>
        <v>1</v>
      </c>
      <c r="T37" s="3375">
        <f t="shared" si="15"/>
        <v>68693.792178312768</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200</v>
      </c>
      <c r="H41" s="3361" t="s">
        <v>2146</v>
      </c>
      <c r="I41" s="3381"/>
      <c r="J41" s="3361">
        <v>6000</v>
      </c>
      <c r="K41" s="3369">
        <f t="shared" si="16"/>
        <v>-5800</v>
      </c>
      <c r="L41" s="2577">
        <f t="shared" si="17"/>
        <v>1</v>
      </c>
      <c r="M41" s="55" t="s">
        <v>1814</v>
      </c>
      <c r="N41" s="3369">
        <f t="shared" si="18"/>
        <v>-5800</v>
      </c>
      <c r="O41" s="3342">
        <v>29.51209855742939</v>
      </c>
      <c r="P41" s="3369">
        <f t="shared" si="19"/>
        <v>-171.17017163309046</v>
      </c>
      <c r="Q41" s="3369">
        <f>'Table1.A(d)'!G41</f>
        <v>1770.7478802204926</v>
      </c>
      <c r="R41" s="3369">
        <f t="shared" si="7"/>
        <v>-1941.9180518535829</v>
      </c>
      <c r="S41" s="2577">
        <f t="shared" si="20"/>
        <v>1</v>
      </c>
      <c r="T41" s="3375">
        <f t="shared" si="21"/>
        <v>-7120.3661901298037</v>
      </c>
    </row>
    <row r="42" spans="2:20" ht="18" customHeight="1" x14ac:dyDescent="0.2">
      <c r="B42" s="1727"/>
      <c r="C42" s="1568"/>
      <c r="D42" s="31" t="s">
        <v>267</v>
      </c>
      <c r="E42" s="2575" t="s">
        <v>2150</v>
      </c>
      <c r="F42" s="3381"/>
      <c r="G42" s="3361" t="s">
        <v>2146</v>
      </c>
      <c r="H42" s="3361" t="s">
        <v>2146</v>
      </c>
      <c r="I42" s="3381"/>
      <c r="J42" s="3361">
        <v>-2200</v>
      </c>
      <c r="K42" s="3369">
        <f t="shared" si="16"/>
        <v>2200</v>
      </c>
      <c r="L42" s="2577">
        <f t="shared" si="17"/>
        <v>1</v>
      </c>
      <c r="M42" s="55" t="s">
        <v>1814</v>
      </c>
      <c r="N42" s="3369">
        <f t="shared" si="18"/>
        <v>2200</v>
      </c>
      <c r="O42" s="3342">
        <v>22.309090909090909</v>
      </c>
      <c r="P42" s="3369">
        <f t="shared" si="19"/>
        <v>49.08</v>
      </c>
      <c r="Q42" s="3369">
        <f>'Table1.A(d)'!G42</f>
        <v>167.34989234444637</v>
      </c>
      <c r="R42" s="3369">
        <f t="shared" si="7"/>
        <v>-118.26989234444638</v>
      </c>
      <c r="S42" s="2577">
        <f t="shared" si="20"/>
        <v>1</v>
      </c>
      <c r="T42" s="3375">
        <f t="shared" si="21"/>
        <v>-433.65627192963672</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2276202.9668485741</v>
      </c>
      <c r="O45" s="3364"/>
      <c r="P45" s="3371">
        <f>SUM(P33:P43)</f>
        <v>56222.927542483296</v>
      </c>
      <c r="Q45" s="3371">
        <f>SUM(Q33:Q43)</f>
        <v>2583.7197303831208</v>
      </c>
      <c r="R45" s="3371">
        <f>SUM(R33:R43)</f>
        <v>53639.207812100176</v>
      </c>
      <c r="S45" s="41"/>
      <c r="T45" s="3377">
        <f>SUM(T33:T43)</f>
        <v>196677.09531103395</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1925306.4387703207</v>
      </c>
      <c r="G47" s="3361">
        <v>242337.64304099997</v>
      </c>
      <c r="H47" s="3361">
        <v>838297.132238816</v>
      </c>
      <c r="I47" s="3361" t="s">
        <v>2146</v>
      </c>
      <c r="J47" s="3361">
        <v>99246.735496975365</v>
      </c>
      <c r="K47" s="3369">
        <f t="shared" ref="K47" si="22">IF((SUM(F47:G47)-SUM(H47:J47))=0,"NO",(SUM(F47:G47)-SUM(H47:J47)))</f>
        <v>1230100.214075529</v>
      </c>
      <c r="L47" s="2577">
        <f t="shared" ref="L47" si="23">IF(K47="NO","NA",1)</f>
        <v>1</v>
      </c>
      <c r="M47" s="55" t="s">
        <v>1814</v>
      </c>
      <c r="N47" s="3369">
        <f t="shared" ref="N47" si="24">K47</f>
        <v>1230100.214075529</v>
      </c>
      <c r="O47" s="3342">
        <v>14.011049239008599</v>
      </c>
      <c r="P47" s="3369">
        <f t="shared" ref="P47" si="25">IFERROR(N47*O47/1000,"NA")</f>
        <v>17234.994668327257</v>
      </c>
      <c r="Q47" s="3369">
        <f>'Table1.A(d)'!G47</f>
        <v>547.39808505008659</v>
      </c>
      <c r="R47" s="3369">
        <f t="shared" ref="R47" si="26">IF(SUM(P47,-SUM(Q47))=0,"NO",SUM(P47,-SUM(Q47)))</f>
        <v>16687.596583277169</v>
      </c>
      <c r="S47" s="2577">
        <f t="shared" ref="S47" si="27">IF(R47="NO","NA",1)</f>
        <v>1</v>
      </c>
      <c r="T47" s="3375">
        <f t="shared" ref="T47" si="28">IF(R47="NO","NO",R47*S47*44/12)</f>
        <v>61187.854138682953</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1230100.214075529</v>
      </c>
      <c r="O50" s="3366"/>
      <c r="P50" s="3371">
        <f>SUM(P47:P48)</f>
        <v>17234.994668327257</v>
      </c>
      <c r="Q50" s="3371">
        <f>SUM(Q47:Q48)</f>
        <v>547.39808505008659</v>
      </c>
      <c r="R50" s="3371">
        <f>SUM(R47:R48)</f>
        <v>16687.596583277169</v>
      </c>
      <c r="S50" s="2354"/>
      <c r="T50" s="3377">
        <f>SUM(T47:T48)</f>
        <v>61187.854138682953</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5405847.927362618</v>
      </c>
      <c r="O55" s="3367"/>
      <c r="P55" s="3373">
        <f>SUM(P31,P45,P50,P54)</f>
        <v>109476.57627174503</v>
      </c>
      <c r="Q55" s="3373">
        <f>SUM(Q31,Q45,Q50,Q54)</f>
        <v>5757.3089511384187</v>
      </c>
      <c r="R55" s="3373">
        <f>SUM(R31,R45,R50,R54)</f>
        <v>103719.2673206066</v>
      </c>
      <c r="S55" s="2374"/>
      <c r="T55" s="3379">
        <f>SUM(T31,T45,T50,T54)</f>
        <v>380303.98017555755</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1899.5447464385152</v>
      </c>
      <c r="D10" s="4136">
        <f>C10-'Table1.A(d)'!E31/1000</f>
        <v>1769.8185507405426</v>
      </c>
      <c r="E10" s="4135">
        <f>'Table1.A(b)'!T31</f>
        <v>122439.03072584064</v>
      </c>
      <c r="F10" s="4135">
        <f>'Table1.A(a)s1'!C11/1000</f>
        <v>1739.8624901819446</v>
      </c>
      <c r="G10" s="4135">
        <f>'Table1.A(a)s1'!H11</f>
        <v>118639.00376488082</v>
      </c>
      <c r="H10" s="4135">
        <f>100*((D10-F10)/F10)</f>
        <v>1.7217487432277108</v>
      </c>
      <c r="I10" s="4137">
        <f>100*((E10-G10)/G10)</f>
        <v>3.2030165800201127</v>
      </c>
      <c r="L10"/>
    </row>
    <row r="11" spans="2:12" ht="18" customHeight="1" x14ac:dyDescent="0.2">
      <c r="B11" s="50" t="s">
        <v>299</v>
      </c>
      <c r="C11" s="4135">
        <f>'Table1.A(b)'!N45/1000</f>
        <v>2276.2029668485743</v>
      </c>
      <c r="D11" s="4135">
        <f>C11-'Table1.A(d)'!E45/1000</f>
        <v>2182.0018053153344</v>
      </c>
      <c r="E11" s="4135">
        <f>'Table1.A(b)'!T45</f>
        <v>196677.09531103395</v>
      </c>
      <c r="F11" s="4135">
        <f>'Table1.A(a)s1'!C12/1000</f>
        <v>2178.8715172176558</v>
      </c>
      <c r="G11" s="4135">
        <f>'Table1.A(a)s1'!H12</f>
        <v>196909.12448969475</v>
      </c>
      <c r="H11" s="4135">
        <f t="shared" ref="H11:H13" si="0">100*((D11-F11)/F11)</f>
        <v>0.14366556600253</v>
      </c>
      <c r="I11" s="4137">
        <f t="shared" ref="I11:I13" si="1">100*((E11-G11)/G11)</f>
        <v>-0.11783566620496694</v>
      </c>
      <c r="L11"/>
    </row>
    <row r="12" spans="2:12" ht="18" customHeight="1" x14ac:dyDescent="0.2">
      <c r="B12" s="50" t="s">
        <v>300</v>
      </c>
      <c r="C12" s="4135">
        <f>'Table1.A(b)'!N50/1000</f>
        <v>1230.100214075529</v>
      </c>
      <c r="D12" s="4135">
        <f>C12-'Table1.A(d)'!E50/1000</f>
        <v>1191.0601164350289</v>
      </c>
      <c r="E12" s="4135">
        <f>'Table1.A(b)'!T50</f>
        <v>61187.854138682953</v>
      </c>
      <c r="F12" s="4135">
        <f>'Table1.A(a)s1'!C13/1000</f>
        <v>1178.2463266340619</v>
      </c>
      <c r="G12" s="4135">
        <f>'Table1.A(a)s1'!H13</f>
        <v>60431.219530047412</v>
      </c>
      <c r="H12" s="4135">
        <f t="shared" si="0"/>
        <v>1.0875306386545351</v>
      </c>
      <c r="I12" s="4137">
        <f t="shared" si="1"/>
        <v>1.2520591418138256</v>
      </c>
      <c r="L12"/>
    </row>
    <row r="13" spans="2:12" ht="18" customHeight="1" x14ac:dyDescent="0.2">
      <c r="B13" s="50" t="s">
        <v>275</v>
      </c>
      <c r="C13" s="4135">
        <f>'Table1.A(b)'!N54/1000</f>
        <v>0</v>
      </c>
      <c r="D13" s="4135">
        <f>C13-SUM('Table1.A(d)'!E54)/1000</f>
        <v>0</v>
      </c>
      <c r="E13" s="4135">
        <f>'Table1.A(b)'!T54</f>
        <v>0</v>
      </c>
      <c r="F13" s="4135">
        <f>'Table1.A(a)s1'!C14/1000</f>
        <v>4.8584380487302061</v>
      </c>
      <c r="G13" s="4135">
        <f>'Table1.A(a)s1'!H14</f>
        <v>436.95150897192406</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5405.847927362619</v>
      </c>
      <c r="D15" s="4138">
        <f>SUM(D10:D14)</f>
        <v>5142.880472490906</v>
      </c>
      <c r="E15" s="4138">
        <f>SUM(E10:E14)</f>
        <v>380303.98017555755</v>
      </c>
      <c r="F15" s="4138">
        <f>SUM(F10:F14)</f>
        <v>5101.8387720823921</v>
      </c>
      <c r="G15" s="4138">
        <f>SUM(G10:G14)</f>
        <v>376416.29929359484</v>
      </c>
      <c r="H15" s="4139">
        <f t="shared" ref="H15" si="2">100*((D15-F15)/F15)</f>
        <v>0.80444918473505722</v>
      </c>
      <c r="I15" s="4140">
        <f t="shared" ref="I15" si="3">100*((E15-G15)/G15)</f>
        <v>1.0328141712403414</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65A6A4C7-21E9-4250-A7FE-66BD3AA4D570}"/>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