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755D08BB-29AB-41EF-9487-BEE012D0F001}" xr6:coauthVersionLast="47" xr6:coauthVersionMax="47" xr10:uidLastSave="{00000000-0000-0000-0000-000000000000}"/>
  <bookViews>
    <workbookView xWindow="1560" yWindow="1560" windowWidth="8370" windowHeight="706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<sst xmlns="http://schemas.openxmlformats.org/spreadsheetml/2006/main" count="19155" uniqueCount="2523">
  <si>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</si>
  <si>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</si>
  <si>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</si>
  <si>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</si>
  <si>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</si>
  <si>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</si>
  <si>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</si>
  <si>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</si>
  <si>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</si>
  <si>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</si>
  <si>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</si>
  <si>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</si>
  <si>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</si>
  <si>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</si>
  <si>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</si>
  <si>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</si>
  <si>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</si>
  <si>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</si>
  <si>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</si>
  <si>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</si>
  <si>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</si>
  <si>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</si>
  <si>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</si>
  <si>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</si>
  <si>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</si>
  <si>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</si>
  <si>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</si>
  <si>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</si>
  <si>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</si>
  <si>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</si>
  <si>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</si>
  <si>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</si>
  <si>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</si>
  <si>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</si>
  <si>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</si>
  <si>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</si>
  <si>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</si>
  <si>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</si>
  <si>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</si>
  <si>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</si>
  <si>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</si>
  <si>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</si>
  <si>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</si>
  <si>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</si>
  <si>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</si>
  <si>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</si>
  <si>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</si>
  <si>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</si>
  <si>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</si>
  <si>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</si>
  <si>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</si>
  <si>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</si>
  <si>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</si>
  <si>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</si>
  <si>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</si>
  <si>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</si>
  <si>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</si>
  <si>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</si>
  <si>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</si>
  <si>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</si>
  <si>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</si>
  <si>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</si>
  <si>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</si>
  <si>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</si>
  <si>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</si>
  <si>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</si>
  <si>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</si>
  <si>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</si>
  <si>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</si>
  <si>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</si>
  <si>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</si>
  <si>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</si>
  <si>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</si>
  <si>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</si>
  <si>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</si>
  <si>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</si>
  <si>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</si>
  <si>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</si>
  <si>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</si>
  <si>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</si>
  <si>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</si>
  <si>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</si>
  <si>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</si>
  <si>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</si>
  <si>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</si>
  <si>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</si>
  <si>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</si>
  <si>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</si>
  <si>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</si>
  <si>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</si>
  <si>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</si>
  <si>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</si>
  <si>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</si>
  <si>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</si>
  <si>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</si>
  <si>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</si>
  <si>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</si>
  <si>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</si>
  <si>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</si>
  <si>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</si>
  <si>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</si>
  <si>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</si>
  <si>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</si>
  <si>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</si>
  <si>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</si>
  <si>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</si>
  <si>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</si>
  <si>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</si>
  <si>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</si>
  <si>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</si>
  <si>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</si>
  <si>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</si>
  <si>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</si>
  <si>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</si>
  <si>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</si>
  <si>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</si>
  <si>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</si>
  <si>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</si>
  <si>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</si>
  <si>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</si>
  <si>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</si>
  <si>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</si>
  <si>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</si>
  <si>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</si>
  <si>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</si>
  <si>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</si>
  <si>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</si>
  <si>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</si>
  <si>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</si>
  <si>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</si>
  <si>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</si>
  <si>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</si>
  <si>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</si>
  <si>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</si>
  <si>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</si>
  <si>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</si>
  <si>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</si>
  <si>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</si>
  <si>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</si>
  <si>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</si>
  <si>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</si>
  <si>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</si>
  <si>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</si>
  <si>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</si>
  <si>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</si>
  <si>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</si>
  <si>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</si>
  <si>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</si>
  <si>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</si>
  <si>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</si>
  <si>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</si>
  <si>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</si>
  <si>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</si>
  <si>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</si>
  <si>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</si>
  <si>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</si>
  <si>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</si>
  <si>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</si>
  <si>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</si>
  <si>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</si>
  <si>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</si>
  <si>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</si>
  <si>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</si>
  <si>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</si>
  <si>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</si>
  <si>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</si>
  <si>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</si>
  <si>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</si>
  <si>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</si>
  <si>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</si>
  <si>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</si>
  <si>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</si>
  <si>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</si>
  <si>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</si>
  <si>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</si>
  <si>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</si>
  <si>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</si>
  <si>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</si>
  <si>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</si>
  <si>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</si>
  <si>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</si>
  <si>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</si>
  <si>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</si>
  <si>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</si>
  <si>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</si>
  <si>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</si>
  <si>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</si>
  <si>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</si>
  <si>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</si>
  <si>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</si>
  <si>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</si>
  <si>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</si>
  <si>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</si>
  <si>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</si>
  <si>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</si>
  <si>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</si>
  <si>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</si>
  <si>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</si>
  <si>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</si>
  <si>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</si>
  <si>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</si>
  <si>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</si>
  <si>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</si>
  <si>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</si>
  <si>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</si>
  <si>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</si>
  <si>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</si>
  <si>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</si>
  <si>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</si>
  <si>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</si>
  <si>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</si>
  <si>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</si>
  <si>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</si>
  <si>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</si>
  <si>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</si>
  <si>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</si>
  <si>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</si>
  <si>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</si>
  <si>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</si>
  <si>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</si>
  <si>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</si>
  <si>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</si>
  <si>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</si>
  <si>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</si>
  <si>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</si>
  <si>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</si>
  <si>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</si>
  <si>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</si>
  <si>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</si>
  <si>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</si>
  <si>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</si>
  <si>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</si>
  <si>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</si>
  <si>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</si>
  <si>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</si>
  <si>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</si>
  <si>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</si>
  <si>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</si>
  <si>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</si>
  <si>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</si>
  <si>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</si>
  <si>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</si>
  <si>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</si>
  <si>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</si>
  <si>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</si>
  <si>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</si>
  <si>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</si>
  <si>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</si>
  <si>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</si>
  <si>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</si>
  <si>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</si>
  <si>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</si>
  <si>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</si>
  <si>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</si>
  <si>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</si>
  <si>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</si>
  <si>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</si>
  <si>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</si>
  <si>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</si>
  <si>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</si>
  <si>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</si>
  <si>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</si>
  <si>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</si>
  <si>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</si>
  <si>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</si>
  <si>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</si>
  <si>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</si>
  <si>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</si>
  <si>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</si>
  <si>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</si>
  <si>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</si>
  <si>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</si>
  <si>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</si>
  <si>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</si>
  <si>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</si>
  <si>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</si>
  <si>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</si>
  <si>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</si>
  <si>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</si>
  <si>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</si>
  <si>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</si>
  <si>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</si>
  <si>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</si>
  <si>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</si>
  <si>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</si>
  <si>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</si>
  <si>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</si>
  <si>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</si>
  <si>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</si>
  <si>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</si>
  <si>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</si>
  <si>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</si>
  <si>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</si>
  <si>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</si>
  <si>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</si>
  <si>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</si>
  <si>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</si>
  <si>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</si>
  <si>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</si>
  <si>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</si>
  <si>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</si>
  <si>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</si>
  <si>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</si>
  <si>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</si>
  <si>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</si>
  <si>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</si>
  <si>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</si>
  <si>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</si>
  <si>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</si>
  <si>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</si>
  <si>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</si>
  <si>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</si>
  <si>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</si>
  <si>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</si>
  <si>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</si>
  <si>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</si>
  <si>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</si>
  <si>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</si>
  <si>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</si>
  <si>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</si>
  <si>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</si>
  <si>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</si>
  <si>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</si>
  <si>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</si>
  <si>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</si>
  <si>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</si>
  <si>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</si>
  <si>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</si>
  <si>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</si>
  <si>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</si>
  <si>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</si>
  <si>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</si>
  <si>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</si>
  <si>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</si>
  <si>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</si>
  <si>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</si>
  <si>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</si>
  <si>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</si>
  <si>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</si>
  <si>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</si>
  <si>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</si>
  <si>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</si>
  <si>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</si>
  <si>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</si>
  <si>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</si>
  <si>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</si>
  <si>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</si>
  <si>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</si>
  <si>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</si>
  <si>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</si>
  <si>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</si>
  <si>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</si>
  <si>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</si>
  <si>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</si>
  <si>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</si>
  <si>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</si>
  <si>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</si>
  <si>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</si>
  <si>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</si>
  <si>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</si>
  <si>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</si>
  <si>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</si>
  <si>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</si>
  <si>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</si>
  <si>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</si>
  <si>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</si>
  <si>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</si>
  <si>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</si>
  <si>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</si>
  <si>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</si>
  <si>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</si>
  <si>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</si>
  <si>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</si>
  <si>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</si>
  <si>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</si>
  <si>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</si>
  <si>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</si>
  <si>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</si>
  <si>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</si>
  <si>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</si>
  <si>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</si>
  <si>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</si>
  <si>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</si>
  <si>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</si>
  <si>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</si>
  <si>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</si>
  <si>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</si>
  <si>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</si>
  <si>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</si>
  <si>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</si>
  <si>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</si>
  <si>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</si>
  <si>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</si>
  <si>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</si>
  <si>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</si>
  <si>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</si>
  <si>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</si>
  <si>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</si>
  <si>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</si>
  <si>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</si>
  <si>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</si>
  <si>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</si>
  <si>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</si>
  <si>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</si>
  <si>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</si>
  <si>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</si>
  <si>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</si>
  <si>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</si>
  <si>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</si>
  <si>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</si>
  <si>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</si>
  <si>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</si>
  <si>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</si>
  <si>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</si>
  <si>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</si>
  <si>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</si>
  <si>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</si>
  <si>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</si>
  <si>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</si>
  <si>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</si>
  <si>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</si>
  <si>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</si>
  <si>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</si>
  <si>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</si>
  <si>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</si>
  <si>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</si>
  <si>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</si>
  <si>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</si>
  <si>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</si>
  <si>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</si>
  <si>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</si>
  <si>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</si>
  <si>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</si>
  <si>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</si>
  <si>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</si>
  <si>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</si>
  <si>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</si>
  <si>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</si>
  <si>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</si>
  <si>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</si>
  <si>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</si>
  <si>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</si>
  <si>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</si>
  <si>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</si>
  <si>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</si>
  <si>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</si>
  <si>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</si>
  <si>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</si>
  <si>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</si>
  <si>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</si>
  <si>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</si>
  <si>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</si>
  <si>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</si>
  <si>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</si>
  <si>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</si>
  <si>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</si>
  <si>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</si>
  <si>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</si>
  <si>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</si>
  <si>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</si>
  <si>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</si>
  <si>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</si>
  <si>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</si>
  <si>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</si>
  <si>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</si>
  <si>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</si>
  <si>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</si>
  <si>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</si>
  <si>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</si>
  <si>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</si>
  <si>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</si>
  <si>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</si>
  <si>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</si>
  <si>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</si>
  <si>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</si>
  <si>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</si>
  <si>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</si>
  <si>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</si>
  <si>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</si>
  <si>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</si>
  <si>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</si>
  <si>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</si>
  <si>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</si>
  <si>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</si>
  <si>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</si>
  <si>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</si>
  <si>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</si>
  <si>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</si>
  <si>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</si>
  <si>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</si>
  <si>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</si>
  <si>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</si>
  <si>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</si>
  <si>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</si>
  <si>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</si>
  <si>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</si>
  <si>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</si>
  <si>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</si>
  <si>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</si>
  <si>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</si>
  <si>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</si>
  <si>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</si>
  <si>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</si>
  <si>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</si>
  <si>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</si>
  <si>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</si>
  <si>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</si>
  <si>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</si>
  <si>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</si>
  <si>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</si>
  <si>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</si>
  <si>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</si>
  <si>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</si>
  <si>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</si>
  <si>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</si>
  <si>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</si>
  <si>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</si>
  <si>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</si>
  <si>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</si>
  <si>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</si>
  <si>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</si>
  <si>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</si>
  <si>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</si>
  <si>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</si>
  <si>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</si>
  <si>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</si>
  <si>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</si>
  <si>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</si>
  <si>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</si>
  <si>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</si>
  <si>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</si>
  <si>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</si>
  <si>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</si>
  <si>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</si>
  <si>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</si>
  <si>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</si>
  <si>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</si>
  <si>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</si>
  <si>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</si>
  <si>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</si>
  <si>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</si>
  <si>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</si>
  <si>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</si>
  <si>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</si>
  <si>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</si>
  <si>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</si>
  <si>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</si>
  <si>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</si>
  <si>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</si>
  <si>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</si>
  <si>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</si>
  <si>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</si>
  <si>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</si>
  <si>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</si>
  <si>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</si>
  <si>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</si>
  <si>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</si>
  <si>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</si>
  <si>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</si>
  <si>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</si>
  <si>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</si>
  <si>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</si>
  <si>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</si>
  <si>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</si>
  <si>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</si>
  <si>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</si>
  <si>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</si>
  <si>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</si>
  <si>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</si>
  <si>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</si>
  <si>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</si>
  <si>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</si>
  <si>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</si>
  <si>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</si>
  <si>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</si>
  <si>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</si>
  <si>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</si>
  <si>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</si>
  <si>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</si>
  <si>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</si>
  <si>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</si>
  <si>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</si>
  <si>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</si>
  <si>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</si>
  <si>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</si>
  <si>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</si>
  <si>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</si>
  <si>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</si>
  <si>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</si>
  <si>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</si>
  <si>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</si>
  <si>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</si>
  <si>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</si>
  <si>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</si>
  <si>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</si>
  <si>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</si>
  <si>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</si>
  <si>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</si>
  <si>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</si>
  <si>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</si>
  <si>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</si>
  <si>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</si>
  <si>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</si>
  <si>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</si>
  <si>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</si>
  <si>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</si>
  <si>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</si>
  <si>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</si>
  <si>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</si>
  <si>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</si>
  <si>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</si>
  <si>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</si>
  <si>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</si>
  <si>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</si>
  <si>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</si>
  <si>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</si>
  <si>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</si>
  <si>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</si>
  <si>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</si>
  <si>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</si>
  <si>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</si>
  <si>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</si>
  <si>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</si>
  <si>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</si>
  <si>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</si>
  <si>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</si>
  <si>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</si>
  <si>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</si>
  <si>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</si>
  <si>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</si>
  <si>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</si>
  <si>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</si>
  <si>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</si>
  <si>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</si>
  <si>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</si>
  <si>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</si>
  <si>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</si>
  <si>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</si>
  <si>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</si>
  <si>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</si>
  <si>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</si>
  <si>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</si>
  <si>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</si>
  <si>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</si>
  <si>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</si>
  <si>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</si>
  <si>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</si>
  <si>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</si>
  <si>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</si>
  <si>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</si>
  <si>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</si>
  <si>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</si>
  <si>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</si>
  <si>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</si>
  <si>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</si>
  <si>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</si>
  <si>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</si>
  <si>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</si>
  <si>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</si>
  <si>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</si>
  <si>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</si>
  <si>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</si>
  <si>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</si>
  <si>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</si>
  <si>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</si>
  <si>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</si>
  <si>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</si>
  <si>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</si>
  <si>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</si>
  <si>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</si>
  <si>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</si>
  <si>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</si>
  <si>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</si>
  <si>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</si>
  <si>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</si>
  <si>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</si>
  <si>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</si>
  <si>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</si>
  <si>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</si>
  <si>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</si>
  <si>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</si>
  <si>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</si>
  <si>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</si>
  <si>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</si>
  <si>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</si>
  <si>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</si>
  <si>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</si>
  <si>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</si>
  <si>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</si>
  <si>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</si>
  <si>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</si>
  <si>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</si>
  <si>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</si>
  <si>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</si>
  <si>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</si>
  <si>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</si>
  <si>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</si>
  <si>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</si>
  <si>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</si>
  <si>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</si>
  <si>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</si>
  <si>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</si>
  <si>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</si>
  <si>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</si>
  <si>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</si>
  <si>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</si>
  <si>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</si>
  <si>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</si>
  <si>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</si>
  <si>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</si>
  <si>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</si>
  <si>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</si>
  <si>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</si>
  <si>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</si>
  <si>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</si>
  <si>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</si>
  <si>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</si>
  <si>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</si>
  <si>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</si>
  <si>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</si>
  <si>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</si>
  <si>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</si>
  <si>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</si>
  <si>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</si>
  <si>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</si>
  <si>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</si>
  <si>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</si>
  <si>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</si>
  <si>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</si>
  <si>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</si>
  <si>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</si>
  <si>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</si>
  <si>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</si>
  <si>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</si>
  <si>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</si>
  <si>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</si>
  <si>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</si>
  <si>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</si>
  <si>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</si>
  <si>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</si>
  <si>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</si>
  <si>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</si>
  <si>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</si>
  <si>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</si>
  <si>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</si>
  <si>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</si>
  <si>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</si>
  <si>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</si>
  <si>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</si>
  <si>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</si>
  <si>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</si>
  <si>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</si>
  <si>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</si>
  <si>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</si>
  <si>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</si>
  <si>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</si>
  <si>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</si>
  <si>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</si>
  <si>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</si>
  <si>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</si>
  <si>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</si>
  <si>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</si>
  <si>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</si>
  <si>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</si>
  <si>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</si>
  <si>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</si>
  <si>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</si>
  <si>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</si>
  <si>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</si>
  <si>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</si>
  <si>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</si>
  <si>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</si>
  <si>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</si>
  <si>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</si>
  <si>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</si>
  <si>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</si>
  <si>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</si>
  <si>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</si>
  <si>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</si>
  <si>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</si>
  <si>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</si>
  <si>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</si>
  <si>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</si>
  <si>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</si>
  <si>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</si>
  <si>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</si>
  <si>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</si>
  <si>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</si>
  <si>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</si>
  <si>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</si>
  <si>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</si>
  <si>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</si>
  <si>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</si>
  <si>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</si>
  <si>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</si>
  <si>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</si>
  <si>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</si>
  <si>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</si>
  <si>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</si>
  <si>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</si>
  <si>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</si>
  <si>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</si>
  <si>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</si>
  <si>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</si>
  <si>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</si>
  <si>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</si>
  <si>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</si>
  <si>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</si>
  <si>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</si>
  <si>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</si>
  <si>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</si>
  <si>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</si>
  <si>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</si>
  <si>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</si>
  <si>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</si>
  <si>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</si>
  <si>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</si>
  <si>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</si>
  <si>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</si>
  <si>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</si>
  <si>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</si>
  <si>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</si>
  <si>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</si>
  <si>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</si>
  <si>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</si>
  <si>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</si>
  <si>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</si>
  <si>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</si>
  <si>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</si>
  <si>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</si>
  <si>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</si>
  <si>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</si>
  <si>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</si>
  <si>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</si>
  <si>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</si>
  <si>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</si>
  <si>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</si>
  <si>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</si>
  <si>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</si>
  <si>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</si>
  <si>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</si>
  <si>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</si>
  <si>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</si>
  <si>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</si>
  <si>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</si>
  <si>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</si>
  <si>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</si>
  <si>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</si>
  <si>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</si>
  <si>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</si>
  <si>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</si>
  <si>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</si>
  <si>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</si>
  <si>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</si>
  <si>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</si>
  <si>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</si>
  <si>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</si>
  <si>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</si>
  <si>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</si>
  <si>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</si>
  <si>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</si>
  <si>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</si>
  <si>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</si>
  <si>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</si>
  <si>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</si>
  <si>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</si>
  <si>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</si>
  <si>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</si>
  <si>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</si>
  <si>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</si>
  <si>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</si>
  <si>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</si>
  <si>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</si>
  <si>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</si>
  <si>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</si>
  <si>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</si>
  <si>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</si>
  <si>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</si>
  <si>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</si>
  <si>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</si>
  <si>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</si>
  <si>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</si>
  <si>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</si>
  <si>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</si>
  <si>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</si>
  <si>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</si>
  <si>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</si>
  <si>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</si>
  <si>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</si>
  <si>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</si>
  <si>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</si>
  <si>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</si>
  <si>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</si>
  <si>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</si>
  <si>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</si>
  <si>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</si>
  <si>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</si>
  <si>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</si>
  <si>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</si>
  <si>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</si>
  <si>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</si>
  <si>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</si>
  <si>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</si>
  <si>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</si>
  <si>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</si>
  <si>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</si>
  <si>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</si>
  <si>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</si>
  <si>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</si>
  <si>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</si>
  <si>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</si>
  <si>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</si>
  <si>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</si>
  <si>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</si>
  <si>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</si>
  <si>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</si>
  <si>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</si>
  <si>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</si>
  <si>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</si>
  <si>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</si>
  <si>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</si>
  <si>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</si>
  <si>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</si>
  <si>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</si>
  <si>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</si>
  <si>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</si>
  <si>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</si>
  <si>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</si>
  <si>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</si>
  <si>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</si>
  <si>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</si>
  <si>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</si>
  <si>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</si>
  <si>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</si>
  <si>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</si>
  <si>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</si>
  <si>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</si>
  <si>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</si>
  <si>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</si>
  <si>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</si>
  <si>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</si>
  <si>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</si>
  <si>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</si>
  <si>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</si>
  <si>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</si>
  <si>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</si>
  <si>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</si>
  <si>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</si>
  <si>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</si>
  <si>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</si>
  <si>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</si>
  <si>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</si>
  <si>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</si>
  <si>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</si>
  <si>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</si>
  <si>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</si>
  <si>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</si>
  <si>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</si>
  <si>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</si>
  <si>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</si>
  <si>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</si>
  <si>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</si>
  <si>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</si>
  <si>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</si>
  <si>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</si>
  <si>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</si>
  <si>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</si>
  <si>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</si>
  <si>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</si>
  <si>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</si>
  <si>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</si>
  <si>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</si>
  <si>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</si>
  <si>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</si>
  <si>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</si>
  <si>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</si>
  <si>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</si>
  <si>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</si>
  <si>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</si>
  <si>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</si>
  <si>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</si>
  <si>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</si>
  <si>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</si>
  <si>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</si>
  <si>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</si>
  <si>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</si>
  <si>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</si>
  <si>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</si>
  <si>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</si>
  <si>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</si>
  <si>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</si>
  <si>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</si>
  <si>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</si>
  <si>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</si>
  <si>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</si>
  <si>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</si>
  <si>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</si>
  <si>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</si>
  <si>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</si>
  <si>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</si>
  <si>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</si>
  <si>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</si>
  <si>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</si>
  <si>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</si>
  <si>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</si>
  <si>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</si>
  <si>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</si>
  <si>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</si>
  <si>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</si>
  <si>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</si>
  <si>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</si>
  <si>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</si>
  <si>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</si>
  <si>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</si>
  <si>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</si>
  <si>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</si>
  <si>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</si>
  <si>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</si>
  <si>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</si>
  <si>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</si>
  <si>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</si>
  <si>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</si>
  <si>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</si>
  <si>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</si>
  <si>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</si>
  <si>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</si>
  <si>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</si>
  <si>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</si>
  <si>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</si>
  <si>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</si>
  <si>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</si>
  <si>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</si>
  <si>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</si>
  <si>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</si>
  <si>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</si>
  <si>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</si>
  <si>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</si>
  <si>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</si>
  <si>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</si>
  <si>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</si>
  <si>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</si>
  <si>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</si>
  <si>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</si>
  <si>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</si>
  <si>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</si>
  <si>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</si>
  <si>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</si>
  <si>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</si>
  <si>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</si>
  <si>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</si>
  <si>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</si>
  <si>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</si>
  <si>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</si>
  <si>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</si>
  <si>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</si>
  <si>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</si>
  <si>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</si>
  <si>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</si>
  <si>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</si>
  <si>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</si>
  <si>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</si>
  <si>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</si>
  <si>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</si>
  <si>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</si>
  <si>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</si>
  <si>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</si>
  <si>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</si>
  <si>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</si>
  <si>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</si>
  <si>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</si>
  <si>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</si>
  <si>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</si>
  <si>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</si>
  <si>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</si>
  <si>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</si>
  <si>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</si>
  <si>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</si>
  <si>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</si>
  <si>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</si>
  <si>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</si>
  <si>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</si>
  <si>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</si>
  <si>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</si>
  <si>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</si>
  <si>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</si>
  <si>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</si>
  <si>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</si>
  <si>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</si>
  <si>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</si>
  <si>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</si>
  <si>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</si>
  <si>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</si>
  <si>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</si>
  <si>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</si>
  <si>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</si>
  <si>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</si>
  <si>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</si>
  <si>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</si>
  <si>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</si>
  <si>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</si>
  <si>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</si>
  <si>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</si>
  <si>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</si>
  <si>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</si>
  <si>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</si>
  <si>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</si>
  <si>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</si>
  <si>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</si>
  <si>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</si>
  <si>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</si>
  <si>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</si>
  <si>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</si>
  <si>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</si>
  <si>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</si>
  <si>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</si>
  <si>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</si>
  <si>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</si>
  <si>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</si>
  <si>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</si>
  <si>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</si>
  <si>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</si>
  <si>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</si>
  <si>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</si>
  <si>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</si>
  <si>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</si>
  <si>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</si>
  <si>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</si>
  <si>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</si>
  <si>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</si>
  <si>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</si>
  <si>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</si>
  <si>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</si>
  <si>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</si>
  <si>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</si>
  <si>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</si>
  <si>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</si>
  <si>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</si>
  <si>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</si>
  <si>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</si>
  <si>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</si>
  <si>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</si>
  <si>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</si>
  <si>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</si>
  <si>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</si>
  <si>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</si>
  <si>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</si>
  <si>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</si>
  <si>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</si>
  <si>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</si>
  <si>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</si>
  <si>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</si>
  <si>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</si>
  <si>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</si>
  <si>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</si>
  <si>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</si>
  <si>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</si>
  <si>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</si>
  <si>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</si>
  <si>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</si>
  <si>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</si>
  <si>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</si>
  <si>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</si>
  <si>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</si>
  <si>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</si>
  <si>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</si>
  <si>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</si>
  <si>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</si>
  <si>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</si>
  <si>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</si>
  <si>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</si>
  <si>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</si>
  <si>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</si>
  <si>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</si>
  <si>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</si>
  <si>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</si>
  <si>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</si>
  <si>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</si>
  <si>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</si>
  <si>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</si>
  <si>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</si>
  <si>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</si>
  <si>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</si>
  <si>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</si>
  <si>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</si>
  <si>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</si>
  <si>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</si>
  <si>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</si>
  <si>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</si>
  <si>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</si>
  <si>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</si>
  <si>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</si>
  <si>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</si>
  <si>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</si>
  <si>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</si>
  <si>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</si>
  <si>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</si>
  <si>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</si>
  <si>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</si>
  <si>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</si>
  <si>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</si>
  <si>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</si>
  <si>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</si>
  <si>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</si>
  <si>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</si>
  <si>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</si>
  <si>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</si>
  <si>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</si>
  <si>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</si>
  <si>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</si>
  <si>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</si>
  <si>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</si>
  <si>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</si>
  <si>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</si>
  <si>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</si>
  <si>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</si>
  <si>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</si>
  <si>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</si>
  <si>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</si>
  <si>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</si>
  <si>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</si>
  <si>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</si>
  <si>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</si>
  <si>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</si>
  <si>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</si>
  <si>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</si>
  <si>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</si>
  <si>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</si>
  <si>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</si>
  <si>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</si>
  <si>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</si>
  <si>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</si>
  <si>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</si>
  <si>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</si>
  <si>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</si>
  <si>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</si>
  <si>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</si>
  <si>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</si>
  <si>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</si>
  <si>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</si>
  <si>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</si>
  <si>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</si>
  <si>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</si>
  <si>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</si>
  <si>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</si>
  <si>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</si>
  <si>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</si>
  <si>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</si>
  <si>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</si>
  <si>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</si>
  <si>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</si>
  <si>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</si>
  <si>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</si>
  <si>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</si>
  <si>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</si>
  <si>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</si>
  <si>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</si>
  <si>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</si>
  <si>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</si>
  <si>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</si>
  <si>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</si>
  <si>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</si>
  <si>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</si>
  <si>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</si>
  <si>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</si>
  <si>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</si>
  <si>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</si>
  <si>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</si>
  <si>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</si>
  <si>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</si>
  <si>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</si>
  <si>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</si>
  <si>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</si>
  <si>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</si>
  <si>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</si>
  <si>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</si>
  <si>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</si>
  <si>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</si>
  <si>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</si>
  <si>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</si>
  <si>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</si>
  <si>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</si>
  <si>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</si>
  <si>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</si>
  <si>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</si>
  <si>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</si>
  <si>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</si>
  <si>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</si>
  <si>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</si>
  <si>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</si>
  <si>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</si>
  <si>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</si>
  <si>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</si>
  <si>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</si>
  <si>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</si>
  <si>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</si>
  <si>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</si>
  <si>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</si>
  <si>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</si>
  <si>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</si>
  <si>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</si>
  <si>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</si>
  <si>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</si>
  <si>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</si>
  <si>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</si>
  <si>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</si>
  <si>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</si>
  <si>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</si>
  <si>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</si>
  <si>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</si>
  <si>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</si>
  <si>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</si>
  <si>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</si>
  <si>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</si>
  <si>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</si>
  <si>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</si>
  <si>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</si>
  <si>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</si>
  <si>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</si>
  <si>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</si>
  <si>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</si>
  <si>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</si>
  <si>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</si>
  <si>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</si>
  <si>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</si>
  <si>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</si>
  <si>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</si>
  <si>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</si>
  <si>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</si>
  <si>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</si>
  <si>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</si>
  <si>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</si>
  <si>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</si>
  <si>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</si>
  <si>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</si>
  <si>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</si>
  <si>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</si>
  <si>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</si>
  <si>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</si>
  <si>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</si>
  <si>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</si>
  <si>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</si>
  <si>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</si>
  <si>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</si>
  <si>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</si>
  <si>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</si>
  <si>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</si>
  <si>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</si>
  <si>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</si>
  <si>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</si>
  <si>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</si>
  <si>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</si>
  <si>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</si>
  <si>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</si>
  <si>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</si>
  <si>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</si>
  <si>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</si>
  <si>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</si>
  <si>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</si>
  <si>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</si>
  <si>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</si>
  <si>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</si>
  <si>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</si>
  <si>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</si>
  <si>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</si>
  <si>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</si>
  <si>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</si>
  <si>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</si>
  <si>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</si>
  <si>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</si>
  <si>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</si>
  <si>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</si>
  <si>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</si>
  <si>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</si>
  <si>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</si>
  <si>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</si>
  <si>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</si>
  <si>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</si>
  <si>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</si>
  <si>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</si>
  <si>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</si>
  <si>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</si>
  <si>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</si>
  <si>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</si>
  <si>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</si>
  <si>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</si>
  <si>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</si>
  <si>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</si>
  <si>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</si>
  <si>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</si>
  <si>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</si>
  <si>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</si>
  <si>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</si>
  <si>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</si>
  <si>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</si>
  <si>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</si>
  <si>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</si>
  <si>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</si>
  <si>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</si>
  <si>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</si>
  <si>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</si>
  <si>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</si>
  <si>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</si>
  <si>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</si>
  <si>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</si>
  <si>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</si>
  <si>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</si>
  <si>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</si>
  <si>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</si>
  <si>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</si>
  <si>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</si>
  <si>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</si>
  <si>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</si>
  <si>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</si>
  <si>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</si>
  <si>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</si>
  <si>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</si>
  <si>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</si>
  <si>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</si>
  <si>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</si>
  <si>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</si>
  <si>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</si>
  <si>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</si>
  <si>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</si>
  <si>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</si>
  <si>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</si>
  <si>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</si>
  <si>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</si>
  <si>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</si>
  <si>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</si>
  <si>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</si>
  <si>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</si>
  <si>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</si>
  <si>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</si>
  <si>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</si>
  <si>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</si>
  <si>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</si>
  <si>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</si>
  <si>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</si>
  <si>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</si>
  <si>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</si>
  <si>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</si>
  <si>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</si>
  <si>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</si>
  <si>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</si>
  <si>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</si>
  <si>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</si>
  <si>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</si>
  <si>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</si>
  <si>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</si>
  <si>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</si>
  <si>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</si>
  <si>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</si>
  <si>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</si>
  <si>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</si>
  <si>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</si>
  <si>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</si>
  <si>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</si>
  <si>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</si>
  <si>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</si>
  <si>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</si>
  <si>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</si>
  <si>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</si>
  <si>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</si>
  <si>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</si>
  <si>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</si>
  <si>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</si>
  <si>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</si>
  <si>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</si>
  <si>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</si>
  <si>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</si>
  <si>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</si>
  <si>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</si>
  <si>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</si>
  <si>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</si>
  <si>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</si>
  <si>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</si>
  <si>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</si>
  <si>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</si>
  <si>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</si>
  <si>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</si>
  <si>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</si>
  <si>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</si>
  <si>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</si>
  <si>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</si>
  <si>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</si>
  <si>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</si>
  <si>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</si>
  <si>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</si>
  <si>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</si>
  <si>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</si>
  <si>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</si>
  <si>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</si>
  <si>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</si>
  <si>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</si>
  <si>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</si>
  <si>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</si>
  <si>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</si>
  <si>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</si>
  <si>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</si>
  <si>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</si>
  <si>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</si>
  <si>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</si>
  <si>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</si>
  <si>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</si>
  <si>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</si>
  <si>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</si>
  <si>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</si>
  <si>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</si>
  <si>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</si>
  <si>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</si>
  <si>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</si>
  <si>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</si>
  <si>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</si>
  <si>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</si>
  <si>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</si>
  <si>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</si>
  <si>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</si>
  <si>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</si>
  <si>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</si>
  <si>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</si>
  <si>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</si>
  <si>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</si>
  <si>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</si>
  <si>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</si>
  <si>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</si>
  <si>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</si>
  <si>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</si>
  <si>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</si>
  <si>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</si>
  <si>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</si>
  <si>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</si>
  <si>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</si>
  <si>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</si>
  <si>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</si>
  <si>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</si>
  <si>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</si>
  <si>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</si>
  <si>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</si>
  <si>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</si>
  <si>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</si>
  <si>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</si>
  <si>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</si>
  <si>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</si>
  <si>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</si>
  <si>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</si>
  <si>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</si>
  <si>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</si>
  <si>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</si>
  <si>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</si>
  <si>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</si>
  <si>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</si>
  <si>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</si>
  <si>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</si>
  <si>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</si>
  <si>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</si>
  <si>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</si>
  <si>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</si>
  <si>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</si>
  <si>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</si>
  <si>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</si>
  <si>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</si>
  <si>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</si>
  <si>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</si>
  <si>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</si>
  <si>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</si>
  <si>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</si>
  <si>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</si>
  <si>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</si>
  <si>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</si>
  <si>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</si>
  <si>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</si>
  <si>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</si>
  <si>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</si>
  <si>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</si>
  <si>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</si>
  <si>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</si>
  <si>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</si>
  <si>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</si>
  <si>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</si>
  <si>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</si>
  <si>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</si>
  <si>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</si>
  <si>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</si>
  <si>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</si>
  <si>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</si>
  <si>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</si>
  <si>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</si>
  <si>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</si>
  <si>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</si>
  <si>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</si>
  <si>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</si>
  <si>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</si>
  <si>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</si>
  <si>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</si>
  <si>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</si>
  <si>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</si>
  <si>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</si>
  <si>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</si>
  <si>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</si>
  <si>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</si>
  <si>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</si>
  <si>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</si>
  <si>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</si>
  <si>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</si>
  <si>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</si>
  <si>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</si>
  <si>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</si>
  <si>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</si>
  <si>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</si>
  <si>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</si>
  <si>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</si>
  <si>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</si>
  <si>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</si>
  <si>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</si>
  <si>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</si>
  <si>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</si>
  <si>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</si>
  <si>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</si>
  <si>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</si>
  <si>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</si>
  <si>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</si>
  <si>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</si>
  <si>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</si>
  <si>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</si>
  <si>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</si>
  <si>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</si>
  <si>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</si>
  <si>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</si>
  <si>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</si>
  <si>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</si>
  <si>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</si>
  <si>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</si>
  <si>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</si>
  <si>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</si>
  <si>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</si>
  <si>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</si>
  <si>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</si>
  <si>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</si>
  <si>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</si>
  <si>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</si>
  <si>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</si>
  <si>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</si>
  <si>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</si>
  <si>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</si>
  <si>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</si>
  <si>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</si>
  <si>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</si>
  <si>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</si>
  <si>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</si>
  <si>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</si>
  <si>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</si>
  <si>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</si>
  <si>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</si>
  <si>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</si>
  <si>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</si>
  <si>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</si>
  <si>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</si>
  <si>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</si>
  <si>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</si>
  <si>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</si>
  <si>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</si>
  <si>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</si>
  <si>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</si>
  <si>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</si>
  <si>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</si>
  <si>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</si>
  <si>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</si>
  <si>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</si>
  <si>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</si>
  <si>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</si>
  <si>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</si>
  <si>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</si>
  <si>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</si>
  <si>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</si>
  <si>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</si>
  <si>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</si>
  <si>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</si>
  <si>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</si>
  <si>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</si>
  <si>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</si>
  <si>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</si>
  <si>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</si>
  <si>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</si>
  <si>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</si>
  <si>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</si>
  <si>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</si>
  <si>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</si>
  <si>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</si>
  <si>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</si>
  <si>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</si>
  <si>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</si>
  <si>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</si>
  <si>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</si>
  <si>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</si>
  <si>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</si>
  <si>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</si>
  <si>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</si>
  <si>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</si>
  <si>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</si>
  <si>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</si>
  <si>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</si>
  <si>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</si>
  <si>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</si>
  <si>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</si>
  <si>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</si>
  <si>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</si>
  <si>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</si>
  <si>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</si>
  <si>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</si>
  <si>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</si>
  <si>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</si>
  <si>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</si>
  <si>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</si>
  <si>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</si>
  <si>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</si>
  <si>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</si>
  <si>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</si>
  <si>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</si>
  <si>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</si>
  <si>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</si>
  <si>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</si>
  <si>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</si>
  <si>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</si>
  <si>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</si>
  <si>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</si>
  <si>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</si>
  <si>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</si>
  <si>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</si>
  <si>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</si>
  <si>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</si>
  <si>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</si>
  <si>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</si>
  <si>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</si>
  <si>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</si>
  <si>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</si>
  <si>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</si>
  <si>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</si>
  <si>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</si>
  <si>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</si>
  <si>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</si>
  <si>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</si>
  <si>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</si>
  <si>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</si>
  <si>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</si>
  <si>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</si>
  <si>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</si>
  <si>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</si>
  <si>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</si>
  <si>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</si>
  <si>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</si>
  <si>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</si>
  <si>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</si>
  <si>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</si>
  <si>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</si>
  <si>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</si>
  <si>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</si>
  <si>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</si>
  <si>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</si>
  <si>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</si>
  <si>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</si>
  <si>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</si>
  <si>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</si>
  <si>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</si>
  <si>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</si>
  <si>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</si>
  <si>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</si>
  <si>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</si>
  <si>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</si>
  <si>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</si>
  <si>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</si>
  <si>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</si>
  <si>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</si>
  <si>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</si>
  <si>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</si>
  <si>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</si>
  <si>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</si>
  <si>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</si>
  <si>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</si>
  <si>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</si>
  <si>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</si>
  <si>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</si>
  <si>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</si>
  <si>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</si>
  <si>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</si>
  <si>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</si>
  <si>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</si>
  <si>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</si>
  <si>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</si>
  <si>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</si>
  <si>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</si>
  <si>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</si>
  <si>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</si>
  <si>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</si>
  <si>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</si>
  <si>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</si>
  <si>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</si>
  <si>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</si>
  <si>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</si>
  <si>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</si>
  <si>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</si>
  <si>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</si>
  <si>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</si>
  <si>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</si>
  <si>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</si>
  <si>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</si>
  <si>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</si>
  <si>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</si>
  <si>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</si>
  <si>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</si>
  <si>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</si>
  <si>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</si>
  <si>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</si>
  <si>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</si>
  <si>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</si>
  <si>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</si>
  <si>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</si>
  <si>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</si>
  <si>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</si>
  <si>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</si>
  <si>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</si>
  <si>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</si>
  <si>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</si>
  <si>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</si>
  <si>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</si>
  <si>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</si>
  <si>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</si>
  <si>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</si>
  <si>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</si>
  <si>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</si>
  <si>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</si>
  <si>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</si>
  <si>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</si>
  <si>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</si>
  <si>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</si>
  <si>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</si>
  <si>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</si>
  <si>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</si>
  <si>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</si>
  <si>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</si>
  <si>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</si>
  <si>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</si>
  <si>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</si>
  <si>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</si>
  <si>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</si>
  <si>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</si>
  <si>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</si>
  <si>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</si>
  <si>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</si>
  <si>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</si>
  <si>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</si>
  <si>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</si>
  <si>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</si>
  <si>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</si>
  <si>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</si>
  <si>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</si>
  <si>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</si>
  <si>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</si>
  <si>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</si>
  <si>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</si>
  <si>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</si>
  <si>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</si>
  <si>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</si>
  <si>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</si>
  <si>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</si>
  <si>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</si>
  <si>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</si>
  <si>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</si>
  <si>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</si>
  <si>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</si>
  <si>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</si>
  <si>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</si>
  <si>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</si>
  <si>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</si>
  <si>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</si>
  <si>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</si>
  <si>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</si>
  <si>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</si>
  <si>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</si>
  <si>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</si>
  <si>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</si>
  <si>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</si>
  <si>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</si>
  <si>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</si>
  <si>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</si>
  <si>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</si>
  <si>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</si>
  <si>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</si>
  <si>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</si>
  <si>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</si>
  <si>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</si>
  <si>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</si>
  <si>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</si>
  <si>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</si>
  <si>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</si>
  <si>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</si>
  <si>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</si>
  <si>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</si>
  <si>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</si>
  <si>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</si>
  <si>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</si>
  <si>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</si>
  <si>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</si>
  <si>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</si>
  <si>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</si>
  <si>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</si>
  <si>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</si>
  <si>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</si>
  <si>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</si>
  <si>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</si>
  <si>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</si>
  <si>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</si>
  <si>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</si>
  <si>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</si>
  <si>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</si>
  <si>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</si>
  <si>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</si>
  <si>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</si>
  <si>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</si>
  <si>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</si>
  <si>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</si>
  <si>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</si>
  <si>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</si>
  <si>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</si>
  <si>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</si>
  <si>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</si>
  <si>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</si>
  <si>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</si>
  <si>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</si>
  <si>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</si>
  <si>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</si>
  <si>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</si>
  <si>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</si>
  <si>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</si>
  <si>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</si>
  <si>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</si>
  <si>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</si>
  <si>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</si>
  <si>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</si>
  <si>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</si>
  <si>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</si>
  <si>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</si>
  <si>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</si>
  <si>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</si>
  <si>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</si>
  <si>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</si>
  <si>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</si>
  <si>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</si>
  <si>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</si>
  <si>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</si>
  <si>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</si>
  <si>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</si>
  <si>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</si>
  <si>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</si>
  <si>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</si>
  <si>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</si>
  <si>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</si>
  <si>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</si>
  <si>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</si>
  <si>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</si>
  <si>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</si>
  <si>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</si>
  <si>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</si>
  <si>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</si>
  <si>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</si>
  <si>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</si>
  <si>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</si>
  <si>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</si>
  <si>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</si>
  <si>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</si>
  <si>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</si>
  <si>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</si>
  <si>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</si>
  <si>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</si>
  <si>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</si>
  <si>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</si>
  <si>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</si>
  <si>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</si>
  <si>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</si>
  <si>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</si>
  <si>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</si>
  <si>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</si>
  <si>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</si>
  <si>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</si>
  <si>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</si>
  <si>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</si>
  <si>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</si>
  <si>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</si>
  <si>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</si>
  <si>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</si>
  <si>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</si>
  <si>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</si>
  <si>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</si>
  <si>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</si>
  <si>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</si>
  <si>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</si>
  <si>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</si>
  <si>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</si>
  <si>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</si>
  <si>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</si>
  <si>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</si>
  <si>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</si>
  <si>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</si>
  <si>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</si>
  <si>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</si>
  <si>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</si>
  <si>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</si>
  <si>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</si>
  <si>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</si>
  <si>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</si>
  <si>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</si>
  <si>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</si>
  <si>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</si>
  <si>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</si>
  <si>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</si>
  <si>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</si>
  <si>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</si>
  <si>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</si>
  <si>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</si>
  <si>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</si>
  <si>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</si>
  <si>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</si>
  <si>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</si>
  <si>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</si>
  <si>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</si>
  <si>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</si>
  <si>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</si>
  <si>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</si>
  <si>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</si>
  <si>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</si>
  <si>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</si>
  <si>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</si>
  <si>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</si>
  <si>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</si>
  <si>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</si>
  <si>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</si>
  <si>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</si>
  <si>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</si>
  <si>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</si>
  <si>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</si>
  <si>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</si>
  <si>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</si>
  <si>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</si>
  <si>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</si>
  <si>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</si>
  <si>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</si>
  <si>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</si>
  <si>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</si>
  <si>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</si>
  <si>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</si>
  <si>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</si>
  <si>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</si>
  <si>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</si>
  <si>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</si>
  <si>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</si>
  <si>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</si>
  <si>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</si>
  <si>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</si>
  <si>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</si>
  <si>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</si>
  <si>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</si>
  <si>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</si>
  <si>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</si>
  <si>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</si>
  <si>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</si>
  <si>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</si>
  <si>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</si>
  <si>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</si>
  <si>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</si>
  <si>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</si>
  <si>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</si>
  <si>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</si>
  <si>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</si>
  <si>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</si>
  <si>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</si>
  <si>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</si>
  <si>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</si>
  <si>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</si>
  <si>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</si>
  <si>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</si>
  <si>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</si>
  <si>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</si>
  <si>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</si>
  <si>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</si>
  <si>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</si>
  <si>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</si>
  <si>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</si>
  <si>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</si>
  <si>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</si>
  <si>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</si>
  <si>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</si>
  <si>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</si>
  <si>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</si>
  <si>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</si>
  <si>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</si>
  <si>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</si>
  <si>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</si>
  <si>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</si>
  <si>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</si>
  <si>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</si>
  <si>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</si>
  <si>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</si>
  <si>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</si>
  <si>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</si>
  <si>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</si>
  <si>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</si>
  <si>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</si>
  <si>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</si>
  <si>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</si>
  <si>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</si>
  <si>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</si>
  <si>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</si>
  <si>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</si>
  <si>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</si>
  <si>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</si>
  <si>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</si>
  <si>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</si>
  <si>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</si>
  <si>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</si>
  <si>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</si>
  <si>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</si>
  <si>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</si>
  <si>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</si>
  <si>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</si>
  <si>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</si>
  <si>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</si>
  <si>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</si>
  <si>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</si>
  <si>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</si>
  <si>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</si>
  <si>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</si>
  <si>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</si>
  <si>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</si>
  <si>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</si>
  <si>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</si>
  <si>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</si>
  <si>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</si>
  <si>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</si>
  <si>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</si>
  <si>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</si>
  <si>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</si>
  <si>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</si>
  <si>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</si>
  <si>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</si>
  <si>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</si>
  <si>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</si>
  <si>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</si>
  <si>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</si>
  <si>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</si>
  <si>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</si>
  <si>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</si>
  <si>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</si>
  <si>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</si>
  <si>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</si>
  <si>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</si>
  <si>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</si>
  <si>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</si>
  <si>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</si>
  <si>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</si>
  <si>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</si>
  <si>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</si>
  <si>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</si>
  <si>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</si>
  <si>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</si>
  <si>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</si>
  <si>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</si>
  <si>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</si>
  <si>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</si>
  <si>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</si>
  <si>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</si>
  <si>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</si>
  <si>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</si>
  <si>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</si>
  <si>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</si>
  <si>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</si>
  <si>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</si>
  <si>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</si>
  <si>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</si>
  <si>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</si>
  <si>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</si>
  <si>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</si>
  <si>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</si>
  <si>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</si>
  <si>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</si>
  <si>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</si>
  <si>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</si>
  <si>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</si>
  <si>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</si>
  <si>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</si>
  <si>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</si>
  <si>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</si>
  <si>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</si>
  <si>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</si>
  <si>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</si>
  <si>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</si>
  <si>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</si>
  <si>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</si>
  <si>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</si>
  <si>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</si>
  <si>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</si>
  <si>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</si>
  <si>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</si>
  <si>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</si>
  <si>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</si>
  <si>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</si>
  <si>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</si>
  <si>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</si>
  <si>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</si>
  <si>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</si>
  <si>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</si>
  <si>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</si>
  <si>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</si>
  <si>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</si>
  <si>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</si>
  <si>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</si>
  <si>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</si>
  <si>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</si>
  <si>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</si>
  <si>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</si>
  <si>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</si>
  <si>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</si>
  <si>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</si>
  <si>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</si>
  <si>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</si>
  <si>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</si>
  <si>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</si>
  <si>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</si>
  <si>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</si>
  <si>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</si>
  <si>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</si>
  <si>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</si>
  <si>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</si>
  <si>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</si>
  <si>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</si>
  <si>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</si>
  <si>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</si>
  <si>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</si>
  <si>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</si>
  <si>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</si>
  <si>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</si>
  <si>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</si>
  <si>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</si>
  <si>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</si>
  <si>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</si>
  <si>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</si>
  <si>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</si>
  <si>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</si>
  <si>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</si>
  <si>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</si>
  <si>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</si>
  <si>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</si>
  <si>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</si>
  <si>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</si>
  <si>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</si>
  <si>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</si>
  <si>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</si>
  <si>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</si>
  <si>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</si>
  <si>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</si>
  <si>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</si>
  <si>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</si>
  <si>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</si>
  <si>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</si>
  <si>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</si>
  <si>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</si>
  <si>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</si>
  <si>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</si>
  <si>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</si>
  <si>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</si>
  <si>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</si>
  <si>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</si>
  <si>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</si>
  <si>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</si>
  <si>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</si>
  <si>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</si>
  <si>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</si>
  <si>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</si>
  <si>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</si>
  <si>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</si>
  <si>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</si>
  <si>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</si>
  <si>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</si>
  <si>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</si>
  <si>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</si>
  <si>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</si>
  <si>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</si>
  <si>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</si>
  <si>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</si>
  <si>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</si>
  <si>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</si>
  <si>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</si>
  <si>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</si>
  <si>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</si>
  <si>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</si>
  <si>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</si>
  <si>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</si>
  <si>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</si>
  <si>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</si>
  <si>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</si>
  <si>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</si>
  <si>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</si>
  <si>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</si>
  <si>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</si>
  <si>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</si>
  <si>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</si>
  <si>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</si>
  <si>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</si>
  <si>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</si>
  <si>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</si>
  <si>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</si>
  <si>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</si>
  <si>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</si>
  <si>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</si>
  <si>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</si>
  <si>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</si>
  <si>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</si>
  <si>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</si>
  <si>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</si>
  <si>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</si>
  <si>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</si>
  <si>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</si>
  <si>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</si>
  <si>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</si>
  <si>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</si>
  <si>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</si>
  <si>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</si>
  <si>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</si>
  <si>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</si>
  <si>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</si>
  <si>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</si>
  <si>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</si>
  <si>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</si>
  <si>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</si>
  <si>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</si>
  <si>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</si>
  <si>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</si>
  <si>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</si>
  <si>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</si>
  <si>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</si>
  <si>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</si>
  <si>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</si>
  <si>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</si>
  <si>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</si>
  <si>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</si>
  <si>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</si>
  <si>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</si>
  <si>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</si>
  <si>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</si>
  <si>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</si>
  <si>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</si>
  <si>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</si>
  <si>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</si>
  <si>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</si>
  <si>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</si>
  <si>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</si>
  <si>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</si>
  <si>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</si>
  <si>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</si>
  <si>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</si>
  <si>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</si>
  <si>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</si>
  <si>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</si>
  <si>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</si>
  <si>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</si>
  <si>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</si>
  <si>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</si>
  <si>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</si>
  <si>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</si>
  <si>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</si>
  <si>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</si>
  <si>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</si>
  <si>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</si>
  <si>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</si>
  <si>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</si>
  <si>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</si>
  <si>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</si>
  <si>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</si>
  <si>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</si>
  <si>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</si>
  <si>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</si>
  <si>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</si>
  <si>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</si>
  <si>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</si>
  <si>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</si>
  <si>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</si>
  <si>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</si>
  <si>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</si>
  <si>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</si>
  <si>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</si>
  <si>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</si>
  <si>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</si>
  <si>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</si>
  <si>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</si>
  <si>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</si>
  <si>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</si>
  <si>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</si>
  <si>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</si>
  <si>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</si>
  <si>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</si>
  <si>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</si>
  <si>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</si>
  <si>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</si>
  <si>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</si>
  <si>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</si>
  <si>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</si>
  <si>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</si>
  <si>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</si>
  <si>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</si>
  <si>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</si>
  <si>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</si>
  <si>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</si>
  <si>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</si>
  <si>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</si>
  <si>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</si>
  <si>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</si>
  <si>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</si>
  <si>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</si>
  <si>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</si>
  <si>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</si>
  <si>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</si>
  <si>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</si>
  <si>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</si>
  <si>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</si>
  <si>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</si>
  <si>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</si>
  <si>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</si>
  <si>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</si>
  <si>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</si>
  <si>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</si>
  <si>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</si>
  <si>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</si>
  <si>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</si>
  <si>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</si>
  <si>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</si>
  <si>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</si>
  <si>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</si>
  <si>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</si>
  <si>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</si>
  <si>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</si>
  <si>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</si>
  <si>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</si>
  <si>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</si>
  <si>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</si>
  <si>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</si>
  <si>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</si>
  <si>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</si>
  <si>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</si>
  <si>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</si>
  <si>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</si>
  <si>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</si>
  <si>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</si>
  <si>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</si>
  <si>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</si>
  <si>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</si>
  <si>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</si>
  <si>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</si>
  <si>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</si>
  <si>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</si>
  <si>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</si>
  <si>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</si>
  <si>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</si>
  <si>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</si>
  <si>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</si>
  <si>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</si>
  <si>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</si>
  <si>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</si>
  <si>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</si>
  <si>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</si>
  <si>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</si>
  <si>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</si>
  <si>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</si>
  <si>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</si>
  <si>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</si>
  <si>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</si>
  <si>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</si>
  <si>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</si>
  <si>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</si>
  <si>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</si>
  <si>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</si>
  <si>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</si>
  <si>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</si>
  <si>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</si>
  <si>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</si>
  <si>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</si>
  <si>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</si>
  <si>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</si>
  <si>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</si>
  <si>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</si>
  <si>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</si>
  <si>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</si>
  <si>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</si>
  <si>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</si>
  <si>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</si>
  <si>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</si>
  <si>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</si>
  <si>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</si>
  <si>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</si>
  <si>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</si>
  <si>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</si>
  <si>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</si>
  <si>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</si>
  <si>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</si>
  <si>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</si>
  <si>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</si>
  <si>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</si>
  <si>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</si>
  <si>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</si>
  <si>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</si>
  <si>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</si>
  <si>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</si>
  <si>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</si>
  <si>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</si>
  <si>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</si>
  <si>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</si>
  <si>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</si>
  <si>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</si>
  <si>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</si>
  <si>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</si>
  <si>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</si>
  <si>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</si>
  <si>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</si>
  <si>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</si>
  <si>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2010</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</si>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</sst>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23147.682286585525</v>
      </c>
      <c r="F22" s="3419" t="str">
        <f t="shared" si="0"/>
        <v>NA</v>
      </c>
      <c r="G22" s="3395">
        <v>356.68474068874968</v>
      </c>
      <c r="H22" s="3374">
        <f t="shared" si="1"/>
        <v>1307.8440491920821</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35900</v>
      </c>
      <c r="F24" s="3419" t="str">
        <f t="shared" si="0"/>
        <v>NA</v>
      </c>
      <c r="G24" s="3395">
        <v>790.12636363636364</v>
      </c>
      <c r="H24" s="3374">
        <f t="shared" si="1"/>
        <v>2897.1299999999997</v>
      </c>
      <c r="I24" s="2579" t="s">
        <v>2147</v>
      </c>
      <c r="J24" s="2580"/>
      <c r="M24" s="125"/>
    </row>
    <row r="25" spans="2:13" ht="18" customHeight="1" x14ac:dyDescent="0.2">
      <c r="B25" s="165"/>
      <c r="C25" s="1563"/>
      <c r="D25" s="1452" t="s">
        <v>1789</v>
      </c>
      <c r="E25" s="3414">
        <v>17800</v>
      </c>
      <c r="F25" s="3419" t="str">
        <f t="shared" si="0"/>
        <v>NA</v>
      </c>
      <c r="G25" s="3395">
        <v>338.04627272727276</v>
      </c>
      <c r="H25" s="3374">
        <f t="shared" si="1"/>
        <v>1239.5030000000002</v>
      </c>
      <c r="I25" s="2579" t="s">
        <v>2147</v>
      </c>
      <c r="J25" s="2580"/>
      <c r="M25" s="125"/>
    </row>
    <row r="26" spans="2:13" ht="18" customHeight="1" x14ac:dyDescent="0.2">
      <c r="B26" s="165"/>
      <c r="C26" s="1563"/>
      <c r="D26" s="1452" t="s">
        <v>1790</v>
      </c>
      <c r="E26" s="3418">
        <v>28992.665676827106</v>
      </c>
      <c r="F26" s="3419">
        <f t="shared" si="0"/>
        <v>25.261363636363637</v>
      </c>
      <c r="G26" s="3395">
        <v>732.39427044984825</v>
      </c>
      <c r="H26" s="3374">
        <f t="shared" si="1"/>
        <v>2685.4456583161104</v>
      </c>
      <c r="I26" s="3395">
        <v>2685.4456583161104</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28760.415489949974</v>
      </c>
      <c r="F28" s="3419">
        <f>IF(I28="NA","NA",I28/(44/12)*1000/E28)</f>
        <v>1.647338367878693</v>
      </c>
      <c r="G28" s="3395">
        <v>462.98290477660385</v>
      </c>
      <c r="H28" s="3374">
        <f>IF(G28="NA","NA",IF(G28="NO","NO",G28*44/12))</f>
        <v>1697.6039841808808</v>
      </c>
      <c r="I28" s="3395">
        <v>173.71983168</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134600.7634533626</v>
      </c>
      <c r="F31" s="3359">
        <f t="shared" ref="F31" si="3">IF(I31="NA","NA",I31/(44/12)*1000/E31)</f>
        <v>5.7932242459587275</v>
      </c>
      <c r="G31" s="3423">
        <f>SUM(G11:G29)</f>
        <v>2680.2345522788382</v>
      </c>
      <c r="H31" s="3371">
        <f t="shared" ref="H31" si="4">IF(G31="NA","NA",IF(G31="NO","NO",G31*44/12))</f>
        <v>9827.5266916890741</v>
      </c>
      <c r="I31" s="3423">
        <f>SUM(I11:I29)</f>
        <v>2859.1654899961104</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33074.182200000003</v>
      </c>
      <c r="F35" s="3419">
        <f>IF(I35="NA","NA",I35/(44/12)*1000/E35)</f>
        <v>24.561586087916247</v>
      </c>
      <c r="G35" s="3399">
        <v>812.35437339272721</v>
      </c>
      <c r="H35" s="3396">
        <f t="shared" si="5"/>
        <v>2978.6327024399998</v>
      </c>
      <c r="I35" s="3395">
        <v>2978.6327024399998</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70170.572079000005</v>
      </c>
      <c r="F41" s="3419">
        <f t="shared" ref="F41" si="8">IF(I41="NA","NA",I41/(44/12)*1000/E41)</f>
        <v>28.763340407883259</v>
      </c>
      <c r="G41" s="3395">
        <v>2047.7214186821516</v>
      </c>
      <c r="H41" s="3396">
        <f t="shared" si="5"/>
        <v>7508.3118685012223</v>
      </c>
      <c r="I41" s="3395">
        <v>7400.58018818868</v>
      </c>
      <c r="J41" s="3416" t="s">
        <v>2274</v>
      </c>
      <c r="M41" s="125"/>
    </row>
    <row r="42" spans="2:13" ht="18" customHeight="1" x14ac:dyDescent="0.2">
      <c r="B42" s="1434"/>
      <c r="C42" s="1564"/>
      <c r="D42" s="1452" t="s">
        <v>1792</v>
      </c>
      <c r="E42" s="3414">
        <v>11322.394488920614</v>
      </c>
      <c r="F42" s="3419">
        <f>IF(I42="NA","NA",I42/(44/12)*1000/E42)</f>
        <v>10.060010064022515</v>
      </c>
      <c r="G42" s="3395">
        <v>232.24676432555623</v>
      </c>
      <c r="H42" s="3396">
        <f t="shared" si="5"/>
        <v>851.57146919370609</v>
      </c>
      <c r="I42" s="3395">
        <v>417.64580919370627</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114567.14876792063</v>
      </c>
      <c r="F45" s="3343">
        <f>IF(I45="NA","NA",I45/(44/12)*1000/E45)</f>
        <v>25.701938635037312</v>
      </c>
      <c r="G45" s="3423">
        <f>SUM(G33:G43)</f>
        <v>3092.3225564004351</v>
      </c>
      <c r="H45" s="3371">
        <f t="shared" ref="H45" si="9">IF(G45="NA","NA",IF(G45="NO","NO",G45*44/12))</f>
        <v>11338.516040134928</v>
      </c>
      <c r="I45" s="3423">
        <f>SUM(I33:I43)</f>
        <v>10796.858699822385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52759.812024800012</v>
      </c>
      <c r="F47" s="3419">
        <f t="shared" ref="F47" si="10">IF(I47="NA","NA",I47/(44/12)*1000/E47)</f>
        <v>14.021432274344992</v>
      </c>
      <c r="G47" s="3395">
        <v>739.76813111290585</v>
      </c>
      <c r="H47" s="3374">
        <f t="shared" ref="H47" si="11">IF(G47="NA","NA",IF(G47="NO","NO",G47*44/12))</f>
        <v>2712.4831474139883</v>
      </c>
      <c r="I47" s="3395">
        <v>2712.4831474139883</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52759.812024800012</v>
      </c>
      <c r="F50" s="3343">
        <f>IF(I50="NA","NA",I50/(44/12)*1000/E50)</f>
        <v>14.021432274344992</v>
      </c>
      <c r="G50" s="3423">
        <f>SUM(G47:G48)</f>
        <v>739.76813111290585</v>
      </c>
      <c r="H50" s="3397">
        <f t="shared" ref="H50" si="13">IF(G50="NA","NA",IF(G50="NO","NO",G50*44/12))</f>
        <v>2712.4831474139883</v>
      </c>
      <c r="I50" s="3423">
        <f>SUM(I47:I48)</f>
        <v>2712.4831474139883</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301927.72424608323</v>
      </c>
      <c r="F55" s="3354">
        <f t="shared" si="14"/>
        <v>14.785453624196881</v>
      </c>
      <c r="G55" s="3423">
        <f>SUM(G31,G45,G50,G54)</f>
        <v>6512.3252397921788</v>
      </c>
      <c r="H55" s="3398">
        <f t="shared" si="15"/>
        <v>23878.52587923799</v>
      </c>
      <c r="I55" s="3423">
        <f>SUM(I31,I45,I50,I54)</f>
        <v>16368.507337232484</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543.56578200000001</v>
      </c>
      <c r="D10" s="3127"/>
      <c r="E10" s="3127"/>
      <c r="F10" s="3078">
        <f>SUM(F11,F18)</f>
        <v>1188.7755441721315</v>
      </c>
      <c r="G10" s="3078">
        <f>SUM(G11,G18)</f>
        <v>1292.1040585003002</v>
      </c>
      <c r="H10" s="3078">
        <f>H11</f>
        <v>-86.822000000000003</v>
      </c>
      <c r="I10" s="3128" t="s">
        <v>2146</v>
      </c>
      <c r="L10" s="3750"/>
    </row>
    <row r="11" spans="2:12" ht="18" customHeight="1" x14ac:dyDescent="0.2">
      <c r="B11" s="1252" t="s">
        <v>334</v>
      </c>
      <c r="C11" s="3033">
        <v>114.76137300000001</v>
      </c>
      <c r="D11" s="3078">
        <f>IFERROR(SUM(F11,H11)/$C$11,"NA")</f>
        <v>7.135114830322383</v>
      </c>
      <c r="E11" s="3078">
        <f>IFERROR(SUM(G11,I11)/$C$11,"NA")</f>
        <v>10.293196809454576</v>
      </c>
      <c r="F11" s="3078">
        <f>SUM(F12:F16)</f>
        <v>905.6575744404588</v>
      </c>
      <c r="G11" s="3078">
        <f>SUM(G12:G16)</f>
        <v>1181.2613984122265</v>
      </c>
      <c r="H11" s="3078">
        <f>H12</f>
        <v>-86.822000000000003</v>
      </c>
      <c r="I11" s="3128" t="s">
        <v>2146</v>
      </c>
    </row>
    <row r="12" spans="2:12" ht="18" customHeight="1" x14ac:dyDescent="0.2">
      <c r="B12" s="160" t="s">
        <v>335</v>
      </c>
      <c r="C12" s="3046"/>
      <c r="D12" s="3078">
        <f t="shared" ref="D12:D14" si="0">IFERROR(SUM(F12,H12)/$C$11,"NA")</f>
        <v>6.3535322444564937</v>
      </c>
      <c r="E12" s="3078">
        <f>IFERROR(SUM(G12,I12)/$C$11,"NA")</f>
        <v>8.1564967629842009</v>
      </c>
      <c r="F12" s="3126">
        <v>815.96208377359892</v>
      </c>
      <c r="G12" s="3126">
        <v>936.05076739012247</v>
      </c>
      <c r="H12" s="3126">
        <v>-86.822000000000003</v>
      </c>
      <c r="I12" s="3034" t="s">
        <v>2146</v>
      </c>
    </row>
    <row r="13" spans="2:12" ht="18" customHeight="1" x14ac:dyDescent="0.2">
      <c r="B13" s="160" t="s">
        <v>336</v>
      </c>
      <c r="C13" s="3046"/>
      <c r="D13" s="3078">
        <f t="shared" si="0"/>
        <v>0.36152892763735706</v>
      </c>
      <c r="E13" s="3078" t="s">
        <v>2147</v>
      </c>
      <c r="F13" s="3126">
        <v>41.489556114880742</v>
      </c>
      <c r="G13" s="3126" t="s">
        <v>2154</v>
      </c>
      <c r="H13" s="3126" t="s">
        <v>2146</v>
      </c>
      <c r="I13" s="3034" t="s">
        <v>2146</v>
      </c>
    </row>
    <row r="14" spans="2:12" ht="18" customHeight="1" x14ac:dyDescent="0.2">
      <c r="B14" s="160" t="s">
        <v>337</v>
      </c>
      <c r="C14" s="3046"/>
      <c r="D14" s="3078">
        <f t="shared" si="0"/>
        <v>0.41326259606533144</v>
      </c>
      <c r="E14" s="3078" t="s">
        <v>2147</v>
      </c>
      <c r="F14" s="3126">
        <v>47.426582934001836</v>
      </c>
      <c r="G14" s="3126" t="s">
        <v>2147</v>
      </c>
      <c r="H14" s="3126" t="s">
        <v>2146</v>
      </c>
      <c r="I14" s="3034" t="s">
        <v>2146</v>
      </c>
    </row>
    <row r="15" spans="2:12" ht="18" customHeight="1" x14ac:dyDescent="0.2">
      <c r="B15" s="160" t="s">
        <v>338</v>
      </c>
      <c r="C15" s="3033">
        <v>8.6821999999999996E-2</v>
      </c>
      <c r="D15" s="3078">
        <f>IFERROR(SUM(F15,H15)/$C15,"NA")</f>
        <v>8.9764301441711769</v>
      </c>
      <c r="E15" s="3078">
        <f>IFERROR(SUM(G15,I15)/$C15,"NA")</f>
        <v>2824.2914356050783</v>
      </c>
      <c r="F15" s="3126">
        <v>0.77935161797722996</v>
      </c>
      <c r="G15" s="3126">
        <v>245.21063102210411</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428.80440900000002</v>
      </c>
      <c r="D18" s="3078">
        <f>IFERROR(SUM(F18,H18)/$C$18,"NA")</f>
        <v>0.66024967045446736</v>
      </c>
      <c r="E18" s="3078">
        <f>IFERROR(SUM(G18,I18)/$C$18,"NA")</f>
        <v>0.25849235166813228</v>
      </c>
      <c r="F18" s="3078">
        <f>SUM(F19:F21)</f>
        <v>283.11796973167264</v>
      </c>
      <c r="G18" s="3131">
        <f t="shared" ref="G18" si="2">SUM(G19:G21)</f>
        <v>110.84266008807363</v>
      </c>
      <c r="H18" s="3078" t="s">
        <v>2146</v>
      </c>
      <c r="I18" s="3128" t="s">
        <v>2146</v>
      </c>
    </row>
    <row r="19" spans="2:9" ht="18" customHeight="1" x14ac:dyDescent="0.2">
      <c r="B19" s="160" t="s">
        <v>341</v>
      </c>
      <c r="C19" s="3046"/>
      <c r="D19" s="3078">
        <f>IFERROR(SUM(F19,H19)/$C$18,"NA")</f>
        <v>0.66024967045446736</v>
      </c>
      <c r="E19" s="3078">
        <f>IFERROR(SUM(G19,I19)/$C$18,"NA")</f>
        <v>0.25849235166813228</v>
      </c>
      <c r="F19" s="3126">
        <v>283.11796973167264</v>
      </c>
      <c r="G19" s="3126">
        <v>110.84266008807363</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261.19332863</v>
      </c>
      <c r="J10" s="3145">
        <f>IF(SUM(J11:J16)=0,"NO",SUM(J11:J16))</f>
        <v>4.7300845059291259</v>
      </c>
      <c r="K10" s="1913">
        <f>IF(SUM(K11:K16)=0,"NO",SUM(K11:K16))</f>
        <v>7.9831830140000004E-3</v>
      </c>
      <c r="L10" s="3146" t="s">
        <v>2146</v>
      </c>
    </row>
    <row r="11" spans="2:12" ht="18" customHeight="1" x14ac:dyDescent="0.2">
      <c r="B11" s="1252" t="s">
        <v>363</v>
      </c>
      <c r="C11" s="2165" t="s">
        <v>2159</v>
      </c>
      <c r="D11" s="2165" t="s">
        <v>2275</v>
      </c>
      <c r="E11" s="691">
        <v>627.58100000000002</v>
      </c>
      <c r="F11" s="1913">
        <f>I11*1000000/$E11</f>
        <v>3200.0000000000005</v>
      </c>
      <c r="G11" s="1913">
        <f>J11*1000000/$E11</f>
        <v>0.33</v>
      </c>
      <c r="H11" s="1913">
        <f>K11*1000000/$E11</f>
        <v>0.22</v>
      </c>
      <c r="I11" s="3141">
        <v>2.0082592000000004</v>
      </c>
      <c r="J11" s="691">
        <v>2.0710173000000002E-4</v>
      </c>
      <c r="K11" s="3142">
        <v>1.3806782000000002E-4</v>
      </c>
      <c r="L11" s="3093" t="s">
        <v>2146</v>
      </c>
    </row>
    <row r="12" spans="2:12" ht="18" customHeight="1" x14ac:dyDescent="0.2">
      <c r="B12" s="1252" t="s">
        <v>364</v>
      </c>
      <c r="C12" s="2165" t="s">
        <v>2160</v>
      </c>
      <c r="D12" s="2165" t="s">
        <v>2161</v>
      </c>
      <c r="E12" s="691">
        <v>748.02225223029996</v>
      </c>
      <c r="F12" s="1913" t="s">
        <v>2147</v>
      </c>
      <c r="G12" s="1913">
        <f>J12*1000000/$E12</f>
        <v>3707.652213985355</v>
      </c>
      <c r="H12" s="3096"/>
      <c r="I12" s="3147" t="s">
        <v>2147</v>
      </c>
      <c r="J12" s="691">
        <v>2.7734063595919833</v>
      </c>
      <c r="K12" s="3046"/>
      <c r="L12" s="3093" t="s">
        <v>2146</v>
      </c>
    </row>
    <row r="13" spans="2:12" ht="18" customHeight="1" x14ac:dyDescent="0.2">
      <c r="B13" s="1252" t="s">
        <v>365</v>
      </c>
      <c r="C13" s="2165" t="s">
        <v>2162</v>
      </c>
      <c r="D13" s="2165" t="s">
        <v>2161</v>
      </c>
      <c r="E13" s="691">
        <v>506.45995399999998</v>
      </c>
      <c r="F13" s="1913" t="s">
        <v>2147</v>
      </c>
      <c r="G13" s="1913">
        <f>J13*1000000/$E13</f>
        <v>160.67382891244358</v>
      </c>
      <c r="H13" s="3096"/>
      <c r="I13" s="3147" t="s">
        <v>2147</v>
      </c>
      <c r="J13" s="691">
        <v>8.1374860000000049E-2</v>
      </c>
      <c r="K13" s="3046"/>
      <c r="L13" s="3093" t="s">
        <v>2146</v>
      </c>
    </row>
    <row r="14" spans="2:12" ht="18" customHeight="1" x14ac:dyDescent="0.2">
      <c r="B14" s="1252" t="s">
        <v>366</v>
      </c>
      <c r="C14" s="2165" t="s">
        <v>2163</v>
      </c>
      <c r="D14" s="2165" t="s">
        <v>2161</v>
      </c>
      <c r="E14" s="691">
        <v>1156.1810033131201</v>
      </c>
      <c r="F14" s="1913">
        <f>I14*1000000/$E14</f>
        <v>224173.43710654863</v>
      </c>
      <c r="G14" s="1913">
        <f>J14*1000000/$E14</f>
        <v>1554.7760154387445</v>
      </c>
      <c r="H14" s="1913">
        <f>K14*1000000/$E14</f>
        <v>6.7853693941686091</v>
      </c>
      <c r="I14" s="3147">
        <v>259.18506943</v>
      </c>
      <c r="J14" s="691">
        <v>1.7976024934571426</v>
      </c>
      <c r="K14" s="3142">
        <v>7.8451151939999998E-3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7.7493691150000002E-2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2928</v>
      </c>
      <c r="F18" s="1913" t="s">
        <v>2147</v>
      </c>
      <c r="G18" s="1913">
        <f>J18*1000000/$E18</f>
        <v>26.46642457308743</v>
      </c>
      <c r="H18" s="3148"/>
      <c r="I18" s="3150" t="s">
        <v>2147</v>
      </c>
      <c r="J18" s="2190">
        <v>7.7493691150000002E-2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86.234518996231515</v>
      </c>
      <c r="J21" s="3155">
        <f>IF(SUM(J22:J27)=0,"NO",SUM(J22:J27))</f>
        <v>150.7799985588195</v>
      </c>
      <c r="K21" s="3067">
        <f>IF(SUM(K22:K27)=0,"NO",SUM(K22:K27))</f>
        <v>2.2666915746000003E-3</v>
      </c>
      <c r="L21" s="3068" t="str">
        <f>IF(SUM(L22:L27)=0,"NO",SUM(L22:L27))</f>
        <v>NO</v>
      </c>
    </row>
    <row r="22" spans="2:12" ht="18" customHeight="1" x14ac:dyDescent="0.2">
      <c r="B22" s="1469" t="s">
        <v>371</v>
      </c>
      <c r="C22" s="2165" t="s">
        <v>2164</v>
      </c>
      <c r="D22" s="2165" t="s">
        <v>2147</v>
      </c>
      <c r="E22" s="691">
        <v>907.97729803902234</v>
      </c>
      <c r="F22" s="1913">
        <f>I22*1000000/$E22</f>
        <v>84774.178397472235</v>
      </c>
      <c r="G22" s="1913">
        <f>J22*1000000/$E22</f>
        <v>3210.8340991558175</v>
      </c>
      <c r="H22" s="1913">
        <f>K22*1000000/$E22</f>
        <v>2.4964187755524527</v>
      </c>
      <c r="I22" s="3141">
        <v>76.973029444814884</v>
      </c>
      <c r="J22" s="692">
        <v>2.9153644698030576</v>
      </c>
      <c r="K22" s="4141">
        <v>2.2666915746000003E-3</v>
      </c>
      <c r="L22" s="3156" t="s">
        <v>2146</v>
      </c>
    </row>
    <row r="23" spans="2:12" ht="18" customHeight="1" x14ac:dyDescent="0.2">
      <c r="B23" s="1252" t="s">
        <v>372</v>
      </c>
      <c r="C23" s="2165" t="s">
        <v>2165</v>
      </c>
      <c r="D23" s="2165" t="s">
        <v>2161</v>
      </c>
      <c r="E23" s="691">
        <v>3579.05377676745</v>
      </c>
      <c r="F23" s="1913">
        <f>I23*1000000/$E23</f>
        <v>171.95882130778904</v>
      </c>
      <c r="G23" s="1913">
        <f>J23*1000000/$E23</f>
        <v>5900.4827147478918</v>
      </c>
      <c r="H23" s="3096"/>
      <c r="I23" s="3147">
        <v>0.61544986885012143</v>
      </c>
      <c r="J23" s="691">
        <v>21.118144944969497</v>
      </c>
      <c r="K23" s="3046"/>
      <c r="L23" s="3156" t="s">
        <v>2146</v>
      </c>
    </row>
    <row r="24" spans="2:12" ht="18" customHeight="1" x14ac:dyDescent="0.2">
      <c r="B24" s="1252" t="s">
        <v>373</v>
      </c>
      <c r="C24" s="2165" t="s">
        <v>2165</v>
      </c>
      <c r="D24" s="2165" t="s">
        <v>2161</v>
      </c>
      <c r="E24" s="691">
        <v>3579.05377676745</v>
      </c>
      <c r="F24" s="1913">
        <f t="shared" ref="F24:F26" si="0">I24*1000000/$E24</f>
        <v>919.54823160165415</v>
      </c>
      <c r="G24" s="1913">
        <f t="shared" ref="G24:G26" si="1">J24*1000000/$E24</f>
        <v>5274.6308808180002</v>
      </c>
      <c r="H24" s="1879"/>
      <c r="I24" s="691">
        <v>3.2911125712337301</v>
      </c>
      <c r="J24" s="691">
        <v>18.878187575045885</v>
      </c>
      <c r="K24" s="1914"/>
      <c r="L24" s="3093" t="str">
        <f>IF(Table1.C!E21="NO","NO",-Table1.C!E21)</f>
        <v>NO</v>
      </c>
    </row>
    <row r="25" spans="2:12" ht="18" customHeight="1" x14ac:dyDescent="0.2">
      <c r="B25" s="1252" t="s">
        <v>374</v>
      </c>
      <c r="C25" s="2165" t="s">
        <v>2276</v>
      </c>
      <c r="D25" s="2165" t="s">
        <v>2171</v>
      </c>
      <c r="E25" s="691">
        <v>28783.999999999993</v>
      </c>
      <c r="F25" s="1913">
        <f t="shared" si="0"/>
        <v>20.000000000000004</v>
      </c>
      <c r="G25" s="1913">
        <f t="shared" si="1"/>
        <v>412.80440191640872</v>
      </c>
      <c r="H25" s="3096"/>
      <c r="I25" s="3147">
        <v>0.57567999999999997</v>
      </c>
      <c r="J25" s="691">
        <v>11.882161904761904</v>
      </c>
      <c r="K25" s="3046"/>
      <c r="L25" s="3093" t="s">
        <v>2146</v>
      </c>
    </row>
    <row r="26" spans="2:12" ht="18" customHeight="1" x14ac:dyDescent="0.2">
      <c r="B26" s="1252" t="s">
        <v>375</v>
      </c>
      <c r="C26" s="2165" t="s">
        <v>2166</v>
      </c>
      <c r="D26" s="2165" t="s">
        <v>2161</v>
      </c>
      <c r="E26" s="691">
        <v>398.33149322948702</v>
      </c>
      <c r="F26" s="1913">
        <f t="shared" si="0"/>
        <v>10648.291867689091</v>
      </c>
      <c r="G26" s="1913">
        <f t="shared" si="1"/>
        <v>190035.26280657246</v>
      </c>
      <c r="H26" s="3096"/>
      <c r="I26" s="3147">
        <v>4.2415499999999993</v>
      </c>
      <c r="J26" s="691">
        <v>75.697029999999998</v>
      </c>
      <c r="K26" s="3046"/>
      <c r="L26" s="3093" t="s">
        <v>2146</v>
      </c>
    </row>
    <row r="27" spans="2:12" ht="18" customHeight="1" x14ac:dyDescent="0.2">
      <c r="B27" s="2414" t="s">
        <v>376</v>
      </c>
      <c r="C27" s="621"/>
      <c r="D27" s="621"/>
      <c r="E27" s="628"/>
      <c r="F27" s="628"/>
      <c r="G27" s="628"/>
      <c r="H27" s="3148"/>
      <c r="I27" s="1913">
        <f>IF(SUM(I29:I31)=0,"NO",SUM(I29:I31))</f>
        <v>0.53769711133277065</v>
      </c>
      <c r="J27" s="1913">
        <f>IF(SUM(J29:J31)=0,"NO",SUM(J29:J31))</f>
        <v>20.289109664239152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0.53769711133277065</v>
      </c>
      <c r="J29" s="3150">
        <v>12.862675983789153</v>
      </c>
      <c r="K29" s="3132"/>
      <c r="L29" s="3102" t="s">
        <v>2146</v>
      </c>
    </row>
    <row r="30" spans="2:12" ht="18" customHeight="1" x14ac:dyDescent="0.2">
      <c r="B30" s="2415" t="s">
        <v>378</v>
      </c>
      <c r="C30" s="2165" t="s">
        <v>2156</v>
      </c>
      <c r="D30" s="2165" t="s">
        <v>2155</v>
      </c>
      <c r="E30" s="691">
        <v>11044</v>
      </c>
      <c r="F30" s="1913" t="s">
        <v>2147</v>
      </c>
      <c r="G30" s="1913">
        <f t="shared" ref="G30" si="2">J30*1000000/$E30</f>
        <v>20.412321663346614</v>
      </c>
      <c r="H30" s="3148"/>
      <c r="I30" s="3150" t="s">
        <v>2147</v>
      </c>
      <c r="J30" s="3150">
        <v>0.22543368045000001</v>
      </c>
      <c r="K30" s="3132"/>
      <c r="L30" s="3102" t="s">
        <v>2146</v>
      </c>
    </row>
    <row r="31" spans="2:12" ht="18" customHeight="1" x14ac:dyDescent="0.2">
      <c r="B31" s="1242" t="s">
        <v>379</v>
      </c>
      <c r="C31" s="621"/>
      <c r="D31" s="621"/>
      <c r="E31" s="628"/>
      <c r="F31" s="628"/>
      <c r="G31" s="628"/>
      <c r="H31" s="3148"/>
      <c r="I31" s="1913" t="s">
        <v>2147</v>
      </c>
      <c r="J31" s="1913">
        <f>IF(SUM(J32:J34)=0,"NO",SUM(J32:J34))</f>
        <v>7.2009999999999996</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369666.66666666669</v>
      </c>
      <c r="H32" s="3148"/>
      <c r="I32" s="3150" t="s">
        <v>2147</v>
      </c>
      <c r="J32" s="3150">
        <v>2.218</v>
      </c>
      <c r="K32" s="3132"/>
      <c r="L32" s="3102" t="s">
        <v>2146</v>
      </c>
    </row>
    <row r="33" spans="2:12" ht="18" customHeight="1" x14ac:dyDescent="0.2">
      <c r="B33" s="2592" t="s">
        <v>2174</v>
      </c>
      <c r="C33" s="277" t="s">
        <v>2172</v>
      </c>
      <c r="D33" s="277" t="s">
        <v>2172</v>
      </c>
      <c r="E33" s="691">
        <v>3</v>
      </c>
      <c r="F33" s="1913" t="s">
        <v>2147</v>
      </c>
      <c r="G33" s="1913">
        <f t="shared" si="3"/>
        <v>921000</v>
      </c>
      <c r="H33" s="3096"/>
      <c r="I33" s="3147" t="s">
        <v>2147</v>
      </c>
      <c r="J33" s="3147">
        <v>2.7629999999999999</v>
      </c>
      <c r="K33" s="3046"/>
      <c r="L33" s="3093" t="s">
        <v>2146</v>
      </c>
    </row>
    <row r="34" spans="2:12" ht="18" customHeight="1" thickBot="1" x14ac:dyDescent="0.25">
      <c r="B34" s="2590" t="s">
        <v>2175</v>
      </c>
      <c r="C34" s="2591" t="s">
        <v>2172</v>
      </c>
      <c r="D34" s="2591" t="s">
        <v>2172</v>
      </c>
      <c r="E34" s="2912">
        <v>2</v>
      </c>
      <c r="F34" s="3157" t="s">
        <v>2147</v>
      </c>
      <c r="G34" s="3157">
        <f t="shared" ref="G34" si="4">J34*1000000/$E34</f>
        <v>1109999.9999999998</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6550.2473830390418</v>
      </c>
      <c r="J35" s="3067">
        <f>IF(SUM(J36,J40)=0,"NO",SUM(J36,J40))</f>
        <v>67.893912339721098</v>
      </c>
      <c r="K35" s="3067">
        <f>IF(SUM(K36,K40)=0,"NO",SUM(K36,K40))</f>
        <v>9.212804161152259E-2</v>
      </c>
      <c r="L35" s="3068" t="str">
        <f>IF(SUM(L36,L40)=0,"NO",SUM(L36,L40))</f>
        <v>NO</v>
      </c>
    </row>
    <row r="36" spans="2:12" ht="18" customHeight="1" x14ac:dyDescent="0.2">
      <c r="B36" s="1468" t="s">
        <v>381</v>
      </c>
      <c r="C36" s="2170"/>
      <c r="D36" s="2170"/>
      <c r="E36" s="3025"/>
      <c r="F36" s="3025"/>
      <c r="G36" s="3025"/>
      <c r="H36" s="3025"/>
      <c r="I36" s="3162">
        <f>IF(SUM(I37:I39)=0,"NO",SUM(I37:I39))</f>
        <v>3656.5394816390417</v>
      </c>
      <c r="J36" s="1913">
        <f>IF(SUM(J37:J39)=0,"NO",SUM(J37:J39))</f>
        <v>47.637001392959192</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4327.0760289977497</v>
      </c>
      <c r="F39" s="1913">
        <f t="shared" ref="F39" si="5">SUM(I39,L39)*1000000/$E39</f>
        <v>845037.03127351345</v>
      </c>
      <c r="G39" s="1913">
        <f t="shared" ref="G39" si="6">J39*1000000/$E39</f>
        <v>11009.051163816277</v>
      </c>
      <c r="H39" s="1913">
        <f t="shared" ref="H39" si="7">K39*1000000/$E39</f>
        <v>0</v>
      </c>
      <c r="I39" s="691">
        <v>3656.5394816390417</v>
      </c>
      <c r="J39" s="691">
        <v>47.637001392959192</v>
      </c>
      <c r="K39" s="3132"/>
      <c r="L39" s="3093" t="s">
        <v>2146</v>
      </c>
    </row>
    <row r="40" spans="2:12" ht="18" customHeight="1" x14ac:dyDescent="0.2">
      <c r="B40" s="1468" t="s">
        <v>385</v>
      </c>
      <c r="C40" s="2170"/>
      <c r="D40" s="2170"/>
      <c r="E40" s="3025"/>
      <c r="F40" s="3025"/>
      <c r="G40" s="3025"/>
      <c r="H40" s="3025"/>
      <c r="I40" s="3162">
        <f>IF(SUM(I41:I43)=0,"NO",SUM(I41:I43))</f>
        <v>2893.7079014000001</v>
      </c>
      <c r="J40" s="3162">
        <f>IF(SUM(J41:J43)=0,"NO",SUM(J41:J43))</f>
        <v>20.256910946761906</v>
      </c>
      <c r="K40" s="1913">
        <f>IF(SUM(K41:K43)=0,"NO",SUM(K41:K43))</f>
        <v>9.212804161152259E-2</v>
      </c>
      <c r="L40" s="3065" t="str">
        <f>IF(SUM(L41:L43)=0,"NO",SUM(L41:L43))</f>
        <v>NO</v>
      </c>
    </row>
    <row r="41" spans="2:12" ht="18" customHeight="1" x14ac:dyDescent="0.2">
      <c r="B41" s="1470" t="s">
        <v>386</v>
      </c>
      <c r="C41" s="277" t="s">
        <v>2169</v>
      </c>
      <c r="D41" s="277" t="s">
        <v>2170</v>
      </c>
      <c r="E41" s="691">
        <v>19.5243</v>
      </c>
      <c r="F41" s="1913">
        <f t="shared" ref="F41:F42" si="8">SUM(I41,L41)*1000000/$E41</f>
        <v>75393299.891929537</v>
      </c>
      <c r="G41" s="1913">
        <f t="shared" ref="G41:H42" si="9">J41*1000000/$E41</f>
        <v>909097.48784847592</v>
      </c>
      <c r="H41" s="1913">
        <f t="shared" si="9"/>
        <v>2108.6963179832314</v>
      </c>
      <c r="I41" s="692">
        <v>1472.00140508</v>
      </c>
      <c r="J41" s="692">
        <v>17.749492082</v>
      </c>
      <c r="K41" s="692">
        <v>4.1170819521200004E-2</v>
      </c>
      <c r="L41" s="3156" t="s">
        <v>2146</v>
      </c>
    </row>
    <row r="42" spans="2:12" ht="18" customHeight="1" x14ac:dyDescent="0.2">
      <c r="B42" s="1470" t="s">
        <v>387</v>
      </c>
      <c r="C42" s="277" t="s">
        <v>2169</v>
      </c>
      <c r="D42" s="277" t="s">
        <v>2170</v>
      </c>
      <c r="E42" s="691">
        <v>30503.726254245299</v>
      </c>
      <c r="F42" s="1913">
        <f t="shared" si="8"/>
        <v>46607.633587786244</v>
      </c>
      <c r="G42" s="1913">
        <f t="shared" si="9"/>
        <v>82.200411971404307</v>
      </c>
      <c r="H42" s="1913">
        <f t="shared" si="9"/>
        <v>1.6705245013543455</v>
      </c>
      <c r="I42" s="691">
        <v>1421.7064963200003</v>
      </c>
      <c r="J42" s="691">
        <v>2.5074188647619051</v>
      </c>
      <c r="K42" s="691">
        <v>5.0957222090322586E-2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39.563377983665845</v>
      </c>
      <c r="M9" s="3358">
        <f>100*C10/SUM(C10,'Table1.A(a)s3'!C16)</f>
        <v>60.436622016334155</v>
      </c>
    </row>
    <row r="10" spans="1:13" ht="18" customHeight="1" thickTop="1" thickBot="1" x14ac:dyDescent="0.25">
      <c r="B10" s="223" t="s">
        <v>430</v>
      </c>
      <c r="C10" s="3338">
        <f>IF(SUM(C11:C13)=0,"NO",SUM(C11:C13))</f>
        <v>148672.6624</v>
      </c>
      <c r="D10" s="3339"/>
      <c r="E10" s="3340"/>
      <c r="F10" s="3340"/>
      <c r="G10" s="3338">
        <f>IF(SUM(G11:G13)=0,"NO",SUM(G11:G13))</f>
        <v>10347.61730304</v>
      </c>
      <c r="H10" s="3338">
        <f>IF(SUM(H11:H13)=0,"NO",SUM(H11:H13))</f>
        <v>1.7661693902439025E-2</v>
      </c>
      <c r="I10" s="1154">
        <f>IF(SUM(I11:I13)=0,"NO",SUM(I11:I13))</f>
        <v>5.1998333104903711E-2</v>
      </c>
      <c r="J10" s="4"/>
      <c r="K10" s="68" t="s">
        <v>431</v>
      </c>
      <c r="L10" s="3359">
        <f>100-M10</f>
        <v>52.830429544338891</v>
      </c>
      <c r="M10" s="3360">
        <f>100*C14/SUM(C14,'Table1.A(a)s3'!C88)</f>
        <v>47.169570455661109</v>
      </c>
    </row>
    <row r="11" spans="1:13" ht="18" customHeight="1" x14ac:dyDescent="0.2">
      <c r="B11" s="1258" t="s">
        <v>178</v>
      </c>
      <c r="C11" s="3341">
        <v>148672.6624</v>
      </c>
      <c r="D11" s="116">
        <f>IF(G11="NO","NA",G11*1000/$C11)</f>
        <v>69.599999999999994</v>
      </c>
      <c r="E11" s="116">
        <f t="shared" ref="E11:F13" si="0">IF(H11="NO","NA",H11*1000000/$C11)</f>
        <v>0.11879584058917765</v>
      </c>
      <c r="F11" s="116">
        <f t="shared" si="0"/>
        <v>0.34975046700249113</v>
      </c>
      <c r="G11" s="3062">
        <v>10347.61730304</v>
      </c>
      <c r="H11" s="3062">
        <v>1.7661693902439025E-2</v>
      </c>
      <c r="I11" s="3063">
        <v>5.1998333104903711E-2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28530</v>
      </c>
      <c r="D14" s="3348"/>
      <c r="E14" s="3349"/>
      <c r="F14" s="3350"/>
      <c r="G14" s="3347">
        <f>IF(SUM(G15:G18,G20:G22)=0,"NO",SUM(G15:G18,G20:G22))</f>
        <v>2094.5169999999998</v>
      </c>
      <c r="H14" s="3347">
        <f>IF(SUM(H15:H18,H20:H22)=0,"NO",SUM(H15:H18,H20:H22))</f>
        <v>0.19971</v>
      </c>
      <c r="I14" s="1155">
        <f>IF(SUM(I15:I18,I20:I22)=0,"NO",SUM(I15:I18,I20:I22))</f>
        <v>5.706E-2</v>
      </c>
      <c r="J14" s="4"/>
      <c r="K14" s="1047"/>
      <c r="L14" s="1047"/>
      <c r="M14" s="1047"/>
    </row>
    <row r="15" spans="1:13" ht="18" customHeight="1" x14ac:dyDescent="0.2">
      <c r="B15" s="1260" t="s">
        <v>190</v>
      </c>
      <c r="C15" s="143">
        <v>27100</v>
      </c>
      <c r="D15" s="116">
        <f>IF(G15="NO","NA",G15*1000/$C15)</f>
        <v>73.599999999999994</v>
      </c>
      <c r="E15" s="116">
        <f t="shared" ref="E15:F17" si="1">IF(H15="NO","NA",H15*1000000/$C15)</f>
        <v>7</v>
      </c>
      <c r="F15" s="116">
        <f t="shared" si="1"/>
        <v>2</v>
      </c>
      <c r="G15" s="3064">
        <v>1994.56</v>
      </c>
      <c r="H15" s="3064">
        <v>0.18970000000000001</v>
      </c>
      <c r="I15" s="135">
        <v>5.4199999999999998E-2</v>
      </c>
      <c r="J15" s="4"/>
      <c r="K15" s="1047"/>
      <c r="L15" s="1047"/>
      <c r="M15" s="1047"/>
    </row>
    <row r="16" spans="1:13" ht="18" customHeight="1" x14ac:dyDescent="0.2">
      <c r="B16" s="1260" t="s">
        <v>191</v>
      </c>
      <c r="C16" s="3351">
        <v>1430</v>
      </c>
      <c r="D16" s="116">
        <f>IF(G16="NO","NA",G16*1000/$C16)</f>
        <v>69.90000000000002</v>
      </c>
      <c r="E16" s="116">
        <f t="shared" si="1"/>
        <v>7.0000000000000009</v>
      </c>
      <c r="F16" s="116">
        <f t="shared" si="1"/>
        <v>2.0000000000000004</v>
      </c>
      <c r="G16" s="3064">
        <v>99.957000000000022</v>
      </c>
      <c r="H16" s="3064">
        <v>1.0010000000000002E-2</v>
      </c>
      <c r="I16" s="135">
        <v>2.8600000000000006E-3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23406.315239742638</v>
      </c>
      <c r="D10" s="2913">
        <f t="shared" ref="D10:N10" si="0">IF(SUM(D11,D16,D27,D35,D39,D45,D52,D57)=0,"NO",SUM(D11,D16,D27,D35,D39,D45,D52,D57))</f>
        <v>3.69447887454705</v>
      </c>
      <c r="E10" s="2913">
        <f t="shared" si="0"/>
        <v>10.586346782515909</v>
      </c>
      <c r="F10" s="2913">
        <f t="shared" si="0"/>
        <v>6735.3322595752779</v>
      </c>
      <c r="G10" s="2913">
        <f t="shared" si="0"/>
        <v>254.72735698266911</v>
      </c>
      <c r="H10" s="2913" t="str">
        <f t="shared" si="0"/>
        <v>NO</v>
      </c>
      <c r="I10" s="2913">
        <f t="shared" si="0"/>
        <v>5.6933828580483905E-3</v>
      </c>
      <c r="J10" s="2913" t="str">
        <f t="shared" si="0"/>
        <v>NO</v>
      </c>
      <c r="K10" s="2913">
        <f t="shared" si="0"/>
        <v>9.2107075958317477</v>
      </c>
      <c r="L10" s="2914">
        <f t="shared" si="0"/>
        <v>24.050581571109213</v>
      </c>
      <c r="M10" s="2915">
        <f t="shared" si="0"/>
        <v>237.82332907922432</v>
      </c>
      <c r="N10" s="2916">
        <f t="shared" si="0"/>
        <v>1618.822464401009</v>
      </c>
      <c r="O10" s="3020">
        <f t="shared" ref="O10:O58" si="1">IF(SUM(C10:J10)=0,"NO",SUM(C10,F10:H10)+28*SUM(D10)+265*SUM(E10)+23500*SUM(I10)+16100*SUM(J10))</f>
        <v>33438.996659318749</v>
      </c>
    </row>
    <row r="11" spans="1:15" ht="18" customHeight="1" x14ac:dyDescent="0.2">
      <c r="B11" s="1263" t="s">
        <v>444</v>
      </c>
      <c r="C11" s="2137">
        <f>IF(SUM(C12:C15)=0,"NO",SUM(C12:C15))</f>
        <v>6303.975122199774</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6303.975122199774</v>
      </c>
    </row>
    <row r="12" spans="1:15" ht="18" customHeight="1" x14ac:dyDescent="0.2">
      <c r="B12" s="1264" t="s">
        <v>445</v>
      </c>
      <c r="C12" s="2920">
        <f>'Table2(I).A-H'!H11</f>
        <v>3548.6148160000002</v>
      </c>
      <c r="D12" s="2136"/>
      <c r="E12" s="2136"/>
      <c r="F12" s="628"/>
      <c r="G12" s="628"/>
      <c r="H12" s="2135"/>
      <c r="I12" s="628"/>
      <c r="J12" s="2135"/>
      <c r="K12" s="2135"/>
      <c r="L12" s="2135"/>
      <c r="M12" s="2135"/>
      <c r="N12" s="2919" t="s">
        <v>2146</v>
      </c>
      <c r="O12" s="2934">
        <f t="shared" si="1"/>
        <v>3548.6148160000002</v>
      </c>
    </row>
    <row r="13" spans="1:15" ht="18" customHeight="1" x14ac:dyDescent="0.2">
      <c r="B13" s="1264" t="s">
        <v>446</v>
      </c>
      <c r="C13" s="1878">
        <f>'Table2(I).A-H'!H12</f>
        <v>1230.5673015100365</v>
      </c>
      <c r="D13" s="2108"/>
      <c r="E13" s="2108"/>
      <c r="F13" s="628"/>
      <c r="G13" s="628"/>
      <c r="H13" s="2135"/>
      <c r="I13" s="628"/>
      <c r="J13" s="2135"/>
      <c r="K13" s="628"/>
      <c r="L13" s="628"/>
      <c r="M13" s="628"/>
      <c r="N13" s="1838"/>
      <c r="O13" s="1880">
        <f t="shared" si="1"/>
        <v>1230.5673015100365</v>
      </c>
    </row>
    <row r="14" spans="1:15" ht="18" customHeight="1" x14ac:dyDescent="0.2">
      <c r="B14" s="1264" t="s">
        <v>447</v>
      </c>
      <c r="C14" s="1878">
        <f>'Table2(I).A-H'!H13</f>
        <v>117.5033006532</v>
      </c>
      <c r="D14" s="2108"/>
      <c r="E14" s="2108"/>
      <c r="F14" s="628"/>
      <c r="G14" s="628"/>
      <c r="H14" s="2135"/>
      <c r="I14" s="628"/>
      <c r="J14" s="2135"/>
      <c r="K14" s="628"/>
      <c r="L14" s="628"/>
      <c r="M14" s="628"/>
      <c r="N14" s="1838"/>
      <c r="O14" s="1880">
        <f t="shared" si="1"/>
        <v>117.5033006532</v>
      </c>
    </row>
    <row r="15" spans="1:15" ht="18" customHeight="1" thickBot="1" x14ac:dyDescent="0.25">
      <c r="B15" s="1264" t="s">
        <v>448</v>
      </c>
      <c r="C15" s="1878">
        <f>'Table2(I).A-H'!H14</f>
        <v>1407.2897040365374</v>
      </c>
      <c r="D15" s="1879"/>
      <c r="E15" s="1879"/>
      <c r="F15" s="3021"/>
      <c r="G15" s="3021"/>
      <c r="H15" s="3021"/>
      <c r="I15" s="3021"/>
      <c r="J15" s="3021"/>
      <c r="K15" s="2606" t="s">
        <v>2146</v>
      </c>
      <c r="L15" s="2606" t="s">
        <v>2146</v>
      </c>
      <c r="M15" s="2606" t="s">
        <v>2146</v>
      </c>
      <c r="N15" s="2607" t="s">
        <v>2146</v>
      </c>
      <c r="O15" s="1880">
        <f t="shared" si="1"/>
        <v>1407.2897040365374</v>
      </c>
    </row>
    <row r="16" spans="1:15" ht="18" customHeight="1" x14ac:dyDescent="0.2">
      <c r="B16" s="1265" t="s">
        <v>449</v>
      </c>
      <c r="C16" s="2137">
        <f>IF(SUM(C17:C26)=0,"NO",SUM(C17:C26))</f>
        <v>3586.5679135756236</v>
      </c>
      <c r="D16" s="2137">
        <f t="shared" ref="D16:N16" si="3">IF(SUM(D17:D26)=0,"NO",SUM(D17:D26))</f>
        <v>0.57776359999999993</v>
      </c>
      <c r="E16" s="2137">
        <f t="shared" si="3"/>
        <v>10.515402041905819</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6389.326835480666</v>
      </c>
    </row>
    <row r="17" spans="2:15" ht="18" customHeight="1" x14ac:dyDescent="0.2">
      <c r="B17" s="1266" t="s">
        <v>450</v>
      </c>
      <c r="C17" s="2920">
        <f>SUM('Table2(I).A-H'!H23,'Table2(I).A-H'!K23:L23)</f>
        <v>2391.1398185674257</v>
      </c>
      <c r="D17" s="2139" t="str">
        <f>'Table2(I).A-H'!I23</f>
        <v>NO</v>
      </c>
      <c r="E17" s="2139" t="str">
        <f>'Table2(I).A-H'!J23</f>
        <v>NO</v>
      </c>
      <c r="F17" s="2135"/>
      <c r="G17" s="2135"/>
      <c r="H17" s="2135"/>
      <c r="I17" s="2135"/>
      <c r="J17" s="2135"/>
      <c r="K17" s="692" t="s">
        <v>2146</v>
      </c>
      <c r="L17" s="692" t="s">
        <v>2146</v>
      </c>
      <c r="M17" s="692" t="s">
        <v>2146</v>
      </c>
      <c r="N17" s="692" t="s">
        <v>2146</v>
      </c>
      <c r="O17" s="2934">
        <f t="shared" si="1"/>
        <v>2391.1398185674257</v>
      </c>
    </row>
    <row r="18" spans="2:15" ht="18" customHeight="1" x14ac:dyDescent="0.2">
      <c r="B18" s="1264" t="s">
        <v>451</v>
      </c>
      <c r="C18" s="1910"/>
      <c r="D18" s="2136"/>
      <c r="E18" s="2139">
        <f>'Table2(I).A-H'!J24</f>
        <v>10.515402041905819</v>
      </c>
      <c r="F18" s="628"/>
      <c r="G18" s="628"/>
      <c r="H18" s="2135"/>
      <c r="I18" s="628"/>
      <c r="J18" s="2135"/>
      <c r="K18" s="692" t="s">
        <v>2146</v>
      </c>
      <c r="L18" s="628"/>
      <c r="M18" s="628"/>
      <c r="N18" s="1838"/>
      <c r="O18" s="2934">
        <f t="shared" si="1"/>
        <v>2786.5815411050421</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1016.21153205</v>
      </c>
      <c r="D22" s="1914"/>
      <c r="E22" s="628"/>
      <c r="F22" s="628"/>
      <c r="G22" s="628"/>
      <c r="H22" s="2135"/>
      <c r="I22" s="628"/>
      <c r="J22" s="2135"/>
      <c r="K22" s="1914"/>
      <c r="L22" s="1914"/>
      <c r="M22" s="1914"/>
      <c r="N22" s="2921"/>
      <c r="O22" s="1880">
        <f t="shared" si="1"/>
        <v>1016.21153205</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130.9217569581977</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130.9217569581977</v>
      </c>
    </row>
    <row r="27" spans="2:15" ht="18" customHeight="1" x14ac:dyDescent="0.2">
      <c r="B27" s="1263" t="s">
        <v>459</v>
      </c>
      <c r="C27" s="2137">
        <f>IF(SUM(C28:C34)=0,"NO",SUM(C28:C34))</f>
        <v>13036.785223962206</v>
      </c>
      <c r="D27" s="2137">
        <f t="shared" ref="D27:N27" si="4">IF(SUM(D28:D34)=0,"NO",SUM(D28:D34))</f>
        <v>3.1167152745470501</v>
      </c>
      <c r="E27" s="2137">
        <f t="shared" si="4"/>
        <v>7.0944740610090012E-2</v>
      </c>
      <c r="F27" s="2138" t="str">
        <f t="shared" si="4"/>
        <v>NO</v>
      </c>
      <c r="G27" s="2138">
        <f t="shared" si="4"/>
        <v>254.72735698266911</v>
      </c>
      <c r="H27" s="2138" t="str">
        <f t="shared" si="4"/>
        <v>NO</v>
      </c>
      <c r="I27" s="2138" t="str">
        <f t="shared" si="4"/>
        <v>NO</v>
      </c>
      <c r="J27" s="2138" t="str">
        <f t="shared" si="4"/>
        <v>NO</v>
      </c>
      <c r="K27" s="2137">
        <f t="shared" si="4"/>
        <v>9.2107075958317477</v>
      </c>
      <c r="L27" s="2137">
        <f t="shared" si="4"/>
        <v>24.050581571109213</v>
      </c>
      <c r="M27" s="2917">
        <f t="shared" si="4"/>
        <v>8.6938078355940002E-2</v>
      </c>
      <c r="N27" s="2918">
        <f t="shared" si="4"/>
        <v>1618.822464401009</v>
      </c>
      <c r="O27" s="2941">
        <f t="shared" si="1"/>
        <v>13397.580964893867</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3139.8063661511587</v>
      </c>
      <c r="D30" s="1879"/>
      <c r="E30" s="628"/>
      <c r="F30" s="628"/>
      <c r="G30" s="2140">
        <f>SUM('Table2(II)'!X41:Y41)</f>
        <v>254.72735698266911</v>
      </c>
      <c r="H30" s="2136"/>
      <c r="I30" s="2142" t="s">
        <v>2146</v>
      </c>
      <c r="J30" s="2135"/>
      <c r="K30" s="691" t="s">
        <v>2147</v>
      </c>
      <c r="L30" s="691" t="s">
        <v>2147</v>
      </c>
      <c r="M30" s="691" t="s">
        <v>2147</v>
      </c>
      <c r="N30" s="2911">
        <v>49.199980627720002</v>
      </c>
      <c r="O30" s="1880">
        <f t="shared" si="1"/>
        <v>3394.5337231338281</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9896.9788578110474</v>
      </c>
      <c r="D34" s="1881">
        <f>'Table2(I).A-H'!I67</f>
        <v>3.1167152745470501</v>
      </c>
      <c r="E34" s="1881">
        <f>'Table2(I).A-H'!J67</f>
        <v>7.0944740610090012E-2</v>
      </c>
      <c r="F34" s="2146" t="s">
        <v>2146</v>
      </c>
      <c r="G34" s="2146" t="s">
        <v>2146</v>
      </c>
      <c r="H34" s="2146" t="s">
        <v>2146</v>
      </c>
      <c r="I34" s="2146" t="s">
        <v>2146</v>
      </c>
      <c r="J34" s="2146" t="s">
        <v>2146</v>
      </c>
      <c r="K34" s="2606">
        <v>9.2107075958317477</v>
      </c>
      <c r="L34" s="2606">
        <v>24.050581571109213</v>
      </c>
      <c r="M34" s="2606">
        <v>8.6938078355940002E-2</v>
      </c>
      <c r="N34" s="2607">
        <v>1569.6224837732891</v>
      </c>
      <c r="O34" s="1882">
        <f t="shared" si="1"/>
        <v>10003.047241760039</v>
      </c>
    </row>
    <row r="35" spans="2:15" ht="18" customHeight="1" x14ac:dyDescent="0.2">
      <c r="B35" s="2470" t="s">
        <v>2014</v>
      </c>
      <c r="C35" s="2920">
        <f>IF(SUM(C36:C38)=0,"NO",SUM(C36:C38))</f>
        <v>247.53411099499993</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185.37063525831024</v>
      </c>
      <c r="N35" s="2048" t="str">
        <f t="shared" ref="N35" si="7">IF(SUM(N36:N38)=0,"NO",SUM(N36:N38))</f>
        <v>NO</v>
      </c>
      <c r="O35" s="2934">
        <f t="shared" si="1"/>
        <v>247.53411099499993</v>
      </c>
    </row>
    <row r="36" spans="2:15" ht="18" customHeight="1" x14ac:dyDescent="0.2">
      <c r="B36" s="1270" t="s">
        <v>466</v>
      </c>
      <c r="C36" s="1878">
        <f>'Table2(I).A-H'!H73</f>
        <v>247.53411099499993</v>
      </c>
      <c r="D36" s="2140" t="str">
        <f>'Table2(I).A-H'!I73</f>
        <v>NO</v>
      </c>
      <c r="E36" s="2140" t="str">
        <f>'Table2(I).A-H'!J73</f>
        <v>NO</v>
      </c>
      <c r="F36" s="628"/>
      <c r="G36" s="628"/>
      <c r="H36" s="2135"/>
      <c r="I36" s="628"/>
      <c r="J36" s="2135"/>
      <c r="K36" s="2147" t="s">
        <v>2147</v>
      </c>
      <c r="L36" s="2147" t="s">
        <v>2147</v>
      </c>
      <c r="M36" s="691" t="s">
        <v>2147</v>
      </c>
      <c r="N36" s="2141" t="s">
        <v>2147</v>
      </c>
      <c r="O36" s="1880">
        <f t="shared" si="1"/>
        <v>247.53411099499993</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185.37063525831024</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6735.3322595752779</v>
      </c>
      <c r="G45" s="2137" t="str">
        <f t="shared" ref="G45:J45" si="9">IF(SUM(G46:G51)=0,"NO",SUM(G46:G51))</f>
        <v>NO</v>
      </c>
      <c r="H45" s="2920" t="str">
        <f t="shared" si="9"/>
        <v>NO</v>
      </c>
      <c r="I45" s="2920" t="str">
        <f t="shared" si="9"/>
        <v>NO</v>
      </c>
      <c r="J45" s="2139" t="str">
        <f t="shared" si="9"/>
        <v>NO</v>
      </c>
      <c r="K45" s="1929"/>
      <c r="L45" s="1929"/>
      <c r="M45" s="1929"/>
      <c r="N45" s="2153"/>
      <c r="O45" s="2941">
        <f t="shared" si="1"/>
        <v>6735.3322595752779</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6316.8102030510272</v>
      </c>
      <c r="G46" s="1878" t="s">
        <v>2146</v>
      </c>
      <c r="H46" s="1878" t="s">
        <v>2146</v>
      </c>
      <c r="I46" s="1878" t="s">
        <v>2146</v>
      </c>
      <c r="J46" s="2139" t="str">
        <f t="shared" ref="J46" si="10">IF(SUM(J47:J52)=0,"NO",SUM(J47:J52))</f>
        <v>NO</v>
      </c>
      <c r="K46" s="628"/>
      <c r="L46" s="628"/>
      <c r="M46" s="628"/>
      <c r="N46" s="1838"/>
      <c r="O46" s="1880">
        <f t="shared" si="1"/>
        <v>6316.8102030510272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61.034301832300429</v>
      </c>
      <c r="G47" s="1878" t="s">
        <v>2146</v>
      </c>
      <c r="H47" s="1878" t="s">
        <v>2146</v>
      </c>
      <c r="I47" s="1878" t="s">
        <v>2146</v>
      </c>
      <c r="J47" s="2139" t="str">
        <f t="shared" ref="J47" si="11">IF(SUM(J48:J53)=0,"NO",SUM(J48:J53))</f>
        <v>NO</v>
      </c>
      <c r="K47" s="628"/>
      <c r="L47" s="628"/>
      <c r="M47" s="628"/>
      <c r="N47" s="1838"/>
      <c r="O47" s="1880">
        <f t="shared" si="1"/>
        <v>61.034301832300429</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45.177978276938497</v>
      </c>
      <c r="G48" s="1878" t="s">
        <v>2146</v>
      </c>
      <c r="H48" s="1878" t="s">
        <v>2146</v>
      </c>
      <c r="I48" s="1878" t="s">
        <v>2146</v>
      </c>
      <c r="J48" s="2139" t="str">
        <f t="shared" ref="J48" si="12">IF(SUM(J49:J54)=0,"NO",SUM(J49:J54))</f>
        <v>NO</v>
      </c>
      <c r="K48" s="628"/>
      <c r="L48" s="628"/>
      <c r="M48" s="628"/>
      <c r="N48" s="1838"/>
      <c r="O48" s="1880">
        <f t="shared" si="1"/>
        <v>45.177978276938497</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192.45323555439967</v>
      </c>
      <c r="G49" s="1878" t="s">
        <v>2146</v>
      </c>
      <c r="H49" s="1878" t="s">
        <v>2146</v>
      </c>
      <c r="I49" s="1878" t="s">
        <v>2146</v>
      </c>
      <c r="J49" s="2139" t="str">
        <f t="shared" ref="J49" si="13">IF(SUM(J50:J55)=0,"NO",SUM(J50:J55))</f>
        <v>NO</v>
      </c>
      <c r="K49" s="628"/>
      <c r="L49" s="628"/>
      <c r="M49" s="628"/>
      <c r="N49" s="1838"/>
      <c r="O49" s="1880">
        <f t="shared" si="1"/>
        <v>192.45323555439967</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119.8565408606125</v>
      </c>
      <c r="G50" s="1878" t="s">
        <v>2146</v>
      </c>
      <c r="H50" s="1878" t="s">
        <v>2146</v>
      </c>
      <c r="I50" s="1878" t="s">
        <v>2146</v>
      </c>
      <c r="J50" s="2139" t="str">
        <f t="shared" ref="J50" si="14">IF(SUM(J51:J56)=0,"NO",SUM(J51:J56))</f>
        <v>NO</v>
      </c>
      <c r="K50" s="628"/>
      <c r="L50" s="628"/>
      <c r="M50" s="628"/>
      <c r="N50" s="1838"/>
      <c r="O50" s="1880">
        <f t="shared" si="1"/>
        <v>119.8565408606125</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5.6933828580483905E-3</v>
      </c>
      <c r="J52" s="2139" t="str">
        <f t="shared" si="16"/>
        <v>NO</v>
      </c>
      <c r="K52" s="2139" t="str">
        <f t="shared" si="16"/>
        <v>NO</v>
      </c>
      <c r="L52" s="2139" t="str">
        <f t="shared" si="16"/>
        <v>NO</v>
      </c>
      <c r="M52" s="2139" t="str">
        <f t="shared" si="16"/>
        <v>NO</v>
      </c>
      <c r="N52" s="2048" t="str">
        <f t="shared" si="16"/>
        <v>NO</v>
      </c>
      <c r="O52" s="2934">
        <f t="shared" si="1"/>
        <v>133.79449716413717</v>
      </c>
    </row>
    <row r="53" spans="2:15" ht="18" customHeight="1" x14ac:dyDescent="0.2">
      <c r="B53" s="1270" t="s">
        <v>481</v>
      </c>
      <c r="C53" s="2135"/>
      <c r="D53" s="2135"/>
      <c r="E53" s="2135"/>
      <c r="F53" s="2920" t="s">
        <v>2146</v>
      </c>
      <c r="G53" s="2920" t="s">
        <v>2146</v>
      </c>
      <c r="H53" s="2920" t="s">
        <v>2146</v>
      </c>
      <c r="I53" s="2920">
        <f>SUM('Table2(II).B-Hs2'!J163:M163)/1000</f>
        <v>4.932429858143717E-3</v>
      </c>
      <c r="J53" s="2920" t="s">
        <v>2146</v>
      </c>
      <c r="K53" s="2135"/>
      <c r="L53" s="2135"/>
      <c r="M53" s="2135"/>
      <c r="N53" s="2149"/>
      <c r="O53" s="2934">
        <f t="shared" si="1"/>
        <v>115.91210166637735</v>
      </c>
    </row>
    <row r="54" spans="2:15" ht="18" customHeight="1" x14ac:dyDescent="0.2">
      <c r="B54" s="1270" t="s">
        <v>482</v>
      </c>
      <c r="C54" s="2135"/>
      <c r="D54" s="2135"/>
      <c r="E54" s="2135"/>
      <c r="F54" s="2135"/>
      <c r="G54" s="2920" t="s">
        <v>2146</v>
      </c>
      <c r="H54" s="3025"/>
      <c r="I54" s="2920">
        <f>SUM('Table2(II).B-Hs2'!J165:M165)/1000</f>
        <v>7.6095299990467334E-4</v>
      </c>
      <c r="J54" s="2135"/>
      <c r="K54" s="2135"/>
      <c r="L54" s="2135"/>
      <c r="M54" s="2135"/>
      <c r="N54" s="2149"/>
      <c r="O54" s="2934">
        <f t="shared" si="1"/>
        <v>17.882395497759823</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231.45286901003672</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49.523195061858132</v>
      </c>
      <c r="N57" s="2073" t="str">
        <f>N58</f>
        <v>NA</v>
      </c>
      <c r="O57" s="2941">
        <f t="shared" si="1"/>
        <v>231.45286901003672</v>
      </c>
    </row>
    <row r="58" spans="2:15" ht="18" customHeight="1" thickBot="1" x14ac:dyDescent="0.25">
      <c r="B58" s="2596" t="s">
        <v>2180</v>
      </c>
      <c r="C58" s="2500">
        <f>'Table2(I).A-H'!H97</f>
        <v>231.45286901003672</v>
      </c>
      <c r="D58" s="2500" t="str">
        <f>'Table2(I).A-H'!I97</f>
        <v>NO</v>
      </c>
      <c r="E58" s="2500" t="str">
        <f>'Table2(I).A-H'!J97</f>
        <v>NO</v>
      </c>
      <c r="F58" s="2500" t="s">
        <v>2146</v>
      </c>
      <c r="G58" s="2500" t="s">
        <v>2146</v>
      </c>
      <c r="H58" s="2500" t="s">
        <v>2146</v>
      </c>
      <c r="I58" s="2500" t="s">
        <v>2146</v>
      </c>
      <c r="J58" s="2500" t="s">
        <v>2146</v>
      </c>
      <c r="K58" s="2912" t="s">
        <v>2147</v>
      </c>
      <c r="L58" s="2912" t="s">
        <v>2147</v>
      </c>
      <c r="M58" s="2912">
        <v>49.523195061858132</v>
      </c>
      <c r="N58" s="2922" t="s">
        <v>2147</v>
      </c>
      <c r="O58" s="2925">
        <f t="shared" si="1"/>
        <v>231.45286901003672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37.674352315673275</v>
      </c>
      <c r="D10" s="2044">
        <f t="shared" ref="D10:X10" si="0">IF(SUM(D11,D16,D20,D26,D33,D37)=0,"NO",SUM(D11,D16,D20,D26,D33,D37))</f>
        <v>148.1426962659539</v>
      </c>
      <c r="E10" s="2044" t="str">
        <f t="shared" si="0"/>
        <v>NO</v>
      </c>
      <c r="F10" s="2044" t="str">
        <f t="shared" si="0"/>
        <v>NO</v>
      </c>
      <c r="G10" s="2044">
        <f t="shared" si="0"/>
        <v>521.56519142223181</v>
      </c>
      <c r="H10" s="2044">
        <f t="shared" si="0"/>
        <v>1.2696770719143331</v>
      </c>
      <c r="I10" s="2044">
        <f t="shared" si="0"/>
        <v>1622.2353357813661</v>
      </c>
      <c r="J10" s="2044" t="str">
        <f t="shared" si="0"/>
        <v>NO</v>
      </c>
      <c r="K10" s="2044">
        <f t="shared" si="0"/>
        <v>450.94158090074478</v>
      </c>
      <c r="L10" s="2044" t="str">
        <f t="shared" si="0"/>
        <v>NO</v>
      </c>
      <c r="M10" s="2044">
        <f t="shared" si="0"/>
        <v>44.64492616177921</v>
      </c>
      <c r="N10" s="2044" t="str">
        <f t="shared" si="0"/>
        <v>NO</v>
      </c>
      <c r="O10" s="2044">
        <f t="shared" si="0"/>
        <v>30.407587027576241</v>
      </c>
      <c r="P10" s="2044" t="str">
        <f t="shared" si="0"/>
        <v>NO</v>
      </c>
      <c r="Q10" s="2044" t="str">
        <f t="shared" si="0"/>
        <v>NO</v>
      </c>
      <c r="R10" s="2044">
        <f t="shared" si="0"/>
        <v>6.167754112498951</v>
      </c>
      <c r="S10" s="2044" t="str">
        <f t="shared" si="0"/>
        <v>NO</v>
      </c>
      <c r="T10" s="2044">
        <f t="shared" si="0"/>
        <v>33.671441179149063</v>
      </c>
      <c r="U10" s="2044">
        <f t="shared" si="0"/>
        <v>65.969968270337972</v>
      </c>
      <c r="V10" s="2045" t="str">
        <f t="shared" si="0"/>
        <v>NO</v>
      </c>
      <c r="W10" s="2046"/>
      <c r="X10" s="2044">
        <f t="shared" si="0"/>
        <v>32.480620457538457</v>
      </c>
      <c r="Y10" s="2044">
        <f t="shared" ref="Y10" si="1">IF(SUM(Y11,Y16,Y20,Y26,Y33,Y37)=0,"NO",SUM(Y11,Y16,Y20,Y26,Y33,Y37))</f>
        <v>3.547823725152174</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5.6933828580483903</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32.480620457538457</v>
      </c>
      <c r="Y16" s="2050">
        <f t="shared" ref="Y16" si="35">IF(SUM(Y17:Y19)=0,"NO",SUM(Y17:Y19))</f>
        <v>3.547823725152174</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32.480620457538457</v>
      </c>
      <c r="Y17" s="2050">
        <f>'Table2(II).B-Hs1'!G26</f>
        <v>3.547823725152174</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37.674352315673275</v>
      </c>
      <c r="D26" s="2069">
        <f t="shared" ref="D26:AK26" si="58">IF(SUM(D27:D32)=0,"NO",SUM(D27:D32))</f>
        <v>148.1426962659539</v>
      </c>
      <c r="E26" s="2069" t="str">
        <f t="shared" si="58"/>
        <v>NO</v>
      </c>
      <c r="F26" s="2069" t="str">
        <f t="shared" si="58"/>
        <v>NO</v>
      </c>
      <c r="G26" s="2069">
        <f t="shared" si="58"/>
        <v>521.56519142223181</v>
      </c>
      <c r="H26" s="2069">
        <f t="shared" si="58"/>
        <v>1.2696770719143331</v>
      </c>
      <c r="I26" s="2069">
        <f t="shared" si="58"/>
        <v>1622.2353357813661</v>
      </c>
      <c r="J26" s="2069" t="str">
        <f t="shared" si="58"/>
        <v>NO</v>
      </c>
      <c r="K26" s="2069">
        <f t="shared" si="58"/>
        <v>450.94158090074478</v>
      </c>
      <c r="L26" s="2069" t="str">
        <f t="shared" si="58"/>
        <v>NO</v>
      </c>
      <c r="M26" s="2069">
        <f t="shared" si="58"/>
        <v>44.64492616177921</v>
      </c>
      <c r="N26" s="2069" t="str">
        <f t="shared" si="58"/>
        <v>NO</v>
      </c>
      <c r="O26" s="2069">
        <f t="shared" si="58"/>
        <v>30.407587027576241</v>
      </c>
      <c r="P26" s="2069" t="str">
        <f t="shared" si="58"/>
        <v>NO</v>
      </c>
      <c r="Q26" s="2069" t="str">
        <f t="shared" si="58"/>
        <v>NO</v>
      </c>
      <c r="R26" s="2069">
        <f t="shared" si="58"/>
        <v>6.167754112498951</v>
      </c>
      <c r="S26" s="2069" t="str">
        <f t="shared" si="58"/>
        <v>NO</v>
      </c>
      <c r="T26" s="2069">
        <f t="shared" si="58"/>
        <v>33.671441179149063</v>
      </c>
      <c r="U26" s="2069">
        <f t="shared" si="58"/>
        <v>65.969968270337972</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35.333332333034868</v>
      </c>
      <c r="D27" s="2044">
        <f>IF(SUM('Table2(II).B-Hs2'!J14:M14,'Table2(II).B-Hs2'!J27:M27,'Table2(II).B-Hs2'!J40:M40,'Table2(II).B-Hs2'!J53:M53,'Table2(II).B-Hs2'!J66:M66,'Table2(II).B-Hs2'!J79:M79)=0,"NO",SUM('Table2(II).B-Hs2'!J14:M14,'Table2(II).B-Hs2'!J27:M27,'Table2(II).B-Hs2'!J40:M40,'Table2(II).B-Hs2'!J53:M53,'Table2(II).B-Hs2'!J66:M66,'Table2(II).B-Hs2'!J79:M79))</f>
        <v>138.93736184282565</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489.15602018718693</v>
      </c>
      <c r="H27" s="2044">
        <f>IF(SUM('Table2(II).B-Hs2'!J17:M17,'Table2(II).B-Hs2'!J30:M30,'Table2(II).B-Hs2'!J43:M43,'Table2(II).B-Hs2'!J56:M56,'Table2(II).B-Hs2'!J69:M69,'Table2(II).B-Hs2'!J82:M82)=0,"NO",SUM('Table2(II).B-Hs2'!J17:M17,'Table2(II).B-Hs2'!J30:M30,'Table2(II).B-Hs2'!J43:M43,'Table2(II).B-Hs2'!J56:M56,'Table2(II).B-Hs2'!J69:M69,'Table2(II).B-Hs2'!J82:M82))</f>
        <v>1.1907815046609391</v>
      </c>
      <c r="I27" s="2044">
        <f>IF(SUM('Table2(II).B-Hs2'!J18:M18,'Table2(II).B-Hs2'!J31:M31,'Table2(II).B-Hs2'!J44:M44,'Table2(II).B-Hs2'!J57:M57,'Table2(II).B-Hs2'!J70:M70,'Table2(II).B-Hs2'!J83:M83)=0,"NO",SUM('Table2(II).B-Hs2'!J18:M18,'Table2(II).B-Hs2'!J31:M31,'Table2(II).B-Hs2'!J44:M44,'Table2(II).B-Hs2'!J57:M57,'Table2(II).B-Hs2'!J70:M70,'Table2(II).B-Hs2'!J83:M83))</f>
        <v>1521.4323994552017</v>
      </c>
      <c r="J27" s="2044" t="s">
        <v>2146</v>
      </c>
      <c r="K27" s="2044">
        <f>IF(SUM('Table2(II).B-Hs2'!J19:M19,'Table2(II).B-Hs2'!J32:M32,'Table2(II).B-Hs2'!J45:M45,'Table2(II).B-Hs2'!J58:M58,'Table2(II).B-Hs2'!J71:M71,'Table2(II).B-Hs2'!J84:M84)=0,"NO",SUM('Table2(II).B-Hs2'!J19:M19,'Table2(II).B-Hs2'!J32:M32,'Table2(II).B-Hs2'!J45:M45,'Table2(II).B-Hs2'!J58:M58,'Table2(II).B-Hs2'!J71:M71,'Table2(II).B-Hs2'!J84:M84))</f>
        <v>422.92084034372618</v>
      </c>
      <c r="L27" s="2044" t="s">
        <v>2146</v>
      </c>
      <c r="M27" s="2044">
        <f>IF(SUM('Table2(II).B-Hs2'!J20:M20,'Table2(II).B-Hs2'!J33:M33,'Table2(II).B-Hs2'!J46:M46,'Table2(II).B-Hs2'!J59:M59,'Table2(II).B-Hs2'!J72:M72,'Table2(II).B-Hs2'!J85:M85)=0,"NO",SUM('Table2(II).B-Hs2'!J20:M20,'Table2(II).B-Hs2'!J33:M33,'Table2(II).B-Hs2'!J46:M46,'Table2(II).B-Hs2'!J59:M59,'Table2(II).B-Hs2'!J72:M72,'Table2(II).B-Hs2'!J85:M85))</f>
        <v>41.870766611738041</v>
      </c>
      <c r="N27" s="2044" t="s">
        <v>2146</v>
      </c>
      <c r="O27" s="2044">
        <f>IF(SUM('Table2(II).B-Hs2'!J21:M21,'Table2(II).B-Hs2'!J34:M34,'Table2(II).B-Hs2'!J47:M47,'Table2(II).B-Hs2'!J60:M60,'Table2(II).B-Hs2'!J73:M73,'Table2(II).B-Hs2'!J86:M86)=0,"NO",SUM('Table2(II).B-Hs2'!J21:M21,'Table2(II).B-Hs2'!J34:M34,'Table2(II).B-Hs2'!J47:M47,'Table2(II).B-Hs2'!J60:M60,'Table2(II).B-Hs2'!J73:M73,'Table2(II).B-Hs2'!J86:M86))</f>
        <v>28.518111443260548</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5.784500393778659</v>
      </c>
      <c r="S27" s="2044" t="s">
        <v>2146</v>
      </c>
      <c r="T27" s="2044">
        <f>IF(SUM('Table2(II).B-Hs2'!J23:M23,'Table2(II).B-Hs2'!J36:M36,'Table2(II).B-Hs2'!J49:M49,'Table2(II).B-Hs2'!J62:M62,'Table2(II).B-Hs2'!J75:M75,'Table2(II).B-Hs2'!J88:M88)=0,"NO",SUM('Table2(II).B-Hs2'!J23:M23,'Table2(II).B-Hs2'!J36:M36,'Table2(II).B-Hs2'!J49:M49,'Table2(II).B-Hs2'!J62:M62,'Table2(II).B-Hs2'!J75:M75,'Table2(II).B-Hs2'!J88:M88))</f>
        <v>31.579155265800306</v>
      </c>
      <c r="U27" s="2044">
        <f>IF(SUM('Table2(II).B-Hs2'!J24:M24,'Table2(II).B-Hs2'!J37:M37,'Table2(II).B-Hs2'!J50:M50,'Table2(II).B-Hs2'!J63:M63,'Table2(II).B-Hs2'!J76:M76,'Table2(II).B-Hs2'!J89:M89)=0,"NO",SUM('Table2(II).B-Hs2'!J24:M24,'Table2(II).B-Hs2'!J37:M37,'Table2(II).B-Hs2'!J50:M50,'Table2(II).B-Hs2'!J63:M63,'Table2(II).B-Hs2'!J76:M76,'Table2(II).B-Hs2'!J89:M89))</f>
        <v>61.87070698295458</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0.34139782596504409</v>
      </c>
      <c r="D28" s="2044">
        <f>IF(SUM('Table2(II).B-Hs2'!J93:M93,'Table2(II).B-Hs2'!J106:M106)=0,"NO",SUM('Table2(II).B-Hs2'!J93:M93,'Table2(II).B-Hs2'!J106:M106))</f>
        <v>1.3424409798481423</v>
      </c>
      <c r="E28" s="2044" t="s">
        <v>2146</v>
      </c>
      <c r="F28" s="2044" t="str">
        <f>IF(SUM('Table2(II).B-Hs2'!J94:M94,'Table2(II).B-Hs2'!J107:M107)=0,"NO",SUM('Table2(II).B-Hs2'!J94:M94,'Table2(II).B-Hs2'!J107:M107))</f>
        <v>NO</v>
      </c>
      <c r="G28" s="2044">
        <f>IF(SUM('Table2(II).B-Hs2'!J95:M95,'Table2(II).B-Hs2'!J108:M108)=0,"NO",SUM('Table2(II).B-Hs2'!J95:M95,'Table2(II).B-Hs2'!J108:M108))</f>
        <v>4.7263247144534226</v>
      </c>
      <c r="H28" s="2044">
        <f>IF(SUM('Table2(II).B-Hs2'!J96:M96,'Table2(II).B-Hs2'!J109:M109)=0,"NO",SUM('Table2(II).B-Hs2'!J96:M96,'Table2(II).B-Hs2'!J109:M109))</f>
        <v>1.1505572501876473E-2</v>
      </c>
      <c r="I28" s="2044">
        <f>IF(SUM('Table2(II).B-Hs2'!J97:M97,'Table2(II).B-Hs2'!J110:M110)=0,"NO",SUM('Table2(II).B-Hs2'!J97:M97,'Table2(II).B-Hs2'!J110:M110))</f>
        <v>14.700388534855547</v>
      </c>
      <c r="J28" s="2044" t="s">
        <v>2146</v>
      </c>
      <c r="K28" s="2044">
        <f>IF(SUM('Table2(II).B-Hs2'!J98:M98,'Table2(II).B-Hs2'!J111:M111)=0,"NO",SUM('Table2(II).B-Hs2'!J98:M98,'Table2(II).B-Hs2'!J111:M111))</f>
        <v>4.0863469680063478</v>
      </c>
      <c r="L28" s="2044" t="s">
        <v>2146</v>
      </c>
      <c r="M28" s="2044">
        <f>IF(SUM('Table2(II).B-Hs2'!J99:M99,'Table2(II).B-Hs2'!J112:M112)=0,"NO",SUM('Table2(II).B-Hs2'!J99:M99,'Table2(II).B-Hs2'!J112:M112))</f>
        <v>0.40456384237986004</v>
      </c>
      <c r="N28" s="2044" t="s">
        <v>2146</v>
      </c>
      <c r="O28" s="2044">
        <f>IF(SUM('Table2(II).B-Hs2'!J100:M100,'Table2(II).B-Hs2'!J113:M113)=0,"NO",SUM('Table2(II).B-Hs2'!J100:M100,'Table2(II).B-Hs2'!J113:M113))</f>
        <v>0.27554777895249111</v>
      </c>
      <c r="P28" s="2044" t="s">
        <v>2146</v>
      </c>
      <c r="Q28" s="2044" t="s">
        <v>2146</v>
      </c>
      <c r="R28" s="2044">
        <f>IF(SUM('Table2(II).B-Hs2'!J101:M101,'Table2(II).B-Hs2'!J114:M114)=0,"NO",SUM('Table2(II).B-Hs2'!J101:M101,'Table2(II).B-Hs2'!J114:M114))</f>
        <v>5.5891016452009647E-2</v>
      </c>
      <c r="S28" s="2044" t="s">
        <v>2146</v>
      </c>
      <c r="T28" s="2044">
        <f>IF(SUM('Table2(II).B-Hs2'!J102:M102,'Table2(II).B-Hs2'!J115:M115)=0,"NO",SUM('Table2(II).B-Hs2'!J102:M102,'Table2(II).B-Hs2'!J115:M115))</f>
        <v>0.30512420543694557</v>
      </c>
      <c r="U28" s="2044">
        <f>IF(SUM('Table2(II).B-Hs2'!J103:M103,'Table2(II).B-Hs2'!J116:M116)=0,"NO",SUM('Table2(II).B-Hs2'!J103:M103,'Table2(II).B-Hs2'!J116:M116))</f>
        <v>0.5978073241383034</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0.25270484141231409</v>
      </c>
      <c r="D29" s="2044">
        <f>IF(SUM('Table2(II).B-Hs2'!J119:M119)=0,"NO",SUM('Table2(II).B-Hs2'!J119:M119))</f>
        <v>0.99368334862405194</v>
      </c>
      <c r="E29" s="2044" t="s">
        <v>2146</v>
      </c>
      <c r="F29" s="2044" t="str">
        <f>IF(SUM('Table2(II).B-Hs2'!J120:M120)=0,"NO",SUM('Table2(II).B-Hs2'!J120:M120))</f>
        <v>NO</v>
      </c>
      <c r="G29" s="2044">
        <f>IF(SUM('Table2(II).B-Hs2'!J121:M121)=0,"NO",SUM('Table2(II).B-Hs2'!J121:M121))</f>
        <v>3.4984556039655166</v>
      </c>
      <c r="H29" s="2044">
        <f>IF(SUM('Table2(II).B-Hs2'!J122:M122)=0,"NO",SUM('Table2(II).B-Hs2'!J122:M122))</f>
        <v>8.5164979191820582E-3</v>
      </c>
      <c r="I29" s="2044">
        <f>IF(SUM('Table2(II).B-Hs2'!J123:M123)=0,"NO",SUM('Table2(II).B-Hs2'!J123:M123))</f>
        <v>10.881321059673173</v>
      </c>
      <c r="J29" s="2044" t="s">
        <v>2146</v>
      </c>
      <c r="K29" s="2044">
        <f>IF(SUM('Table2(II).B-Hs2'!J124:M124)=0,"NO",SUM('Table2(II).B-Hs2'!J124:M124))</f>
        <v>3.0247400070188712</v>
      </c>
      <c r="L29" s="2044" t="s">
        <v>2146</v>
      </c>
      <c r="M29" s="2044">
        <f>IF(SUM('Table2(II).B-Hs2'!J125:M125)=0,"NO",SUM('Table2(II).B-Hs2'!J125:M125))</f>
        <v>0.2994607283768318</v>
      </c>
      <c r="N29" s="2044" t="s">
        <v>2146</v>
      </c>
      <c r="O29" s="2044">
        <f>IF(SUM('Table2(II).B-Hs2'!J126:M126)=0,"NO",SUM('Table2(II).B-Hs2'!J126:M126))</f>
        <v>0.20396221793408353</v>
      </c>
      <c r="P29" s="2044" t="s">
        <v>2146</v>
      </c>
      <c r="Q29" s="2044" t="s">
        <v>2146</v>
      </c>
      <c r="R29" s="2044">
        <f>IF(SUM('Table2(II).B-Hs2'!J127:M127)=0,"NO",SUM('Table2(II).B-Hs2'!J127:M127))</f>
        <v>4.137088573705297E-2</v>
      </c>
      <c r="S29" s="2044" t="s">
        <v>2146</v>
      </c>
      <c r="T29" s="2044">
        <f>IF(SUM('Table2(II).B-Hs2'!J128:M128)=0,"NO",SUM('Table2(II).B-Hs2'!J128:M128))</f>
        <v>0.22585487686701505</v>
      </c>
      <c r="U29" s="2044">
        <f>IF(SUM('Table2(II).B-Hs2'!J129:M129)=0,"NO",SUM('Table2(II).B-Hs2'!J129:M129))</f>
        <v>0.44250078223098532</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1.0764949257343568</v>
      </c>
      <c r="D30" s="2044">
        <f>IF(SUM('Table2(II).B-Hs2'!J133:M133)=0,"NO",SUM('Table2(II).B-Hs2'!J133:M133))</f>
        <v>4.2329821486688397</v>
      </c>
      <c r="E30" s="2044" t="s">
        <v>2146</v>
      </c>
      <c r="F30" s="2044" t="str">
        <f>IF(SUM('Table2(II).B-Hs2'!J134:M134)=0,"NO",SUM('Table2(II).B-Hs2'!J134:M134))</f>
        <v>NO</v>
      </c>
      <c r="G30" s="2044">
        <f>IF(SUM('Table2(II).B-Hs2'!J135:M135)=0,"NO",SUM('Table2(II).B-Hs2'!J135:M135))</f>
        <v>14.90303741126618</v>
      </c>
      <c r="H30" s="2044">
        <f>IF(SUM('Table2(II).B-Hs2'!J136:M136)=0,"NO",SUM('Table2(II).B-Hs2'!J136:M136))</f>
        <v>3.6279347652339616E-2</v>
      </c>
      <c r="I30" s="2044">
        <f>IF(SUM('Table2(II).B-Hs2'!J137:M137)=0,"NO",SUM('Table2(II).B-Hs2'!J137:M137))</f>
        <v>46.353235025333262</v>
      </c>
      <c r="J30" s="2044" t="s">
        <v>2146</v>
      </c>
      <c r="K30" s="2044">
        <f>IF(SUM('Table2(II).B-Hs2'!J138:M138)=0,"NO",SUM('Table2(II).B-Hs2'!J138:M138))</f>
        <v>12.885060891685985</v>
      </c>
      <c r="L30" s="2044" t="s">
        <v>2146</v>
      </c>
      <c r="M30" s="2044">
        <f>IF(SUM('Table2(II).B-Hs2'!J139:M139)=0,"NO",SUM('Table2(II).B-Hs2'!J139:M139))</f>
        <v>1.275669879345118</v>
      </c>
      <c r="N30" s="2044" t="s">
        <v>2146</v>
      </c>
      <c r="O30" s="2044">
        <f>IF(SUM('Table2(II).B-Hs2'!J140:M140)=0,"NO",SUM('Table2(II).B-Hs2'!J140:M140))</f>
        <v>0.86885669233904428</v>
      </c>
      <c r="P30" s="2044" t="s">
        <v>2146</v>
      </c>
      <c r="Q30" s="2044" t="s">
        <v>2146</v>
      </c>
      <c r="R30" s="2044">
        <f>IF(SUM('Table2(II).B-Hs2'!J141:M141)=0,"NO",SUM('Table2(II).B-Hs2'!J141:M141))</f>
        <v>0.1762354386254478</v>
      </c>
      <c r="S30" s="2044" t="s">
        <v>2146</v>
      </c>
      <c r="T30" s="2044">
        <f>IF(SUM('Table2(II).B-Hs2'!J142:M142)=0,"NO",SUM('Table2(II).B-Hs2'!J142:M142))</f>
        <v>0.96211701976459285</v>
      </c>
      <c r="U30" s="2044">
        <f>IF(SUM('Table2(II).B-Hs2'!J143:M143)=0,"NO",SUM('Table2(II).B-Hs2'!J143:M143))</f>
        <v>1.8850048303108105</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0.67042238952668176</v>
      </c>
      <c r="D31" s="2044">
        <f>IF(SUM('Table2(II).B-Hs2'!J148:M148)=0,"NO",SUM('Table2(II).B-Hs2'!J148:M148))</f>
        <v>2.6362279459872227</v>
      </c>
      <c r="E31" s="2044" t="s">
        <v>2146</v>
      </c>
      <c r="F31" s="2044" t="str">
        <f>IF(SUM('Table2(II).B-Hs2'!J149:M149)=0,"NO",SUM('Table2(II).B-Hs2'!J149:M149))</f>
        <v>NO</v>
      </c>
      <c r="G31" s="2044">
        <f>IF(SUM('Table2(II).B-Hs2'!J150:M150)=0,"NO",SUM('Table2(II).B-Hs2'!J150:M150))</f>
        <v>9.2813535053597942</v>
      </c>
      <c r="H31" s="2044">
        <f>IF(SUM('Table2(II).B-Hs2'!J151:M151)=0,"NO",SUM('Table2(II).B-Hs2'!J151:M151))</f>
        <v>2.2594149179995967E-2</v>
      </c>
      <c r="I31" s="2044">
        <f>IF(SUM('Table2(II).B-Hs2'!J152:M152)=0,"NO",SUM('Table2(II).B-Hs2'!J152:M152))</f>
        <v>28.867991706302185</v>
      </c>
      <c r="J31" s="2044" t="s">
        <v>2146</v>
      </c>
      <c r="K31" s="2044">
        <f>IF(SUM('Table2(II).B-Hs2'!J153:M153)=0,"NO",SUM('Table2(II).B-Hs2'!J153:M153))</f>
        <v>8.0245926903073901</v>
      </c>
      <c r="L31" s="2044" t="s">
        <v>2146</v>
      </c>
      <c r="M31" s="2044">
        <f>IF(SUM('Table2(II).B-Hs2'!J154:M154)=0,"NO",SUM('Table2(II).B-Hs2'!J154:M154))</f>
        <v>0.79446509993936765</v>
      </c>
      <c r="N31" s="2044" t="s">
        <v>2146</v>
      </c>
      <c r="O31" s="2044">
        <f>IF(SUM('Table2(II).B-Hs2'!J155:M155)=0,"NO",SUM('Table2(II).B-Hs2'!J155:M155))</f>
        <v>0.54110889509007576</v>
      </c>
      <c r="P31" s="2044" t="s">
        <v>2146</v>
      </c>
      <c r="Q31" s="2044" t="s">
        <v>2146</v>
      </c>
      <c r="R31" s="2044">
        <f>IF(SUM('Table2(II).B-Hs2'!J156:M156)=0,"NO",SUM('Table2(II).B-Hs2'!J156:M156))</f>
        <v>0.10975637790578087</v>
      </c>
      <c r="S31" s="2044" t="s">
        <v>2146</v>
      </c>
      <c r="T31" s="2044">
        <f>IF(SUM('Table2(II).B-Hs2'!J157:M157)=0,"NO",SUM('Table2(II).B-Hs2'!J157:M157))</f>
        <v>0.59918981128020543</v>
      </c>
      <c r="U31" s="2044">
        <f>IF(SUM('Table2(II).B-Hs2'!J158:M158)=0,"NO",SUM('Table2(II).B-Hs2'!J158:M158))</f>
        <v>1.173948350703292</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5.6933828580483903</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4.9324298581437169</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0.76095299990467336</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467.16196871434863</v>
      </c>
      <c r="D39" s="4196">
        <f t="shared" ref="D39:AK39" si="72">IF(SUM(D40:D45)=0,"NO",SUM(D40:D45))</f>
        <v>100.29260537205079</v>
      </c>
      <c r="E39" s="4196" t="str">
        <f t="shared" si="72"/>
        <v>NO</v>
      </c>
      <c r="F39" s="4196" t="str">
        <f t="shared" si="72"/>
        <v>NO</v>
      </c>
      <c r="G39" s="4196">
        <f t="shared" si="72"/>
        <v>1653.3616568084749</v>
      </c>
      <c r="H39" s="4196">
        <f t="shared" si="72"/>
        <v>1.422038320544053</v>
      </c>
      <c r="I39" s="4196">
        <f t="shared" si="72"/>
        <v>2108.9059365157759</v>
      </c>
      <c r="J39" s="4196" t="str">
        <f t="shared" si="72"/>
        <v>NO</v>
      </c>
      <c r="K39" s="4196">
        <f t="shared" si="72"/>
        <v>2164.5195883235751</v>
      </c>
      <c r="L39" s="4196" t="str">
        <f t="shared" si="72"/>
        <v>NO</v>
      </c>
      <c r="M39" s="4196">
        <f t="shared" si="72"/>
        <v>6.1609998103255315</v>
      </c>
      <c r="N39" s="4196" t="str">
        <f t="shared" si="72"/>
        <v>NO</v>
      </c>
      <c r="O39" s="4196">
        <f t="shared" si="72"/>
        <v>101.8654165423804</v>
      </c>
      <c r="P39" s="4196" t="str">
        <f t="shared" si="72"/>
        <v>NO</v>
      </c>
      <c r="Q39" s="4196" t="str">
        <f t="shared" si="72"/>
        <v>NO</v>
      </c>
      <c r="R39" s="4196">
        <f t="shared" si="72"/>
        <v>49.712098146741546</v>
      </c>
      <c r="S39" s="4196" t="str">
        <f t="shared" si="72"/>
        <v>NO</v>
      </c>
      <c r="T39" s="4196">
        <f t="shared" si="72"/>
        <v>28.890096531709897</v>
      </c>
      <c r="U39" s="4196">
        <f t="shared" si="72"/>
        <v>53.039854489351733</v>
      </c>
      <c r="V39" s="4196" t="str">
        <f t="shared" si="72"/>
        <v>NO</v>
      </c>
      <c r="W39" s="4196">
        <f t="shared" si="72"/>
        <v>6735.3322595752788</v>
      </c>
      <c r="X39" s="4196">
        <f t="shared" si="72"/>
        <v>215.34651363347999</v>
      </c>
      <c r="Y39" s="4196">
        <f t="shared" si="72"/>
        <v>39.380843349189135</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254.72735698266911</v>
      </c>
      <c r="AI39" s="4197" t="str">
        <f t="shared" si="72"/>
        <v>NO</v>
      </c>
      <c r="AJ39" s="4197">
        <f t="shared" si="72"/>
        <v>133.79449716413717</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215.34651363347999</v>
      </c>
      <c r="Y41" s="4199">
        <f>IF(SUM(Y16)=0,"NO",Y16*11100/1000)</f>
        <v>39.380843349189135</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254.72735698266911</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467.16196871434863</v>
      </c>
      <c r="D43" s="4199">
        <f>IF(SUM(D26)=0,"NO",D26*677/1000)</f>
        <v>100.29260537205079</v>
      </c>
      <c r="E43" s="4199" t="str">
        <f>IF(SUM(E26)=0,"NO",E26*116/1000)</f>
        <v>NO</v>
      </c>
      <c r="F43" s="4199" t="str">
        <f>IF(SUM(F26)=0,"NO",F26*1650/1000)</f>
        <v>NO</v>
      </c>
      <c r="G43" s="4199">
        <f>IF(SUM(G26)=0,"NO",G26*3170/1000)</f>
        <v>1653.3616568084749</v>
      </c>
      <c r="H43" s="4199">
        <f>IF(SUM(H26)=0,"NO",H26*1120/1000)</f>
        <v>1.422038320544053</v>
      </c>
      <c r="I43" s="4199">
        <f>IF(SUM(I26)=0,"NO",I26*1300/1000)</f>
        <v>2108.9059365157759</v>
      </c>
      <c r="J43" s="4199" t="str">
        <f>IF(SUM(J26)=0,"NO",J26*328/1000)</f>
        <v>NO</v>
      </c>
      <c r="K43" s="4199">
        <f>IF(SUM(K26)=0,"NO",K26*4800/1000)</f>
        <v>2164.5195883235751</v>
      </c>
      <c r="L43" s="4199" t="str">
        <f>IF(SUM(L26)=0,"NO",L26*16/1000)</f>
        <v>NO</v>
      </c>
      <c r="M43" s="4199">
        <f>IF(SUM(M26)=0,"NO",M26*138/1000)</f>
        <v>6.1609998103255315</v>
      </c>
      <c r="N43" s="4199" t="str">
        <f>IF(SUM(N26)=0,"NO",N26*4/1000)</f>
        <v>NO</v>
      </c>
      <c r="O43" s="4199">
        <f>IF(SUM(O26)=0,"NO",O26*3350/1000)</f>
        <v>101.8654165423804</v>
      </c>
      <c r="P43" s="4199" t="str">
        <f>IF(SUM(P26)=0,"NO",P26*1210/1000)</f>
        <v>NO</v>
      </c>
      <c r="Q43" s="4199" t="str">
        <f>IF(SUM(Q26)=0,"NO",Q26*1330/1000)</f>
        <v>NO</v>
      </c>
      <c r="R43" s="4199">
        <f>IF(SUM(R26)=0,"NO",R26*8060/1000)</f>
        <v>49.712098146741546</v>
      </c>
      <c r="S43" s="4199" t="str">
        <f>IF(SUM(S26)=0,"NO",S26*716/1000)</f>
        <v>NO</v>
      </c>
      <c r="T43" s="4199">
        <f>IF(SUM(T26)=0,"NO",T26*858/1000)</f>
        <v>28.890096531709897</v>
      </c>
      <c r="U43" s="4199">
        <f>IF(SUM(U26)=0,"NO",U26*804/1000)</f>
        <v>53.039854489351733</v>
      </c>
      <c r="V43" s="4199" t="str">
        <f>IF(SUM(V26)=0,"NO",V26*1/1000)</f>
        <v>NO</v>
      </c>
      <c r="W43" s="4199">
        <f t="shared" si="73"/>
        <v>6735.3322595752788</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133.79449716413717</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6303.975122199774</v>
      </c>
      <c r="I10" s="628"/>
      <c r="J10" s="628"/>
      <c r="K10" s="3192" t="str">
        <f>IF(SUM(K11:K14)=0,"NO",SUM(K11:K14))</f>
        <v>NO</v>
      </c>
      <c r="L10" s="3192" t="str">
        <f>IF(SUM(L11:L14)=0,"NO",SUM(L11:L14))</f>
        <v>NO</v>
      </c>
      <c r="M10" s="628"/>
      <c r="N10" s="1838"/>
    </row>
    <row r="11" spans="2:14" ht="18" customHeight="1" x14ac:dyDescent="0.2">
      <c r="B11" s="287" t="s">
        <v>491</v>
      </c>
      <c r="C11" s="2099" t="s">
        <v>2181</v>
      </c>
      <c r="D11" s="691">
        <v>6469.7569999999996</v>
      </c>
      <c r="E11" s="1913">
        <f>IF(SUM($D11)=0,"NA",H11/$D11)</f>
        <v>0.54849275111878248</v>
      </c>
      <c r="F11" s="628"/>
      <c r="G11" s="628"/>
      <c r="H11" s="3180">
        <v>3548.6148160000002</v>
      </c>
      <c r="I11" s="628"/>
      <c r="J11" s="628"/>
      <c r="K11" s="3180" t="s">
        <v>2146</v>
      </c>
      <c r="L11" s="691" t="s">
        <v>2146</v>
      </c>
      <c r="M11" s="628"/>
      <c r="N11" s="1838"/>
    </row>
    <row r="12" spans="2:14" ht="18" customHeight="1" x14ac:dyDescent="0.2">
      <c r="B12" s="287" t="s">
        <v>492</v>
      </c>
      <c r="C12" s="2100" t="s">
        <v>2182</v>
      </c>
      <c r="D12" s="691">
        <v>1632.5762152700001</v>
      </c>
      <c r="E12" s="1913">
        <f>IF(SUM($D12)=0,"NA",H12/$D12)</f>
        <v>0.75375795016499225</v>
      </c>
      <c r="F12" s="628"/>
      <c r="G12" s="628"/>
      <c r="H12" s="3180">
        <v>1230.5673015100365</v>
      </c>
      <c r="I12" s="628"/>
      <c r="J12" s="628"/>
      <c r="K12" s="3180" t="s">
        <v>2146</v>
      </c>
      <c r="L12" s="691" t="s">
        <v>2146</v>
      </c>
      <c r="M12" s="628"/>
      <c r="N12" s="1838"/>
    </row>
    <row r="13" spans="2:14" ht="18" customHeight="1" x14ac:dyDescent="0.2">
      <c r="B13" s="287" t="s">
        <v>493</v>
      </c>
      <c r="C13" s="2100" t="s">
        <v>2267</v>
      </c>
      <c r="D13" s="691">
        <v>270.47353581506604</v>
      </c>
      <c r="E13" s="1913">
        <f>IF(SUM($D13)=0,"NA",H13/$D13)</f>
        <v>0.43443548108729524</v>
      </c>
      <c r="F13" s="628"/>
      <c r="G13" s="628"/>
      <c r="H13" s="3180">
        <v>117.5033006532</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1407.2897040365374</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30.863677720465333</v>
      </c>
      <c r="I15" s="628"/>
      <c r="J15" s="628"/>
      <c r="K15" s="3180" t="s">
        <v>2146</v>
      </c>
      <c r="L15" s="691" t="s">
        <v>2146</v>
      </c>
      <c r="M15" s="628"/>
      <c r="N15" s="1838"/>
    </row>
    <row r="16" spans="2:14" ht="18" customHeight="1" x14ac:dyDescent="0.2">
      <c r="B16" s="160" t="s">
        <v>496</v>
      </c>
      <c r="C16" s="484" t="s">
        <v>2316</v>
      </c>
      <c r="D16" s="2905">
        <v>379.75672743270439</v>
      </c>
      <c r="E16" s="1913">
        <f>IF(SUM($D16)=0,"NA",H16/$D16)</f>
        <v>0.4149199999894691</v>
      </c>
      <c r="F16" s="628"/>
      <c r="G16" s="628"/>
      <c r="H16" s="3180">
        <v>157.56866134237853</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1218.8573649736934</v>
      </c>
      <c r="I18" s="628"/>
      <c r="J18" s="628"/>
      <c r="K18" s="3181" t="str">
        <f>K19</f>
        <v>NO</v>
      </c>
      <c r="L18" s="3193" t="str">
        <f>L19</f>
        <v>NO</v>
      </c>
      <c r="M18" s="628"/>
      <c r="N18" s="1838"/>
    </row>
    <row r="19" spans="2:14" ht="18" customHeight="1" x14ac:dyDescent="0.2">
      <c r="B19" s="3182" t="s">
        <v>2265</v>
      </c>
      <c r="C19" s="484" t="s">
        <v>2267</v>
      </c>
      <c r="D19" s="2905">
        <v>1698.0098900000003</v>
      </c>
      <c r="E19" s="1913">
        <f>IF(SUM($D19)=0,"NA",H19/$D19)</f>
        <v>0.40981343031449302</v>
      </c>
      <c r="F19" s="628"/>
      <c r="G19" s="628"/>
      <c r="H19" s="3180">
        <v>695.86725772883506</v>
      </c>
      <c r="I19" s="628"/>
      <c r="J19" s="628"/>
      <c r="K19" s="3180" t="s">
        <v>2146</v>
      </c>
      <c r="L19" s="3180" t="s">
        <v>2146</v>
      </c>
      <c r="M19" s="628"/>
      <c r="N19" s="1838"/>
    </row>
    <row r="20" spans="2:14" ht="18" customHeight="1" x14ac:dyDescent="0.2">
      <c r="B20" s="3183" t="s">
        <v>2264</v>
      </c>
      <c r="C20" s="484" t="s">
        <v>2267</v>
      </c>
      <c r="D20" s="2905">
        <v>395.67179421383651</v>
      </c>
      <c r="E20" s="1913">
        <f>IF(SUM($D20)=0,"NA",H20/$D20)</f>
        <v>0.50519656907492116</v>
      </c>
      <c r="F20" s="628"/>
      <c r="G20" s="628"/>
      <c r="H20" s="3180">
        <v>199.89203291654843</v>
      </c>
      <c r="I20" s="628"/>
      <c r="J20" s="628"/>
      <c r="K20" s="3180" t="s">
        <v>2146</v>
      </c>
      <c r="L20" s="3180" t="s">
        <v>2146</v>
      </c>
      <c r="M20" s="2135"/>
      <c r="N20" s="2149"/>
    </row>
    <row r="21" spans="2:14" ht="18" customHeight="1" thickBot="1" x14ac:dyDescent="0.25">
      <c r="B21" s="3183" t="s">
        <v>2266</v>
      </c>
      <c r="C21" s="484" t="s">
        <v>2267</v>
      </c>
      <c r="D21" s="2905">
        <v>1259.0703831197795</v>
      </c>
      <c r="E21" s="1913">
        <f>IF(SUM($D21)=0,"NA",H21/$D21)</f>
        <v>0.25661637241257579</v>
      </c>
      <c r="F21" s="628"/>
      <c r="G21" s="628"/>
      <c r="H21" s="3180">
        <v>323.09807432830985</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3908.2187035756233</v>
      </c>
      <c r="I22" s="3067">
        <f>IF(SUM(I23:I26,I30,I33:I35,I47)=0,"IE",SUM(I23:I26,I30,I33:I35,I47))</f>
        <v>0.57776359999999993</v>
      </c>
      <c r="J22" s="3067">
        <f>IF(SUM(J23:J26,J30,J33:J35,J47)=0,"IE",SUM(J23:J26,J30,J33:J35,J47))</f>
        <v>10.515402041905819</v>
      </c>
      <c r="K22" s="3067">
        <f>IF(SUM(K23:K26,K30,K33:K35,K47)=0,"NO",SUM(K23:K26,K30,K33:K35,K47))</f>
        <v>-321.65078999999997</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1895.7341100000001</v>
      </c>
      <c r="E23" s="1913">
        <f>IF(SUM($D23)=0,"NA",H23/$D23)</f>
        <v>1.4309974137498775</v>
      </c>
      <c r="F23" s="1913" t="str">
        <f>IFERROR(IF(SUM($D23)=0,"NA",I23/$D23),"NA")</f>
        <v>NA</v>
      </c>
      <c r="G23" s="1913" t="str">
        <f>IFERROR(IF(SUM($D23)=0,"NA",J23/$D23),"NA")</f>
        <v>NA</v>
      </c>
      <c r="H23" s="691">
        <v>2712.7906085674258</v>
      </c>
      <c r="I23" s="691" t="s">
        <v>2146</v>
      </c>
      <c r="J23" s="691" t="s">
        <v>2146</v>
      </c>
      <c r="K23" s="3180">
        <v>-321.65078999999997</v>
      </c>
      <c r="L23" s="691" t="s">
        <v>2146</v>
      </c>
      <c r="M23" s="691" t="s">
        <v>2146</v>
      </c>
      <c r="N23" s="2911" t="s">
        <v>2146</v>
      </c>
    </row>
    <row r="24" spans="2:14" ht="18" customHeight="1" x14ac:dyDescent="0.2">
      <c r="B24" s="287" t="s">
        <v>500</v>
      </c>
      <c r="C24" s="484" t="s">
        <v>220</v>
      </c>
      <c r="D24" s="691">
        <v>1286.3607099999999</v>
      </c>
      <c r="E24" s="2108"/>
      <c r="F24" s="2108"/>
      <c r="G24" s="1913">
        <f>IF(SUM($D24)=0,"NA",J24/$D24)</f>
        <v>8.1745360847548122E-3</v>
      </c>
      <c r="H24" s="2108"/>
      <c r="I24" s="2108"/>
      <c r="J24" s="691">
        <v>10.515402041905819</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1016.21153205</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130.9217569581977</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130.9217569581977</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130.9217569581977</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13036.785223962206</v>
      </c>
      <c r="I52" s="3192">
        <f>IF(SUM(I53,I62:I67)=0,"IE",SUM(I53,I62:I67))</f>
        <v>3.1167152745470501</v>
      </c>
      <c r="J52" s="1909">
        <f>J67</f>
        <v>7.0944740610090012E-2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1926.3892179999998</v>
      </c>
      <c r="E63" s="4130">
        <f>IF(SUM($D63)=0,"NA",H63/$D63)</f>
        <v>1.6298919952484696</v>
      </c>
      <c r="F63" s="1892"/>
      <c r="G63" s="2107"/>
      <c r="H63" s="691">
        <v>3139.8063661511587</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9896.9788578110474</v>
      </c>
      <c r="I67" s="3199">
        <f t="shared" ref="I67:N67" si="8">IF(SUM(I69:I70)=0,I70,SUM(I69:I70))</f>
        <v>3.1167152745470501</v>
      </c>
      <c r="J67" s="3199">
        <f t="shared" si="8"/>
        <v>7.0944740610090012E-2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9896.9788578110474</v>
      </c>
      <c r="I70" s="3095">
        <f t="shared" si="9"/>
        <v>3.1167152745470501</v>
      </c>
      <c r="J70" s="3095">
        <f t="shared" si="9"/>
        <v>7.0944740610090012E-2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9896.9788578110474</v>
      </c>
      <c r="I71" s="3123">
        <v>3.1167152745470501</v>
      </c>
      <c r="J71" s="3123">
        <v>7.0944740610090012E-2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247.53411099499993</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457.83762886597941</v>
      </c>
      <c r="E73" s="4130">
        <f t="shared" ref="E73:G74" si="11">IF(SUM($D73)=0,"NA",H73/$D73)</f>
        <v>0.54065916689311566</v>
      </c>
      <c r="F73" s="276" t="s">
        <v>2147</v>
      </c>
      <c r="G73" s="276" t="s">
        <v>2147</v>
      </c>
      <c r="H73" s="3122">
        <v>247.53411099499993</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351.97909090909098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231.45286901003672</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231.45286901003672</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36.028444182690635</v>
      </c>
      <c r="H22" s="2611" t="str">
        <f>H23</f>
        <v>NO</v>
      </c>
    </row>
    <row r="23" spans="2:8" ht="18" customHeight="1" x14ac:dyDescent="0.2">
      <c r="B23" s="169" t="s">
        <v>636</v>
      </c>
      <c r="C23" s="2507"/>
      <c r="D23" s="76"/>
      <c r="E23" s="76"/>
      <c r="F23" s="4322"/>
      <c r="G23" s="3188">
        <f>IF(SUM(G24,G27)=0,"NO",SUM(G24,G27))</f>
        <v>36.028444182690635</v>
      </c>
      <c r="H23" s="2611" t="str">
        <f>H24</f>
        <v>NO</v>
      </c>
    </row>
    <row r="24" spans="2:8" ht="18" customHeight="1" x14ac:dyDescent="0.2">
      <c r="B24" s="171" t="s">
        <v>637</v>
      </c>
      <c r="C24" s="2507"/>
      <c r="D24" s="76"/>
      <c r="E24" s="76"/>
      <c r="F24" s="4322"/>
      <c r="G24" s="3188">
        <f>IF(SUM(G25:G26)=0,"NO",SUM(G25:G26))</f>
        <v>36.028444182690635</v>
      </c>
      <c r="H24" s="2611" t="str">
        <f>H25</f>
        <v>NO</v>
      </c>
    </row>
    <row r="25" spans="2:8" ht="18" customHeight="1" x14ac:dyDescent="0.25">
      <c r="B25" s="2609" t="s">
        <v>1741</v>
      </c>
      <c r="C25" s="2620" t="s">
        <v>1741</v>
      </c>
      <c r="D25" s="73" t="s">
        <v>638</v>
      </c>
      <c r="E25" s="691">
        <v>1926389.2179999999</v>
      </c>
      <c r="F25" s="4320">
        <f t="shared" ref="F25:F28" si="2">IF(SUM(E25)=0,"NA",G25*1000/E25)</f>
        <v>1.6860881567464452E-2</v>
      </c>
      <c r="G25" s="691">
        <v>32.480620457538457</v>
      </c>
      <c r="H25" s="2610" t="s">
        <v>2146</v>
      </c>
    </row>
    <row r="26" spans="2:8" ht="18" customHeight="1" x14ac:dyDescent="0.25">
      <c r="B26" s="2609" t="s">
        <v>1742</v>
      </c>
      <c r="C26" s="2620" t="s">
        <v>1742</v>
      </c>
      <c r="D26" s="73" t="s">
        <v>638</v>
      </c>
      <c r="E26" s="691">
        <v>1926389.2179999999</v>
      </c>
      <c r="F26" s="4320">
        <f t="shared" si="2"/>
        <v>1.8416962117528703E-3</v>
      </c>
      <c r="G26" s="691">
        <v>3.547823725152174</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46.487014305226147</v>
      </c>
      <c r="K10" s="3224">
        <f>IF(SUM(K11,K90,K117,K130,K146,K159)=0,"NO",SUM(K11,K90,K117,K130,K146,K159))</f>
        <v>2400.6467387436896</v>
      </c>
      <c r="L10" s="3225">
        <f>IF(SUM(L11,L90,L117,L130,L146,L159)=0,"NO",SUM(L11,L90,L117,L130,L146,L159))</f>
        <v>758.84348273382363</v>
      </c>
      <c r="M10" s="3498">
        <f>IF(SUM(M11,M90,M117,M130,M146,M159)=0,"NO",SUM(M11,M90,M117,M130,M146,M159))</f>
        <v>-243.28672527351418</v>
      </c>
    </row>
    <row r="11" spans="1:13" ht="18" customHeight="1" x14ac:dyDescent="0.2">
      <c r="B11" s="147" t="s">
        <v>667</v>
      </c>
      <c r="C11" s="2508"/>
      <c r="D11" s="2108"/>
      <c r="E11" s="2108"/>
      <c r="F11" s="2108"/>
      <c r="G11" s="2108"/>
      <c r="H11" s="2108"/>
      <c r="I11" s="2108"/>
      <c r="J11" s="3103">
        <f>IF(SUM(J12,J25,J38,J51,J64,J77)=0,"NO",SUM(J12,J25,J38,J51,J64,J77))</f>
        <v>24.461175559106266</v>
      </c>
      <c r="K11" s="3103">
        <f t="shared" ref="K11:M11" si="0">IF(SUM(K12,K25,K38,K51,K64,K77)=0,"NO",SUM(K12,K25,K38,K51,K64,K77))</f>
        <v>2260.7147585338871</v>
      </c>
      <c r="L11" s="3103">
        <f t="shared" si="0"/>
        <v>728.03521785086639</v>
      </c>
      <c r="M11" s="3226">
        <f t="shared" si="0"/>
        <v>-234.61717557969183</v>
      </c>
    </row>
    <row r="12" spans="1:13" ht="18" customHeight="1" x14ac:dyDescent="0.2">
      <c r="B12" s="104" t="s">
        <v>668</v>
      </c>
      <c r="C12" s="2508"/>
      <c r="D12" s="2108"/>
      <c r="E12" s="2108"/>
      <c r="F12" s="2108"/>
      <c r="G12" s="2108"/>
      <c r="H12" s="2108"/>
      <c r="I12" s="2108"/>
      <c r="J12" s="3103">
        <f>IF(SUM(J13:J24)=0,"NO",SUM(J13:J24))</f>
        <v>18.367804323718367</v>
      </c>
      <c r="K12" s="3103">
        <f>IF(SUM(K13:K24)=0,"NO",SUM(K13:K24))</f>
        <v>1329.2309643825508</v>
      </c>
      <c r="L12" s="3103">
        <f>IF(SUM(L13:L24)=0,"NO",SUM(L13:L24))</f>
        <v>241.1092781803199</v>
      </c>
      <c r="M12" s="3226">
        <f>IF(SUM(M13:M24)=0,"NO",SUM(M13:M24))</f>
        <v>-66.59055676279462</v>
      </c>
    </row>
    <row r="13" spans="1:13" ht="18" customHeight="1" x14ac:dyDescent="0.2">
      <c r="B13" s="2616" t="s">
        <v>559</v>
      </c>
      <c r="C13" s="2618" t="s">
        <v>559</v>
      </c>
      <c r="D13" s="3227">
        <v>13.346847669180127</v>
      </c>
      <c r="E13" s="3227">
        <v>121.69272367594434</v>
      </c>
      <c r="F13" s="3227">
        <v>3.9212915983503183</v>
      </c>
      <c r="G13" s="3103">
        <f>IF(SUM(D13)=0,"NA",J13/D13)</f>
        <v>1.7500000000000002E-2</v>
      </c>
      <c r="H13" s="3103">
        <f>IF(SUM(E13)=0,"NA",K13/E13)</f>
        <v>0.13889779345753436</v>
      </c>
      <c r="I13" s="3103">
        <f>IF(SUM(F13)=0,"NA",(SUM(L13:M13))/F13)</f>
        <v>0.56594260830687226</v>
      </c>
      <c r="J13" s="3227">
        <v>0.23356983421065225</v>
      </c>
      <c r="K13" s="3227">
        <v>16.902850798426119</v>
      </c>
      <c r="L13" s="3227">
        <v>3.0702587967262609</v>
      </c>
      <c r="M13" s="3497">
        <v>-0.85103280162405792</v>
      </c>
    </row>
    <row r="14" spans="1:13" ht="18" customHeight="1" x14ac:dyDescent="0.2">
      <c r="B14" s="2616" t="s">
        <v>560</v>
      </c>
      <c r="C14" s="2618" t="s">
        <v>560</v>
      </c>
      <c r="D14" s="3227">
        <v>52.482335563357182</v>
      </c>
      <c r="E14" s="3227">
        <v>478.51886212260467</v>
      </c>
      <c r="F14" s="3227">
        <v>15.419262031559281</v>
      </c>
      <c r="G14" s="3103">
        <f t="shared" ref="G14:G24" si="1">IF(SUM(D14)=0,"NA",J14/D14)</f>
        <v>1.7500000000000002E-2</v>
      </c>
      <c r="H14" s="3103">
        <f t="shared" ref="H14:H24" si="2">IF(SUM(E14)=0,"NA",K14/E14)</f>
        <v>0.13889779345753436</v>
      </c>
      <c r="I14" s="3103">
        <f t="shared" ref="I14:I78" si="3">IF(SUM(F14)=0,"NA",(SUM(L14:M14))/F14)</f>
        <v>0.56594260830687304</v>
      </c>
      <c r="J14" s="3227">
        <v>0.91844087235875083</v>
      </c>
      <c r="K14" s="3227">
        <v>66.46521407663991</v>
      </c>
      <c r="L14" s="3227">
        <v>12.072839701933546</v>
      </c>
      <c r="M14" s="3497">
        <v>-3.346422329625752</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184.77427564330782</v>
      </c>
      <c r="E16" s="3227">
        <v>1684.7187759703475</v>
      </c>
      <c r="F16" s="3227">
        <v>54.286512638071997</v>
      </c>
      <c r="G16" s="3103">
        <f t="shared" si="1"/>
        <v>1.7500000000000002E-2</v>
      </c>
      <c r="H16" s="3103">
        <f t="shared" si="2"/>
        <v>0.13889779345753436</v>
      </c>
      <c r="I16" s="3103">
        <f t="shared" si="3"/>
        <v>0.5659426083068706</v>
      </c>
      <c r="J16" s="3227">
        <v>3.2335498237578868</v>
      </c>
      <c r="K16" s="3227">
        <v>234.00372057875944</v>
      </c>
      <c r="L16" s="3227">
        <v>42.504781598173139</v>
      </c>
      <c r="M16" s="3497">
        <v>-11.781731039898782</v>
      </c>
    </row>
    <row r="17" spans="2:13" ht="18" customHeight="1" x14ac:dyDescent="0.2">
      <c r="B17" s="2616" t="s">
        <v>564</v>
      </c>
      <c r="C17" s="2618" t="s">
        <v>564</v>
      </c>
      <c r="D17" s="3227">
        <v>0.44980697546965742</v>
      </c>
      <c r="E17" s="3227">
        <v>4.1012108124782216</v>
      </c>
      <c r="F17" s="3227">
        <v>0.13215287665727019</v>
      </c>
      <c r="G17" s="3103">
        <f t="shared" si="1"/>
        <v>1.7500000000000002E-2</v>
      </c>
      <c r="H17" s="3103">
        <f t="shared" si="2"/>
        <v>0.13889779345753436</v>
      </c>
      <c r="I17" s="3103">
        <f t="shared" si="3"/>
        <v>0.5659426083068716</v>
      </c>
      <c r="J17" s="3227">
        <v>7.8716220707190053E-3</v>
      </c>
      <c r="K17" s="3227">
        <v>0.56964913235740677</v>
      </c>
      <c r="L17" s="3227">
        <v>0.10347191018397095</v>
      </c>
      <c r="M17" s="3497">
        <v>-2.8680966473299173E-2</v>
      </c>
    </row>
    <row r="18" spans="2:13" ht="18" customHeight="1" x14ac:dyDescent="0.2">
      <c r="B18" s="2616" t="s">
        <v>565</v>
      </c>
      <c r="C18" s="2618" t="s">
        <v>565</v>
      </c>
      <c r="D18" s="3227">
        <v>574.70736932158559</v>
      </c>
      <c r="E18" s="3227">
        <v>5240.016730757874</v>
      </c>
      <c r="F18" s="3227">
        <v>168.84849776435499</v>
      </c>
      <c r="G18" s="3103">
        <f t="shared" si="1"/>
        <v>1.7500000000000002E-2</v>
      </c>
      <c r="H18" s="3103">
        <f t="shared" si="2"/>
        <v>0.13889779345753439</v>
      </c>
      <c r="I18" s="3103">
        <f t="shared" si="3"/>
        <v>0.56594260830687093</v>
      </c>
      <c r="J18" s="3227">
        <v>10.057378963127748</v>
      </c>
      <c r="K18" s="3227">
        <v>727.82676158283175</v>
      </c>
      <c r="L18" s="3227">
        <v>132.20352849890537</v>
      </c>
      <c r="M18" s="3497">
        <v>-36.64496926544944</v>
      </c>
    </row>
    <row r="19" spans="2:13" ht="18" customHeight="1" x14ac:dyDescent="0.2">
      <c r="B19" s="2616" t="s">
        <v>567</v>
      </c>
      <c r="C19" s="2618" t="s">
        <v>567</v>
      </c>
      <c r="D19" s="3227">
        <v>159.75453373561075</v>
      </c>
      <c r="E19" s="3227">
        <v>1456.5959552201311</v>
      </c>
      <c r="F19" s="3227">
        <v>46.935735423307207</v>
      </c>
      <c r="G19" s="3103">
        <f t="shared" si="1"/>
        <v>1.7500000000000002E-2</v>
      </c>
      <c r="H19" s="3103">
        <f t="shared" si="2"/>
        <v>0.13889779345753436</v>
      </c>
      <c r="I19" s="3103">
        <f t="shared" si="3"/>
        <v>0.56594260830687193</v>
      </c>
      <c r="J19" s="3227">
        <v>2.7957043403731885</v>
      </c>
      <c r="K19" s="3227">
        <v>202.31796413924573</v>
      </c>
      <c r="L19" s="3227">
        <v>36.749333975787465</v>
      </c>
      <c r="M19" s="3497">
        <v>-10.18640144751974</v>
      </c>
    </row>
    <row r="20" spans="2:13" ht="18" customHeight="1" x14ac:dyDescent="0.2">
      <c r="B20" s="2616" t="s">
        <v>569</v>
      </c>
      <c r="C20" s="2618" t="s">
        <v>569</v>
      </c>
      <c r="D20" s="3227">
        <v>15.816304516406218</v>
      </c>
      <c r="E20" s="3227">
        <v>144.20852195189883</v>
      </c>
      <c r="F20" s="3227">
        <v>4.6468157541310795</v>
      </c>
      <c r="G20" s="3103">
        <f t="shared" si="1"/>
        <v>1.7500000000000002E-2</v>
      </c>
      <c r="H20" s="3103">
        <f t="shared" si="2"/>
        <v>0.13889779345753436</v>
      </c>
      <c r="I20" s="3103">
        <f t="shared" si="3"/>
        <v>0.5659426083068726</v>
      </c>
      <c r="J20" s="3227">
        <v>0.27678532903710884</v>
      </c>
      <c r="K20" s="3227">
        <v>20.030245496891155</v>
      </c>
      <c r="L20" s="3227">
        <v>3.5349160667872184</v>
      </c>
      <c r="M20" s="3497">
        <v>-0.9050850385728082</v>
      </c>
    </row>
    <row r="21" spans="2:13" ht="18" customHeight="1" x14ac:dyDescent="0.2">
      <c r="B21" s="2616" t="s">
        <v>571</v>
      </c>
      <c r="C21" s="2618" t="s">
        <v>571</v>
      </c>
      <c r="D21" s="3227">
        <v>10.772459434572902</v>
      </c>
      <c r="E21" s="3227">
        <v>98.220191147377335</v>
      </c>
      <c r="F21" s="3227">
        <v>3.1649386972403493</v>
      </c>
      <c r="G21" s="3103">
        <f t="shared" si="1"/>
        <v>1.7499999999999998E-2</v>
      </c>
      <c r="H21" s="3103">
        <f t="shared" si="2"/>
        <v>0.13889779345753434</v>
      </c>
      <c r="I21" s="3103">
        <f t="shared" si="3"/>
        <v>0.56594260830687271</v>
      </c>
      <c r="J21" s="3227">
        <v>0.18851804010502576</v>
      </c>
      <c r="K21" s="3227">
        <v>13.64256782334796</v>
      </c>
      <c r="L21" s="3227">
        <v>2.4780561793439553</v>
      </c>
      <c r="M21" s="3497">
        <v>-0.68688251789639609</v>
      </c>
    </row>
    <row r="22" spans="2:13" ht="18" customHeight="1" x14ac:dyDescent="0.2">
      <c r="B22" s="2616" t="s">
        <v>574</v>
      </c>
      <c r="C22" s="2618" t="s">
        <v>574</v>
      </c>
      <c r="D22" s="3227">
        <v>2.1850428618048472</v>
      </c>
      <c r="E22" s="3227">
        <v>16.095831183303922</v>
      </c>
      <c r="F22" s="3227">
        <v>0.64196358783774232</v>
      </c>
      <c r="G22" s="3103">
        <f t="shared" si="1"/>
        <v>1.7500000000000002E-2</v>
      </c>
      <c r="H22" s="3103">
        <f t="shared" si="2"/>
        <v>0.17192055570287315</v>
      </c>
      <c r="I22" s="3103">
        <f t="shared" si="3"/>
        <v>0.56594260830687293</v>
      </c>
      <c r="J22" s="3227">
        <v>3.8238250081584831E-2</v>
      </c>
      <c r="K22" s="3227">
        <v>2.7672042415332445</v>
      </c>
      <c r="L22" s="3227">
        <v>0.50263906758833654</v>
      </c>
      <c r="M22" s="3497">
        <v>-0.13932452024940634</v>
      </c>
    </row>
    <row r="23" spans="2:13" ht="18" customHeight="1" x14ac:dyDescent="0.2">
      <c r="B23" s="2616" t="s">
        <v>576</v>
      </c>
      <c r="C23" s="2618" t="s">
        <v>576</v>
      </c>
      <c r="D23" s="3227">
        <v>11.928741135462047</v>
      </c>
      <c r="E23" s="3227">
        <v>108.76283559837957</v>
      </c>
      <c r="F23" s="3227">
        <v>3.5046531999759112</v>
      </c>
      <c r="G23" s="3103">
        <f t="shared" si="1"/>
        <v>1.7500000000000005E-2</v>
      </c>
      <c r="H23" s="3103">
        <f t="shared" si="2"/>
        <v>0.13889779345753436</v>
      </c>
      <c r="I23" s="3103">
        <f t="shared" si="3"/>
        <v>0.56594260830687249</v>
      </c>
      <c r="J23" s="3227">
        <v>0.20875296987058589</v>
      </c>
      <c r="K23" s="3227">
        <v>15.106917874799491</v>
      </c>
      <c r="L23" s="3227">
        <v>2.6660525315854002</v>
      </c>
      <c r="M23" s="3497">
        <v>-0.68261995838000589</v>
      </c>
    </row>
    <row r="24" spans="2:13" ht="18" customHeight="1" x14ac:dyDescent="0.2">
      <c r="B24" s="2616" t="s">
        <v>577</v>
      </c>
      <c r="C24" s="2618" t="s">
        <v>577</v>
      </c>
      <c r="D24" s="3227">
        <v>23.371101641435413</v>
      </c>
      <c r="E24" s="3227">
        <v>213.09099231131907</v>
      </c>
      <c r="F24" s="3227">
        <v>6.8664082173031664</v>
      </c>
      <c r="G24" s="3103">
        <f t="shared" si="1"/>
        <v>1.7500000000000005E-2</v>
      </c>
      <c r="H24" s="3103">
        <f t="shared" si="2"/>
        <v>0.13889779345753436</v>
      </c>
      <c r="I24" s="3103">
        <f t="shared" si="3"/>
        <v>0.56594260830687282</v>
      </c>
      <c r="J24" s="3227">
        <v>0.40899427872511984</v>
      </c>
      <c r="K24" s="3227">
        <v>29.597868637718637</v>
      </c>
      <c r="L24" s="3227">
        <v>5.2233998533052386</v>
      </c>
      <c r="M24" s="3497">
        <v>-1.3374068771049399</v>
      </c>
    </row>
    <row r="25" spans="2:13" ht="18" customHeight="1" x14ac:dyDescent="0.2">
      <c r="B25" s="105" t="s">
        <v>669</v>
      </c>
      <c r="C25" s="2508"/>
      <c r="D25" s="2108"/>
      <c r="E25" s="2108"/>
      <c r="F25" s="2108"/>
      <c r="G25" s="2108"/>
      <c r="H25" s="2108"/>
      <c r="I25" s="2108"/>
      <c r="J25" s="3103">
        <f>IF(SUM(J26:J37)=0,"NO",SUM(J26:J37))</f>
        <v>8.3243634729325E-2</v>
      </c>
      <c r="K25" s="3103">
        <f>IF(SUM(K26:K37)=0,"NO",SUM(K26:K37))</f>
        <v>12.658375960519482</v>
      </c>
      <c r="L25" s="3103">
        <f>IF(SUM(L26:L37)=0,"NO",SUM(L26:L37))</f>
        <v>27.632594791221681</v>
      </c>
      <c r="M25" s="3226">
        <f>IF(SUM(M26:M37)=0,"NO",SUM(M26:M37))</f>
        <v>-6.2859798541574108</v>
      </c>
    </row>
    <row r="26" spans="2:13" ht="18" customHeight="1" x14ac:dyDescent="0.2">
      <c r="B26" s="2616" t="s">
        <v>559</v>
      </c>
      <c r="C26" s="2618" t="s">
        <v>559</v>
      </c>
      <c r="D26" s="3227">
        <v>0.17642466150870212</v>
      </c>
      <c r="E26" s="3227">
        <v>9.3730154253002134</v>
      </c>
      <c r="F26" s="3227">
        <v>0.43131752260408601</v>
      </c>
      <c r="G26" s="3103">
        <f>IF(SUM(D26)=0,"NA",J26/D26)</f>
        <v>6.0000000000000001E-3</v>
      </c>
      <c r="H26" s="3103">
        <f>IF(SUM(E26)=0,"NA",K26/E26)</f>
        <v>1.7173474395515257E-2</v>
      </c>
      <c r="I26" s="3103">
        <f t="shared" si="3"/>
        <v>0.62934882023329464</v>
      </c>
      <c r="J26" s="3227">
        <v>1.0585479690522128E-3</v>
      </c>
      <c r="K26" s="3227">
        <v>0.16096724041516278</v>
      </c>
      <c r="L26" s="3227">
        <v>0.35138334830045748</v>
      </c>
      <c r="M26" s="3497">
        <v>-7.9934174303628536E-2</v>
      </c>
    </row>
    <row r="27" spans="2:13" ht="18" customHeight="1" x14ac:dyDescent="0.2">
      <c r="B27" s="2616" t="s">
        <v>560</v>
      </c>
      <c r="C27" s="2618" t="s">
        <v>560</v>
      </c>
      <c r="D27" s="3227">
        <v>0.69373521871626975</v>
      </c>
      <c r="E27" s="3227">
        <v>36.856473752003687</v>
      </c>
      <c r="F27" s="3227">
        <v>1.6960222755770813</v>
      </c>
      <c r="G27" s="3103">
        <f t="shared" ref="G27:G37" si="6">IF(SUM(D27)=0,"NA",J27/D27)</f>
        <v>6.0000000000000001E-3</v>
      </c>
      <c r="H27" s="3103">
        <f t="shared" ref="H27:H37" si="7">IF(SUM(E27)=0,"NA",K27/E27)</f>
        <v>1.7173474395515257E-2</v>
      </c>
      <c r="I27" s="3103">
        <f t="shared" si="3"/>
        <v>0.62934882023329441</v>
      </c>
      <c r="J27" s="3227">
        <v>4.1624113122976187E-3</v>
      </c>
      <c r="K27" s="3227">
        <v>0.63295370828901543</v>
      </c>
      <c r="L27" s="3227">
        <v>1.381705946900452</v>
      </c>
      <c r="M27" s="3497">
        <v>-0.31431632867662868</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2.4424298414045422</v>
      </c>
      <c r="E29" s="3227">
        <v>129.76038827524766</v>
      </c>
      <c r="F29" s="3227">
        <v>5.9711764745369003</v>
      </c>
      <c r="G29" s="3103">
        <f t="shared" si="6"/>
        <v>6.000000000000001E-3</v>
      </c>
      <c r="H29" s="3103">
        <f t="shared" si="7"/>
        <v>1.7173474395515261E-2</v>
      </c>
      <c r="I29" s="3103">
        <f t="shared" si="3"/>
        <v>0.62934882023329486</v>
      </c>
      <c r="J29" s="3227">
        <v>1.4654579048427256E-2</v>
      </c>
      <c r="K29" s="3227">
        <v>2.2284367055970842</v>
      </c>
      <c r="L29" s="3227">
        <v>4.8645646720957521</v>
      </c>
      <c r="M29" s="3497">
        <v>-1.1066118024411491</v>
      </c>
    </row>
    <row r="30" spans="2:13" ht="18" customHeight="1" x14ac:dyDescent="0.2">
      <c r="B30" s="2616" t="s">
        <v>564</v>
      </c>
      <c r="C30" s="2618" t="s">
        <v>564</v>
      </c>
      <c r="D30" s="3227">
        <v>5.9457517878723307E-3</v>
      </c>
      <c r="E30" s="3227">
        <v>0.31588340737717568</v>
      </c>
      <c r="F30" s="3227">
        <v>1.4535988955474997E-2</v>
      </c>
      <c r="G30" s="3103">
        <f t="shared" si="6"/>
        <v>6.0000000000000001E-3</v>
      </c>
      <c r="H30" s="3103">
        <f t="shared" si="7"/>
        <v>1.7173474395515257E-2</v>
      </c>
      <c r="I30" s="3103">
        <f t="shared" si="3"/>
        <v>0.62934882023329464</v>
      </c>
      <c r="J30" s="3227">
        <v>3.5674510727233987E-5</v>
      </c>
      <c r="K30" s="3227">
        <v>5.4248156085600421E-3</v>
      </c>
      <c r="L30" s="3227">
        <v>1.1842098227763694E-2</v>
      </c>
      <c r="M30" s="3497">
        <v>-2.6938907277113031E-3</v>
      </c>
    </row>
    <row r="31" spans="2:13" ht="18" customHeight="1" x14ac:dyDescent="0.2">
      <c r="B31" s="2616" t="s">
        <v>565</v>
      </c>
      <c r="C31" s="2618" t="s">
        <v>565</v>
      </c>
      <c r="D31" s="3227">
        <v>7.5967416136207211</v>
      </c>
      <c r="E31" s="3227">
        <v>403.59650242534212</v>
      </c>
      <c r="F31" s="3227">
        <v>18.572277507181941</v>
      </c>
      <c r="G31" s="3103">
        <f t="shared" si="6"/>
        <v>6.0000000000000001E-3</v>
      </c>
      <c r="H31" s="3103">
        <f t="shared" si="7"/>
        <v>1.7173474395515254E-2</v>
      </c>
      <c r="I31" s="3103">
        <f t="shared" si="3"/>
        <v>0.62934882023329464</v>
      </c>
      <c r="J31" s="3227">
        <v>4.5580449681724325E-2</v>
      </c>
      <c r="K31" s="3227">
        <v>6.9311542005211235</v>
      </c>
      <c r="L31" s="3227">
        <v>15.130359222686126</v>
      </c>
      <c r="M31" s="3497">
        <v>-3.441918284495816</v>
      </c>
    </row>
    <row r="32" spans="2:13" ht="18" customHeight="1" x14ac:dyDescent="0.2">
      <c r="B32" s="2616" t="s">
        <v>567</v>
      </c>
      <c r="C32" s="2618" t="s">
        <v>567</v>
      </c>
      <c r="D32" s="3227">
        <v>0.25883229275809361</v>
      </c>
      <c r="E32" s="3227">
        <v>112.18991525790783</v>
      </c>
      <c r="F32" s="3227">
        <v>5.1626370078926076</v>
      </c>
      <c r="G32" s="3103">
        <f t="shared" si="6"/>
        <v>4.8951564006650287E-2</v>
      </c>
      <c r="H32" s="3103">
        <f t="shared" si="7"/>
        <v>1.7173474395515254E-2</v>
      </c>
      <c r="I32" s="3103">
        <f t="shared" si="3"/>
        <v>0.62934882023329453</v>
      </c>
      <c r="J32" s="3227">
        <v>1.2670245545935864E-2</v>
      </c>
      <c r="K32" s="3227">
        <v>1.9266906371167063</v>
      </c>
      <c r="L32" s="3227">
        <v>4.2058682590512824</v>
      </c>
      <c r="M32" s="3497">
        <v>-0.95676874884132423</v>
      </c>
    </row>
    <row r="33" spans="2:13" ht="18" customHeight="1" x14ac:dyDescent="0.2">
      <c r="B33" s="2616" t="s">
        <v>569</v>
      </c>
      <c r="C33" s="2618" t="s">
        <v>569</v>
      </c>
      <c r="D33" s="3227">
        <v>0.20906705761458141</v>
      </c>
      <c r="E33" s="3227">
        <v>11.10722695560872</v>
      </c>
      <c r="F33" s="3227">
        <v>0.5111206368617528</v>
      </c>
      <c r="G33" s="3103">
        <f t="shared" si="6"/>
        <v>6.0000000000000001E-3</v>
      </c>
      <c r="H33" s="3103">
        <f t="shared" si="7"/>
        <v>1.7173474395515257E-2</v>
      </c>
      <c r="I33" s="3103">
        <f t="shared" si="3"/>
        <v>0.62934882023329453</v>
      </c>
      <c r="J33" s="3227">
        <v>1.2544023456874886E-3</v>
      </c>
      <c r="K33" s="3227">
        <v>0.19074967772732324</v>
      </c>
      <c r="L33" s="3227">
        <v>0.41639690333379348</v>
      </c>
      <c r="M33" s="3497">
        <v>-9.4723733527959209E-2</v>
      </c>
    </row>
    <row r="34" spans="2:13" ht="18" customHeight="1" x14ac:dyDescent="0.2">
      <c r="B34" s="2616" t="s">
        <v>571</v>
      </c>
      <c r="C34" s="2618" t="s">
        <v>571</v>
      </c>
      <c r="D34" s="3227">
        <v>0.14239523492497422</v>
      </c>
      <c r="E34" s="3227">
        <v>7.56511432147596</v>
      </c>
      <c r="F34" s="3227">
        <v>0.34812343939476564</v>
      </c>
      <c r="G34" s="3103">
        <f t="shared" si="6"/>
        <v>6.0000000000000001E-3</v>
      </c>
      <c r="H34" s="3103">
        <f t="shared" si="7"/>
        <v>1.7173474395515261E-2</v>
      </c>
      <c r="I34" s="3103">
        <f t="shared" si="3"/>
        <v>0.62934882023329441</v>
      </c>
      <c r="J34" s="3227">
        <v>8.5437140954984535E-4</v>
      </c>
      <c r="K34" s="3227">
        <v>0.1299192970990132</v>
      </c>
      <c r="L34" s="3227">
        <v>0.28360725763670902</v>
      </c>
      <c r="M34" s="3497">
        <v>-6.4516181758056512E-2</v>
      </c>
    </row>
    <row r="35" spans="2:13" ht="18" customHeight="1" x14ac:dyDescent="0.2">
      <c r="B35" s="2616" t="s">
        <v>574</v>
      </c>
      <c r="C35" s="2618" t="s">
        <v>574</v>
      </c>
      <c r="D35" s="3227">
        <v>2.8882883571533728E-2</v>
      </c>
      <c r="E35" s="3227">
        <v>1.5344777250984414</v>
      </c>
      <c r="F35" s="3227">
        <v>7.0611974999434585E-2</v>
      </c>
      <c r="G35" s="3103">
        <f t="shared" si="6"/>
        <v>6.000000000000001E-3</v>
      </c>
      <c r="H35" s="3103">
        <f t="shared" si="7"/>
        <v>1.7173474395515257E-2</v>
      </c>
      <c r="I35" s="3103">
        <f t="shared" si="3"/>
        <v>0.62934882023329453</v>
      </c>
      <c r="J35" s="3227">
        <v>1.7329730142920239E-4</v>
      </c>
      <c r="K35" s="3227">
        <v>2.6352313922466581E-2</v>
      </c>
      <c r="L35" s="3227">
        <v>5.7525769079835809E-2</v>
      </c>
      <c r="M35" s="3497">
        <v>-1.3086205919598764E-2</v>
      </c>
    </row>
    <row r="36" spans="2:13" ht="18" customHeight="1" x14ac:dyDescent="0.2">
      <c r="B36" s="2616" t="s">
        <v>576</v>
      </c>
      <c r="C36" s="2618" t="s">
        <v>576</v>
      </c>
      <c r="D36" s="3227">
        <v>0.15767948876111657</v>
      </c>
      <c r="E36" s="3227">
        <v>8.3771297491677394</v>
      </c>
      <c r="F36" s="3227">
        <v>0.38548990756923768</v>
      </c>
      <c r="G36" s="3103">
        <f t="shared" si="6"/>
        <v>6.0000000000000001E-3</v>
      </c>
      <c r="H36" s="3103">
        <f t="shared" si="7"/>
        <v>1.7173474395515261E-2</v>
      </c>
      <c r="I36" s="3103">
        <f t="shared" si="3"/>
        <v>0.62934882023329464</v>
      </c>
      <c r="J36" s="3227">
        <v>9.4607693256669944E-4</v>
      </c>
      <c r="K36" s="3227">
        <v>0.14386442325524135</v>
      </c>
      <c r="L36" s="3227">
        <v>0.3140487630548896</v>
      </c>
      <c r="M36" s="3497">
        <v>-7.1441144514348062E-2</v>
      </c>
    </row>
    <row r="37" spans="2:13" ht="18" customHeight="1" x14ac:dyDescent="0.2">
      <c r="B37" s="2616" t="s">
        <v>577</v>
      </c>
      <c r="C37" s="2618" t="s">
        <v>577</v>
      </c>
      <c r="D37" s="3227">
        <v>0.30892977865454269</v>
      </c>
      <c r="E37" s="3227">
        <v>16.41269171725623</v>
      </c>
      <c r="F37" s="3227">
        <v>0.75526190980581043</v>
      </c>
      <c r="G37" s="3103">
        <f t="shared" si="6"/>
        <v>6.0000000000000001E-3</v>
      </c>
      <c r="H37" s="3103">
        <f t="shared" si="7"/>
        <v>1.7173474395515261E-2</v>
      </c>
      <c r="I37" s="3103">
        <f t="shared" si="3"/>
        <v>0.62934882023329453</v>
      </c>
      <c r="J37" s="3227">
        <v>1.8535786719272563E-3</v>
      </c>
      <c r="K37" s="3227">
        <v>0.28186294096778525</v>
      </c>
      <c r="L37" s="3227">
        <v>0.61529255085462098</v>
      </c>
      <c r="M37" s="3497">
        <v>-0.13996935895118928</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4.4287532785878216</v>
      </c>
      <c r="K51" s="3103">
        <f>IF(SUM(K52:K63)=0,"NO",SUM(K52:K63))</f>
        <v>117.79604447222511</v>
      </c>
      <c r="L51" s="3103">
        <f>IF(SUM(L52:L63)=0,"NO",SUM(L52:L63))</f>
        <v>46.377977107496271</v>
      </c>
      <c r="M51" s="3226">
        <f>IF(SUM(M52:M63)=0,"NO",SUM(M52:M63))</f>
        <v>-12.308635410697178</v>
      </c>
    </row>
    <row r="52" spans="2:13" ht="18" customHeight="1" x14ac:dyDescent="0.2">
      <c r="B52" s="2616" t="s">
        <v>559</v>
      </c>
      <c r="C52" s="2618" t="s">
        <v>559</v>
      </c>
      <c r="D52" s="3227">
        <v>1.1042586734158617</v>
      </c>
      <c r="E52" s="3227">
        <v>6.893398482332965</v>
      </c>
      <c r="F52" s="3227">
        <v>0.74627441117492843</v>
      </c>
      <c r="G52" s="3103">
        <f>IF(SUM(D52)=0,"NA",J52/D52)</f>
        <v>5.0999999999999997E-2</v>
      </c>
      <c r="H52" s="3103">
        <f>IF(SUM(E52)=0,"NA",K52/E52)</f>
        <v>0.21729855156663697</v>
      </c>
      <c r="I52" s="3103">
        <f t="shared" si="3"/>
        <v>0.58053004313781498</v>
      </c>
      <c r="J52" s="3227">
        <v>5.6317192344208941E-2</v>
      </c>
      <c r="K52" s="3227">
        <v>1.4979255055826068</v>
      </c>
      <c r="L52" s="3227">
        <v>0.58975456364347845</v>
      </c>
      <c r="M52" s="3497">
        <v>-0.15651984753144976</v>
      </c>
    </row>
    <row r="53" spans="2:13" ht="18" customHeight="1" x14ac:dyDescent="0.2">
      <c r="B53" s="2616" t="s">
        <v>560</v>
      </c>
      <c r="C53" s="2618" t="s">
        <v>560</v>
      </c>
      <c r="D53" s="3227">
        <v>4.3421544684879825</v>
      </c>
      <c r="E53" s="3227">
        <v>27.10614980323361</v>
      </c>
      <c r="F53" s="3227">
        <v>2.9344924764571996</v>
      </c>
      <c r="G53" s="3103">
        <f t="shared" ref="G53:G63" si="36">IF(SUM(D53)=0,"NA",J53/D53)</f>
        <v>5.1000000000000011E-2</v>
      </c>
      <c r="H53" s="3103">
        <f t="shared" ref="H53:H63" si="37">IF(SUM(E53)=0,"NA",K53/E53)</f>
        <v>0.21729855156663694</v>
      </c>
      <c r="I53" s="3103">
        <f t="shared" si="3"/>
        <v>0.58053004313781553</v>
      </c>
      <c r="J53" s="3227">
        <v>0.22144987789288714</v>
      </c>
      <c r="K53" s="3227">
        <v>5.8901270907909442</v>
      </c>
      <c r="L53" s="3227">
        <v>2.3190267602012469</v>
      </c>
      <c r="M53" s="3497">
        <v>-0.61546571625595348</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15.287399808601366</v>
      </c>
      <c r="E55" s="3227">
        <v>95.432475357830597</v>
      </c>
      <c r="F55" s="3227">
        <v>10.331451828464147</v>
      </c>
      <c r="G55" s="3103">
        <f t="shared" si="36"/>
        <v>5.0999999999999997E-2</v>
      </c>
      <c r="H55" s="3103">
        <f t="shared" si="37"/>
        <v>0.21729855156663697</v>
      </c>
      <c r="I55" s="3103">
        <f t="shared" si="3"/>
        <v>0.58053004313781509</v>
      </c>
      <c r="J55" s="3227">
        <v>0.77965739023866965</v>
      </c>
      <c r="K55" s="3227">
        <v>20.737338667675363</v>
      </c>
      <c r="L55" s="3227">
        <v>8.1645850020593471</v>
      </c>
      <c r="M55" s="3497">
        <v>-2.1668668264047977</v>
      </c>
    </row>
    <row r="56" spans="2:13" ht="18" customHeight="1" x14ac:dyDescent="0.2">
      <c r="B56" s="2616" t="s">
        <v>564</v>
      </c>
      <c r="C56" s="2618" t="s">
        <v>564</v>
      </c>
      <c r="D56" s="3227">
        <v>3.7215023827108423E-2</v>
      </c>
      <c r="E56" s="3227">
        <v>0.23231693347375923</v>
      </c>
      <c r="F56" s="3227">
        <v>2.5150465793966331E-2</v>
      </c>
      <c r="G56" s="3103">
        <f t="shared" si="36"/>
        <v>5.1000000000000004E-2</v>
      </c>
      <c r="H56" s="3103">
        <f t="shared" si="37"/>
        <v>0.21729855156663697</v>
      </c>
      <c r="I56" s="3103">
        <f t="shared" si="3"/>
        <v>0.58053004313781476</v>
      </c>
      <c r="J56" s="3227">
        <v>1.8979662151825296E-3</v>
      </c>
      <c r="K56" s="3227">
        <v>5.0482133148250639E-2</v>
      </c>
      <c r="L56" s="3227">
        <v>1.9875533393136864E-2</v>
      </c>
      <c r="M56" s="3497">
        <v>-5.2749324008294551E-3</v>
      </c>
    </row>
    <row r="57" spans="2:13" ht="18" customHeight="1" x14ac:dyDescent="0.2">
      <c r="B57" s="2616" t="s">
        <v>565</v>
      </c>
      <c r="C57" s="2618" t="s">
        <v>565</v>
      </c>
      <c r="D57" s="3227">
        <v>47.548725585204622</v>
      </c>
      <c r="E57" s="3227">
        <v>296.82566293276261</v>
      </c>
      <c r="F57" s="3227">
        <v>32.134134911026848</v>
      </c>
      <c r="G57" s="3103">
        <f t="shared" si="36"/>
        <v>5.0999999999999997E-2</v>
      </c>
      <c r="H57" s="3103">
        <f t="shared" si="37"/>
        <v>0.21729855156663699</v>
      </c>
      <c r="I57" s="3103">
        <f t="shared" si="3"/>
        <v>0.5805300431378152</v>
      </c>
      <c r="J57" s="3227">
        <v>2.4249850048454356</v>
      </c>
      <c r="K57" s="3227">
        <v>64.499786623096128</v>
      </c>
      <c r="L57" s="3227">
        <v>25.394482818560817</v>
      </c>
      <c r="M57" s="3497">
        <v>-6.7396520924660273</v>
      </c>
    </row>
    <row r="58" spans="2:13" ht="18" customHeight="1" x14ac:dyDescent="0.2">
      <c r="B58" s="2616" t="s">
        <v>567</v>
      </c>
      <c r="C58" s="2618" t="s">
        <v>567</v>
      </c>
      <c r="D58" s="3227">
        <v>13.217377905826631</v>
      </c>
      <c r="E58" s="3227">
        <v>82.510244193602745</v>
      </c>
      <c r="F58" s="3227">
        <v>8.9325002840458492</v>
      </c>
      <c r="G58" s="3103">
        <f t="shared" si="36"/>
        <v>5.0999999999999997E-2</v>
      </c>
      <c r="H58" s="3103">
        <f t="shared" si="37"/>
        <v>0.21729855156663691</v>
      </c>
      <c r="I58" s="3103">
        <f t="shared" si="3"/>
        <v>0.58053004313781498</v>
      </c>
      <c r="J58" s="3227">
        <v>0.67408627319715808</v>
      </c>
      <c r="K58" s="3227">
        <v>17.929356552679391</v>
      </c>
      <c r="L58" s="3227">
        <v>7.0590425296357644</v>
      </c>
      <c r="M58" s="3497">
        <v>-1.8734577544100826</v>
      </c>
    </row>
    <row r="59" spans="2:13" ht="18" customHeight="1" x14ac:dyDescent="0.2">
      <c r="B59" s="2616" t="s">
        <v>569</v>
      </c>
      <c r="C59" s="2618" t="s">
        <v>569</v>
      </c>
      <c r="D59" s="3227">
        <v>1.308570523656909</v>
      </c>
      <c r="E59" s="3227">
        <v>8.1688269958510773</v>
      </c>
      <c r="F59" s="3227">
        <v>0.88435139386508532</v>
      </c>
      <c r="G59" s="3103">
        <f t="shared" si="36"/>
        <v>5.0999999999999983E-2</v>
      </c>
      <c r="H59" s="3103">
        <f t="shared" si="37"/>
        <v>0.21729855156663694</v>
      </c>
      <c r="I59" s="3103">
        <f t="shared" si="3"/>
        <v>0.58053004313781487</v>
      </c>
      <c r="J59" s="3227">
        <v>6.6737096706502338E-2</v>
      </c>
      <c r="K59" s="3227">
        <v>1.7750742741968812</v>
      </c>
      <c r="L59" s="3227">
        <v>0.69887197334728479</v>
      </c>
      <c r="M59" s="3497">
        <v>-0.18547942051780014</v>
      </c>
    </row>
    <row r="60" spans="2:13" ht="18" customHeight="1" x14ac:dyDescent="0.2">
      <c r="B60" s="2616" t="s">
        <v>571</v>
      </c>
      <c r="C60" s="2618" t="s">
        <v>571</v>
      </c>
      <c r="D60" s="3227">
        <v>0.8912652679865628</v>
      </c>
      <c r="E60" s="3227">
        <v>5.563774859643682</v>
      </c>
      <c r="F60" s="3227">
        <v>0.60233030455614156</v>
      </c>
      <c r="G60" s="3103">
        <f t="shared" si="36"/>
        <v>5.0999999999999997E-2</v>
      </c>
      <c r="H60" s="3103">
        <f t="shared" si="37"/>
        <v>0.21729855156663697</v>
      </c>
      <c r="I60" s="3103">
        <f t="shared" si="3"/>
        <v>0.58053004313781575</v>
      </c>
      <c r="J60" s="3227">
        <v>4.5454528667314698E-2</v>
      </c>
      <c r="K60" s="3227">
        <v>1.2090002182434409</v>
      </c>
      <c r="L60" s="3227">
        <v>0.47600057112166616</v>
      </c>
      <c r="M60" s="3497">
        <v>-0.12632973343447565</v>
      </c>
    </row>
    <row r="61" spans="2:13" ht="18" customHeight="1" x14ac:dyDescent="0.2">
      <c r="B61" s="2616" t="s">
        <v>574</v>
      </c>
      <c r="C61" s="2618" t="s">
        <v>574</v>
      </c>
      <c r="D61" s="3227">
        <v>0.18078070505779856</v>
      </c>
      <c r="E61" s="3227">
        <v>1.1285339820112945</v>
      </c>
      <c r="F61" s="3227">
        <v>0.12217428530714326</v>
      </c>
      <c r="G61" s="3103">
        <f t="shared" si="36"/>
        <v>5.0999999999999997E-2</v>
      </c>
      <c r="H61" s="3103">
        <f t="shared" si="37"/>
        <v>0.21729855156663697</v>
      </c>
      <c r="I61" s="3103">
        <f t="shared" si="3"/>
        <v>0.5805300431378152</v>
      </c>
      <c r="J61" s="3227">
        <v>9.2198159579477256E-3</v>
      </c>
      <c r="K61" s="3227">
        <v>0.24522879968478342</v>
      </c>
      <c r="L61" s="3227">
        <v>9.6550064213415443E-2</v>
      </c>
      <c r="M61" s="3497">
        <v>-2.5624221093727816E-2</v>
      </c>
    </row>
    <row r="62" spans="2:13" ht="18" customHeight="1" x14ac:dyDescent="0.2">
      <c r="B62" s="2616" t="s">
        <v>576</v>
      </c>
      <c r="C62" s="2618" t="s">
        <v>576</v>
      </c>
      <c r="D62" s="3227">
        <v>0.98693086099900762</v>
      </c>
      <c r="E62" s="3227">
        <v>6.1609728437387732</v>
      </c>
      <c r="F62" s="3227">
        <v>0.66698253307268984</v>
      </c>
      <c r="G62" s="3103">
        <f t="shared" si="36"/>
        <v>5.1000000000000004E-2</v>
      </c>
      <c r="H62" s="3103">
        <f t="shared" si="37"/>
        <v>0.21729855156663697</v>
      </c>
      <c r="I62" s="3103">
        <f t="shared" si="3"/>
        <v>0.58053004313781553</v>
      </c>
      <c r="J62" s="3227">
        <v>5.0333473910949389E-2</v>
      </c>
      <c r="K62" s="3227">
        <v>1.3387704751858198</v>
      </c>
      <c r="L62" s="3227">
        <v>0.52709296588477406</v>
      </c>
      <c r="M62" s="3497">
        <v>-0.13988956718791595</v>
      </c>
    </row>
    <row r="63" spans="2:13" ht="18" customHeight="1" x14ac:dyDescent="0.2">
      <c r="B63" s="2616" t="s">
        <v>577</v>
      </c>
      <c r="C63" s="2618" t="s">
        <v>577</v>
      </c>
      <c r="D63" s="3227">
        <v>1.9336207570895323</v>
      </c>
      <c r="E63" s="3227">
        <v>12.070739142212512</v>
      </c>
      <c r="F63" s="3227">
        <v>1.3067696244294518</v>
      </c>
      <c r="G63" s="3103">
        <f t="shared" si="36"/>
        <v>5.1000000000000004E-2</v>
      </c>
      <c r="H63" s="3103">
        <f t="shared" si="37"/>
        <v>0.21729855156663694</v>
      </c>
      <c r="I63" s="3103">
        <f t="shared" si="3"/>
        <v>0.5805300431378152</v>
      </c>
      <c r="J63" s="3227">
        <v>9.8614658611566153E-2</v>
      </c>
      <c r="K63" s="3227">
        <v>2.6229541319414884</v>
      </c>
      <c r="L63" s="3227">
        <v>1.032694325435334</v>
      </c>
      <c r="M63" s="3497">
        <v>-0.2740752989941177</v>
      </c>
    </row>
    <row r="64" spans="2:13" ht="18" customHeight="1" x14ac:dyDescent="0.2">
      <c r="B64" s="104" t="s">
        <v>672</v>
      </c>
      <c r="C64" s="2508"/>
      <c r="D64" s="2108"/>
      <c r="E64" s="2108"/>
      <c r="F64" s="2108"/>
      <c r="G64" s="2108"/>
      <c r="H64" s="2108"/>
      <c r="I64" s="2108"/>
      <c r="J64" s="3103">
        <f>IF(SUM(J65:J76)=0,"NO",SUM(J65:J76))</f>
        <v>0.33365771202995059</v>
      </c>
      <c r="K64" s="3103">
        <f>IF(SUM(K65:K76)=0,"NO",SUM(K65:K76))</f>
        <v>416.46063822350362</v>
      </c>
      <c r="L64" s="3103">
        <f>IF(SUM(L65:L76)=0,"NO",SUM(L65:L76))</f>
        <v>64.177753571481077</v>
      </c>
      <c r="M64" s="3226">
        <f>IF(SUM(M65:M76)=0,"NO",SUM(M65:M76))</f>
        <v>-26.004922588707057</v>
      </c>
    </row>
    <row r="65" spans="2:13" ht="18" customHeight="1" x14ac:dyDescent="0.2">
      <c r="B65" s="2616" t="s">
        <v>559</v>
      </c>
      <c r="C65" s="2618" t="s">
        <v>559</v>
      </c>
      <c r="D65" s="3227">
        <v>1.2122512243775361</v>
      </c>
      <c r="E65" s="3227">
        <v>50.140254646002163</v>
      </c>
      <c r="F65" s="3227">
        <v>1.2371251967095109</v>
      </c>
      <c r="G65" s="3103">
        <f>IF(SUM(D65)=0,"NA",J65/D65)</f>
        <v>3.5000000000000001E-3</v>
      </c>
      <c r="H65" s="3103">
        <f>IF(SUM(E65)=0,"NA",K65/E65)</f>
        <v>0.10562018733305137</v>
      </c>
      <c r="I65" s="3103">
        <f t="shared" si="3"/>
        <v>0.39237400321920868</v>
      </c>
      <c r="J65" s="3227">
        <v>4.2428792853213765E-3</v>
      </c>
      <c r="K65" s="3227">
        <v>5.2958230886376478</v>
      </c>
      <c r="L65" s="3227">
        <v>0.81610120608407932</v>
      </c>
      <c r="M65" s="3497">
        <v>-0.33068544016781753</v>
      </c>
    </row>
    <row r="66" spans="2:13" ht="18" customHeight="1" x14ac:dyDescent="0.2">
      <c r="B66" s="2616" t="s">
        <v>560</v>
      </c>
      <c r="C66" s="2618" t="s">
        <v>560</v>
      </c>
      <c r="D66" s="3227">
        <v>4.766801653980413</v>
      </c>
      <c r="E66" s="3227">
        <v>197.16098773196771</v>
      </c>
      <c r="F66" s="3227">
        <v>4.8646108292311983</v>
      </c>
      <c r="G66" s="3103">
        <f t="shared" ref="G66:G76" si="38">IF(SUM(D66)=0,"NA",J66/D66)</f>
        <v>3.5000000000000009E-3</v>
      </c>
      <c r="H66" s="3103">
        <f t="shared" ref="H66:H76" si="39">IF(SUM(E66)=0,"NA",K66/E66)</f>
        <v>0.10562018733305137</v>
      </c>
      <c r="I66" s="3103">
        <f t="shared" si="3"/>
        <v>0.39237400321920862</v>
      </c>
      <c r="J66" s="3227">
        <v>1.6683805788931451E-2</v>
      </c>
      <c r="K66" s="3227">
        <v>20.824180459019871</v>
      </c>
      <c r="L66" s="3227">
        <v>3.2090646730214907</v>
      </c>
      <c r="M66" s="3497">
        <v>-1.3003178478525315</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16.782452863330814</v>
      </c>
      <c r="E68" s="3227">
        <v>694.1436257026794</v>
      </c>
      <c r="F68" s="3227">
        <v>17.126809098895361</v>
      </c>
      <c r="G68" s="3103">
        <f t="shared" si="38"/>
        <v>3.5000000000000009E-3</v>
      </c>
      <c r="H68" s="3103">
        <f t="shared" si="39"/>
        <v>0.10562018733305135</v>
      </c>
      <c r="I68" s="3103">
        <f t="shared" si="3"/>
        <v>0.39237400321920934</v>
      </c>
      <c r="J68" s="3227">
        <v>5.8738585021657866E-2</v>
      </c>
      <c r="K68" s="3227">
        <v>73.31557978276048</v>
      </c>
      <c r="L68" s="3227">
        <v>11.298136679421532</v>
      </c>
      <c r="M68" s="3497">
        <v>-4.5780220309167792</v>
      </c>
    </row>
    <row r="69" spans="2:13" ht="18" customHeight="1" x14ac:dyDescent="0.2">
      <c r="B69" s="2616" t="s">
        <v>564</v>
      </c>
      <c r="C69" s="2618" t="s">
        <v>564</v>
      </c>
      <c r="D69" s="3227">
        <v>4.0854520128058375E-2</v>
      </c>
      <c r="E69" s="3227">
        <v>1.6897949875966547</v>
      </c>
      <c r="F69" s="3227">
        <v>4.1692806931046135E-2</v>
      </c>
      <c r="G69" s="3103">
        <f t="shared" si="38"/>
        <v>3.5000000000000005E-3</v>
      </c>
      <c r="H69" s="3103">
        <f t="shared" si="39"/>
        <v>0.10562018733305134</v>
      </c>
      <c r="I69" s="3103">
        <f t="shared" si="3"/>
        <v>0.3923740032192089</v>
      </c>
      <c r="J69" s="3227">
        <v>1.4299082044820434E-4</v>
      </c>
      <c r="K69" s="3227">
        <v>0.17847646314440985</v>
      </c>
      <c r="L69" s="3227">
        <v>2.7503724046651162E-2</v>
      </c>
      <c r="M69" s="3497">
        <v>-1.114455048567101E-2</v>
      </c>
    </row>
    <row r="70" spans="2:13" ht="18" customHeight="1" x14ac:dyDescent="0.2">
      <c r="B70" s="2616" t="s">
        <v>565</v>
      </c>
      <c r="C70" s="2618" t="s">
        <v>565</v>
      </c>
      <c r="D70" s="3227">
        <v>52.1988209791025</v>
      </c>
      <c r="E70" s="3227">
        <v>2159.009719670265</v>
      </c>
      <c r="F70" s="3227">
        <v>53.269879521000533</v>
      </c>
      <c r="G70" s="3103">
        <f t="shared" si="38"/>
        <v>3.5000000000000005E-3</v>
      </c>
      <c r="H70" s="3103">
        <f t="shared" si="39"/>
        <v>0.10562018733305134</v>
      </c>
      <c r="I70" s="3103">
        <f t="shared" si="3"/>
        <v>0.39237400321920851</v>
      </c>
      <c r="J70" s="3227">
        <v>0.18269587342685878</v>
      </c>
      <c r="K70" s="3227">
        <v>228.03501104545205</v>
      </c>
      <c r="L70" s="3227">
        <v>35.14083541477666</v>
      </c>
      <c r="M70" s="3497">
        <v>-14.239119536116746</v>
      </c>
    </row>
    <row r="71" spans="2:13" ht="18" customHeight="1" x14ac:dyDescent="0.2">
      <c r="B71" s="2616" t="s">
        <v>567</v>
      </c>
      <c r="C71" s="2618" t="s">
        <v>567</v>
      </c>
      <c r="D71" s="3227">
        <v>14.509990217993765</v>
      </c>
      <c r="E71" s="3227">
        <v>600.15167632829628</v>
      </c>
      <c r="F71" s="3227">
        <v>14.807718187214773</v>
      </c>
      <c r="G71" s="3103">
        <f t="shared" si="38"/>
        <v>3.5000000000000001E-3</v>
      </c>
      <c r="H71" s="3103">
        <f t="shared" si="39"/>
        <v>0.10562018733305137</v>
      </c>
      <c r="I71" s="3103">
        <f t="shared" si="3"/>
        <v>0.39237400321920812</v>
      </c>
      <c r="J71" s="3227">
        <v>5.0784965762978182E-2</v>
      </c>
      <c r="K71" s="3227">
        <v>63.38813248203946</v>
      </c>
      <c r="L71" s="3227">
        <v>9.7682891788814672</v>
      </c>
      <c r="M71" s="3497">
        <v>-3.9581255152221315</v>
      </c>
    </row>
    <row r="72" spans="2:13" ht="18" customHeight="1" x14ac:dyDescent="0.2">
      <c r="B72" s="2616" t="s">
        <v>569</v>
      </c>
      <c r="C72" s="2618" t="s">
        <v>569</v>
      </c>
      <c r="D72" s="3227">
        <v>1.4365440432361791</v>
      </c>
      <c r="E72" s="3227">
        <v>59.417291308610295</v>
      </c>
      <c r="F72" s="3227">
        <v>1.4660202409636491</v>
      </c>
      <c r="G72" s="3103">
        <f t="shared" si="38"/>
        <v>3.4999999999999996E-3</v>
      </c>
      <c r="H72" s="3103">
        <f t="shared" si="39"/>
        <v>0.10562018733305134</v>
      </c>
      <c r="I72" s="3103">
        <f t="shared" si="3"/>
        <v>0.39237400321920801</v>
      </c>
      <c r="J72" s="3227">
        <v>5.0279041513266263E-3</v>
      </c>
      <c r="K72" s="3227">
        <v>6.275665438837903</v>
      </c>
      <c r="L72" s="3227">
        <v>0.96709766317615209</v>
      </c>
      <c r="M72" s="3497">
        <v>-0.39186943242885708</v>
      </c>
    </row>
    <row r="73" spans="2:13" ht="18" customHeight="1" x14ac:dyDescent="0.2">
      <c r="B73" s="2616" t="s">
        <v>571</v>
      </c>
      <c r="C73" s="2618" t="s">
        <v>571</v>
      </c>
      <c r="D73" s="3227">
        <v>0.97842782526643812</v>
      </c>
      <c r="E73" s="3227">
        <v>40.469021045356186</v>
      </c>
      <c r="F73" s="3227">
        <v>0.99850401588196702</v>
      </c>
      <c r="G73" s="3103">
        <f t="shared" si="38"/>
        <v>3.5000000000000001E-3</v>
      </c>
      <c r="H73" s="3103">
        <f t="shared" si="39"/>
        <v>0.10562018733305137</v>
      </c>
      <c r="I73" s="3103">
        <f t="shared" si="3"/>
        <v>0.39237400321920901</v>
      </c>
      <c r="J73" s="3227">
        <v>3.4244973884325334E-3</v>
      </c>
      <c r="K73" s="3227">
        <v>4.2743455839957187</v>
      </c>
      <c r="L73" s="3227">
        <v>0.65868865480104866</v>
      </c>
      <c r="M73" s="3497">
        <v>-0.2669016368589846</v>
      </c>
    </row>
    <row r="74" spans="2:13" ht="18" customHeight="1" x14ac:dyDescent="0.2">
      <c r="B74" s="2616" t="s">
        <v>574</v>
      </c>
      <c r="C74" s="2618" t="s">
        <v>574</v>
      </c>
      <c r="D74" s="3227">
        <v>0.19846041179123111</v>
      </c>
      <c r="E74" s="3227">
        <v>8.2085754043864316</v>
      </c>
      <c r="F74" s="3227">
        <v>0.20253258651262371</v>
      </c>
      <c r="G74" s="3103">
        <f t="shared" si="38"/>
        <v>3.5000000000000005E-3</v>
      </c>
      <c r="H74" s="3103">
        <f t="shared" si="39"/>
        <v>0.10562018733305134</v>
      </c>
      <c r="I74" s="3103">
        <f t="shared" si="3"/>
        <v>0.39237400321920884</v>
      </c>
      <c r="J74" s="3227">
        <v>6.94611441269309E-4</v>
      </c>
      <c r="K74" s="3227">
        <v>0.86699127194877257</v>
      </c>
      <c r="L74" s="3227">
        <v>0.13360578910195087</v>
      </c>
      <c r="M74" s="3497">
        <v>-5.4137267349651956E-2</v>
      </c>
    </row>
    <row r="75" spans="2:13" ht="18" customHeight="1" x14ac:dyDescent="0.2">
      <c r="B75" s="2616" t="s">
        <v>576</v>
      </c>
      <c r="C75" s="2618" t="s">
        <v>576</v>
      </c>
      <c r="D75" s="3227">
        <v>1.0834491713079424</v>
      </c>
      <c r="E75" s="3227">
        <v>44.812837679973988</v>
      </c>
      <c r="F75" s="3227">
        <v>1.1056802766830287</v>
      </c>
      <c r="G75" s="3103">
        <f t="shared" si="38"/>
        <v>3.4999999999999996E-3</v>
      </c>
      <c r="H75" s="3103">
        <f t="shared" si="39"/>
        <v>0.10562018733305135</v>
      </c>
      <c r="I75" s="3103">
        <f t="shared" si="3"/>
        <v>0.39237400321920807</v>
      </c>
      <c r="J75" s="3227">
        <v>3.7920720995777979E-3</v>
      </c>
      <c r="K75" s="3227">
        <v>4.7331403106844752</v>
      </c>
      <c r="L75" s="3227">
        <v>0.72939021025879036</v>
      </c>
      <c r="M75" s="3497">
        <v>-0.29555001381614876</v>
      </c>
    </row>
    <row r="76" spans="2:13" ht="18" customHeight="1" x14ac:dyDescent="0.2">
      <c r="B76" s="2616" t="s">
        <v>577</v>
      </c>
      <c r="C76" s="2618" t="s">
        <v>577</v>
      </c>
      <c r="D76" s="3227">
        <v>2.1227219551852645</v>
      </c>
      <c r="E76" s="3227">
        <v>87.798483709760859</v>
      </c>
      <c r="F76" s="3227">
        <v>2.1662777183142028</v>
      </c>
      <c r="G76" s="3103">
        <f t="shared" si="38"/>
        <v>3.5000000000000001E-3</v>
      </c>
      <c r="H76" s="3103">
        <f t="shared" si="39"/>
        <v>0.10562018733305134</v>
      </c>
      <c r="I76" s="3103">
        <f t="shared" si="3"/>
        <v>0.39237400321920785</v>
      </c>
      <c r="J76" s="3227">
        <v>7.4295268431484257E-3</v>
      </c>
      <c r="K76" s="3227">
        <v>9.2732922969827989</v>
      </c>
      <c r="L76" s="3227">
        <v>1.4290403779112477</v>
      </c>
      <c r="M76" s="3497">
        <v>-0.5790493174917325</v>
      </c>
    </row>
    <row r="77" spans="2:13" ht="18" customHeight="1" x14ac:dyDescent="0.2">
      <c r="B77" s="104" t="s">
        <v>673</v>
      </c>
      <c r="C77" s="2508"/>
      <c r="D77" s="2108"/>
      <c r="E77" s="2108"/>
      <c r="F77" s="2108"/>
      <c r="G77" s="2108"/>
      <c r="H77" s="2108"/>
      <c r="I77" s="2108"/>
      <c r="J77" s="3103">
        <f>IF(SUM(J78:J89)=0,"NO",SUM(J78:J89))</f>
        <v>1.2477166100408017</v>
      </c>
      <c r="K77" s="3103">
        <f>IF(SUM(K78:K89)=0,"NO",SUM(K78:K89))</f>
        <v>384.56873549508822</v>
      </c>
      <c r="L77" s="3103">
        <f>IF(SUM(L78:L89)=0,"NO",SUM(L78:L89))</f>
        <v>348.73761420034748</v>
      </c>
      <c r="M77" s="3226">
        <f>IF(SUM(M78:M89)=0,"NO",SUM(M78:M89))</f>
        <v>-123.42708096333557</v>
      </c>
    </row>
    <row r="78" spans="2:13" ht="18" customHeight="1" x14ac:dyDescent="0.2">
      <c r="B78" s="2616" t="s">
        <v>559</v>
      </c>
      <c r="C78" s="2618" t="s">
        <v>559</v>
      </c>
      <c r="D78" s="3227">
        <v>1.797868221551014</v>
      </c>
      <c r="E78" s="3227">
        <v>122.46003085598068</v>
      </c>
      <c r="F78" s="3227">
        <v>3.8296433161719947</v>
      </c>
      <c r="G78" s="3103">
        <f>IF(SUM(D78)=0,"NA",J78/D78)</f>
        <v>8.825058824524638E-3</v>
      </c>
      <c r="H78" s="3103">
        <f>IF(SUM(E78)=0,"NA",K78/E78)</f>
        <v>3.9933660194023668E-2</v>
      </c>
      <c r="I78" s="3103">
        <f t="shared" si="3"/>
        <v>0.74813965848243213</v>
      </c>
      <c r="J78" s="3227">
        <v>1.5866292813931194E-2</v>
      </c>
      <c r="K78" s="3227">
        <v>4.890277259552386</v>
      </c>
      <c r="L78" s="3227">
        <v>3.3407782969311448</v>
      </c>
      <c r="M78" s="3497">
        <v>-0.47567025426069987</v>
      </c>
    </row>
    <row r="79" spans="2:13" ht="18" customHeight="1" x14ac:dyDescent="0.2">
      <c r="B79" s="2616" t="s">
        <v>560</v>
      </c>
      <c r="C79" s="2618" t="s">
        <v>560</v>
      </c>
      <c r="D79" s="3227">
        <v>7.0695587183496071</v>
      </c>
      <c r="E79" s="3227">
        <v>481.53605943398401</v>
      </c>
      <c r="F79" s="3227">
        <v>15.058883609754496</v>
      </c>
      <c r="G79" s="3103">
        <f t="shared" ref="G79:G89" si="40">IF(SUM(D79)=0,"NA",J79/D79)</f>
        <v>8.8250588245246397E-3</v>
      </c>
      <c r="H79" s="3103">
        <f t="shared" ref="H79:H89" si="41">IF(SUM(E79)=0,"NA",K79/E79)</f>
        <v>3.9933660194023675E-2</v>
      </c>
      <c r="I79" s="3103">
        <f t="shared" ref="I79:I89" si="42">IF(SUM(F79)=0,"NA",(SUM(L79:M79))/F79)</f>
        <v>0.74813965848243247</v>
      </c>
      <c r="J79" s="3227">
        <v>6.2389271552866304E-2</v>
      </c>
      <c r="K79" s="3227">
        <v>19.229497368605905</v>
      </c>
      <c r="L79" s="3227">
        <v>87.950539514786911</v>
      </c>
      <c r="M79" s="3497">
        <v>-76.684391473858483</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24.889757235059317</v>
      </c>
      <c r="E81" s="3227">
        <v>1695.3414062648787</v>
      </c>
      <c r="F81" s="3227">
        <v>53.017730272887967</v>
      </c>
      <c r="G81" s="3103">
        <f t="shared" si="40"/>
        <v>8.825058824524638E-3</v>
      </c>
      <c r="H81" s="3103">
        <f t="shared" si="41"/>
        <v>3.9933660194023668E-2</v>
      </c>
      <c r="I81" s="3103">
        <f t="shared" si="42"/>
        <v>0.74813965848243247</v>
      </c>
      <c r="J81" s="3227">
        <v>0.21965357172753619</v>
      </c>
      <c r="K81" s="3227">
        <v>67.701187630639893</v>
      </c>
      <c r="L81" s="3227">
        <v>46.249864027874601</v>
      </c>
      <c r="M81" s="3497">
        <v>-6.5851974080024771</v>
      </c>
    </row>
    <row r="82" spans="2:13" ht="18" customHeight="1" x14ac:dyDescent="0.2">
      <c r="B82" s="2616" t="s">
        <v>564</v>
      </c>
      <c r="C82" s="2618" t="s">
        <v>564</v>
      </c>
      <c r="D82" s="3227">
        <v>6.0590611886300952E-2</v>
      </c>
      <c r="E82" s="3227">
        <v>4.1270701112776891</v>
      </c>
      <c r="F82" s="3227">
        <v>0.12906420451269973</v>
      </c>
      <c r="G82" s="3103">
        <f t="shared" si="40"/>
        <v>8.825058824524638E-3</v>
      </c>
      <c r="H82" s="3103">
        <f t="shared" si="41"/>
        <v>3.9933660194023668E-2</v>
      </c>
      <c r="I82" s="3103">
        <f t="shared" si="42"/>
        <v>0.74813965848243169</v>
      </c>
      <c r="J82" s="3227">
        <v>5.3471571411054766E-4</v>
      </c>
      <c r="K82" s="3227">
        <v>0.16480901542067469</v>
      </c>
      <c r="L82" s="3227">
        <v>0.17467114177661366</v>
      </c>
      <c r="M82" s="3497">
        <v>-7.8113091890175762E-2</v>
      </c>
    </row>
    <row r="83" spans="2:13" ht="18" customHeight="1" x14ac:dyDescent="0.2">
      <c r="B83" s="2616" t="s">
        <v>565</v>
      </c>
      <c r="C83" s="2618" t="s">
        <v>565</v>
      </c>
      <c r="D83" s="3227">
        <v>77.415142631798034</v>
      </c>
      <c r="E83" s="3227">
        <v>5273.0565242604653</v>
      </c>
      <c r="F83" s="3227">
        <v>164.90217692073196</v>
      </c>
      <c r="G83" s="3103">
        <f t="shared" si="40"/>
        <v>8.8250588245246397E-3</v>
      </c>
      <c r="H83" s="3103">
        <f t="shared" si="41"/>
        <v>3.9933660194023668E-2</v>
      </c>
      <c r="I83" s="3103">
        <f t="shared" si="42"/>
        <v>0.74813965848243247</v>
      </c>
      <c r="J83" s="3227">
        <v>0.68319318763458292</v>
      </c>
      <c r="K83" s="3227">
        <v>210.57244742369696</v>
      </c>
      <c r="L83" s="3227">
        <v>148.95193823328367</v>
      </c>
      <c r="M83" s="3497">
        <v>-25.582079908797613</v>
      </c>
    </row>
    <row r="84" spans="2:13" ht="18" customHeight="1" x14ac:dyDescent="0.2">
      <c r="B84" s="2616" t="s">
        <v>567</v>
      </c>
      <c r="C84" s="2618" t="s">
        <v>567</v>
      </c>
      <c r="D84" s="3227">
        <v>21.519508319195285</v>
      </c>
      <c r="E84" s="3227">
        <v>1465.780206349463</v>
      </c>
      <c r="F84" s="3227">
        <v>45.838755151263157</v>
      </c>
      <c r="G84" s="3103">
        <f t="shared" si="40"/>
        <v>8.825058824524638E-3</v>
      </c>
      <c r="H84" s="3103">
        <f t="shared" si="41"/>
        <v>3.9933660194023675E-2</v>
      </c>
      <c r="I84" s="3103">
        <f t="shared" si="42"/>
        <v>0.74813965848243191</v>
      </c>
      <c r="J84" s="3227">
        <v>0.18991092679174573</v>
      </c>
      <c r="K84" s="3227">
        <v>58.533968679485362</v>
      </c>
      <c r="L84" s="3227">
        <v>45.686813200804721</v>
      </c>
      <c r="M84" s="3497">
        <v>-11.393022576678892</v>
      </c>
    </row>
    <row r="85" spans="2:13" ht="18" customHeight="1" x14ac:dyDescent="0.2">
      <c r="B85" s="2616" t="s">
        <v>569</v>
      </c>
      <c r="C85" s="2618" t="s">
        <v>569</v>
      </c>
      <c r="D85" s="3227" t="s">
        <v>2146</v>
      </c>
      <c r="E85" s="3227">
        <v>138.50589917856297</v>
      </c>
      <c r="F85" s="3227">
        <v>4.4761281928550618</v>
      </c>
      <c r="G85" s="3103" t="str">
        <f t="shared" si="40"/>
        <v>NA</v>
      </c>
      <c r="H85" s="3103">
        <f t="shared" si="41"/>
        <v>4.1839985539868903E-2</v>
      </c>
      <c r="I85" s="3103">
        <f t="shared" si="42"/>
        <v>0.75851609770433259</v>
      </c>
      <c r="J85" s="3227">
        <v>1.8801901760748769E-2</v>
      </c>
      <c r="K85" s="3227">
        <v>5.7950848188176147</v>
      </c>
      <c r="L85" s="3227">
        <v>4.005717720526019</v>
      </c>
      <c r="M85" s="3497">
        <v>-0.61050243085725131</v>
      </c>
    </row>
    <row r="86" spans="2:13" ht="18" customHeight="1" x14ac:dyDescent="0.2">
      <c r="B86" s="2616" t="s">
        <v>571</v>
      </c>
      <c r="C86" s="2618" t="s">
        <v>571</v>
      </c>
      <c r="D86" s="3227">
        <v>1.4510888986984094</v>
      </c>
      <c r="E86" s="3227">
        <v>98.8394973442919</v>
      </c>
      <c r="F86" s="3227">
        <v>3.0909678670873943</v>
      </c>
      <c r="G86" s="3103">
        <f t="shared" si="40"/>
        <v>8.825058824524638E-3</v>
      </c>
      <c r="H86" s="3103">
        <f t="shared" si="41"/>
        <v>3.9933660194023675E-2</v>
      </c>
      <c r="I86" s="3103">
        <f t="shared" si="42"/>
        <v>0.74813965848243191</v>
      </c>
      <c r="J86" s="3227">
        <v>1.2805944890628137E-2</v>
      </c>
      <c r="K86" s="3227">
        <v>3.9470229006950581</v>
      </c>
      <c r="L86" s="3227">
        <v>2.7148748633223687</v>
      </c>
      <c r="M86" s="3497">
        <v>-0.40239921885943436</v>
      </c>
    </row>
    <row r="87" spans="2:13" ht="18" customHeight="1" x14ac:dyDescent="0.2">
      <c r="B87" s="2616" t="s">
        <v>574</v>
      </c>
      <c r="C87" s="2618" t="s">
        <v>574</v>
      </c>
      <c r="D87" s="3227">
        <v>0.29433310556447928</v>
      </c>
      <c r="E87" s="3227">
        <v>20.048210851776275</v>
      </c>
      <c r="F87" s="3227">
        <v>0.62695963861062687</v>
      </c>
      <c r="G87" s="3103">
        <f t="shared" si="40"/>
        <v>8.825058824524638E-3</v>
      </c>
      <c r="H87" s="3103">
        <f t="shared" si="41"/>
        <v>3.9933660194023668E-2</v>
      </c>
      <c r="I87" s="3103">
        <f t="shared" si="42"/>
        <v>0.74813965848243225</v>
      </c>
      <c r="J87" s="3227">
        <v>2.5975069706115498E-3</v>
      </c>
      <c r="K87" s="3227">
        <v>0.80059843965297162</v>
      </c>
      <c r="L87" s="3227">
        <v>0.73496517638531988</v>
      </c>
      <c r="M87" s="3497">
        <v>-0.26591180647289636</v>
      </c>
    </row>
    <row r="88" spans="2:13" ht="18" customHeight="1" x14ac:dyDescent="0.2">
      <c r="B88" s="2616" t="s">
        <v>576</v>
      </c>
      <c r="C88" s="2618" t="s">
        <v>576</v>
      </c>
      <c r="D88" s="3227" t="s">
        <v>2146</v>
      </c>
      <c r="E88" s="3227">
        <v>104.46188711918504</v>
      </c>
      <c r="F88" s="3227">
        <v>3.375919731839097</v>
      </c>
      <c r="G88" s="3103" t="str">
        <f t="shared" si="40"/>
        <v>NA</v>
      </c>
      <c r="H88" s="3103">
        <f t="shared" si="41"/>
        <v>4.1839985539868917E-2</v>
      </c>
      <c r="I88" s="3103">
        <f t="shared" si="42"/>
        <v>0.75851609770433293</v>
      </c>
      <c r="J88" s="3227">
        <v>1.4180494484391843E-2</v>
      </c>
      <c r="K88" s="3227">
        <v>4.3706838465341207</v>
      </c>
      <c r="L88" s="3227">
        <v>3.0775561485404181</v>
      </c>
      <c r="M88" s="3497">
        <v>-0.5168666873827682</v>
      </c>
    </row>
    <row r="89" spans="2:13" ht="18" customHeight="1" x14ac:dyDescent="0.2">
      <c r="B89" s="2616" t="s">
        <v>577</v>
      </c>
      <c r="C89" s="2618" t="s">
        <v>577</v>
      </c>
      <c r="D89" s="3227" t="s">
        <v>2146</v>
      </c>
      <c r="E89" s="3227">
        <v>204.66446155502575</v>
      </c>
      <c r="F89" s="3227">
        <v>6.6141902393695347</v>
      </c>
      <c r="G89" s="3103" t="str">
        <f t="shared" si="40"/>
        <v>NA</v>
      </c>
      <c r="H89" s="3103">
        <f t="shared" si="41"/>
        <v>4.183998553986891E-2</v>
      </c>
      <c r="I89" s="3103">
        <f t="shared" si="42"/>
        <v>0.75851609770433237</v>
      </c>
      <c r="J89" s="3227">
        <v>2.7782795699648574E-2</v>
      </c>
      <c r="K89" s="3227">
        <v>8.5631581119873346</v>
      </c>
      <c r="L89" s="3227">
        <v>5.84989587611555</v>
      </c>
      <c r="M89" s="3497">
        <v>-0.83292610627488639</v>
      </c>
    </row>
    <row r="90" spans="2:13" ht="18" customHeight="1" x14ac:dyDescent="0.2">
      <c r="B90" s="88" t="s">
        <v>475</v>
      </c>
      <c r="C90" s="2508" t="s">
        <v>623</v>
      </c>
      <c r="D90" s="2108"/>
      <c r="E90" s="2108"/>
      <c r="F90" s="2108"/>
      <c r="G90" s="2108"/>
      <c r="H90" s="2108"/>
      <c r="I90" s="2108"/>
      <c r="J90" s="3103">
        <f>IF(SUM(J91,J104)=0,"NO",SUM(J91,J104))</f>
        <v>21.901399914529023</v>
      </c>
      <c r="K90" s="3103">
        <f t="shared" ref="K90:M90" si="43">IF(SUM(K91,K104)=0,"NO",SUM(K91,K104))</f>
        <v>3.0056534215020783</v>
      </c>
      <c r="L90" s="3103">
        <f t="shared" si="43"/>
        <v>1.9402854269588872</v>
      </c>
      <c r="M90" s="3226" t="str">
        <f t="shared" si="43"/>
        <v>NO</v>
      </c>
    </row>
    <row r="91" spans="2:13" ht="18" customHeight="1" x14ac:dyDescent="0.2">
      <c r="B91" s="104" t="s">
        <v>674</v>
      </c>
      <c r="C91" s="2508"/>
      <c r="D91" s="2108"/>
      <c r="E91" s="2108"/>
      <c r="F91" s="2108"/>
      <c r="G91" s="2108"/>
      <c r="H91" s="2108"/>
      <c r="I91" s="2108"/>
      <c r="J91" s="3103">
        <f>IF(SUM(J92:J103)=0,"NO",SUM(J92:J103))</f>
        <v>21.901399914529023</v>
      </c>
      <c r="K91" s="3103">
        <f>IF(SUM(K92:K103)=0,"NO",SUM(K92:K103))</f>
        <v>3.0056534215020783</v>
      </c>
      <c r="L91" s="3103">
        <f>IF(SUM(L92:L103)=0,"NO",SUM(L92:L103))</f>
        <v>1.9402854269588872</v>
      </c>
      <c r="M91" s="3226" t="str">
        <f>IF(SUM(M92:M103)=0,"NO",SUM(M92:M103))</f>
        <v>NO</v>
      </c>
    </row>
    <row r="92" spans="2:13" ht="18" customHeight="1" x14ac:dyDescent="0.2">
      <c r="B92" s="2616" t="s">
        <v>559</v>
      </c>
      <c r="C92" s="2618" t="s">
        <v>559</v>
      </c>
      <c r="D92" s="3227">
        <v>0.46417327631734379</v>
      </c>
      <c r="E92" s="3227">
        <v>1.5893857010715402</v>
      </c>
      <c r="F92" s="3227">
        <v>2.4673180174884832E-2</v>
      </c>
      <c r="G92" s="3103">
        <f>IF(SUM(D92)=0,"NA",J92/D92)</f>
        <v>0.6</v>
      </c>
      <c r="H92" s="3103">
        <f>IF(SUM(E92)=0,"NA",K92/E92)</f>
        <v>2.4047454292551656E-2</v>
      </c>
      <c r="I92" s="3103">
        <f t="shared" ref="I92:I103" si="44">IF(SUM(F92)=0,"NA",(SUM(L92:M92))/F92)</f>
        <v>0.99999999999999833</v>
      </c>
      <c r="J92" s="3227">
        <v>0.27850396579040626</v>
      </c>
      <c r="K92" s="3227">
        <v>3.8220679999753031E-2</v>
      </c>
      <c r="L92" s="3227">
        <v>2.467318017488479E-2</v>
      </c>
      <c r="M92" s="3497" t="s">
        <v>2146</v>
      </c>
    </row>
    <row r="93" spans="2:13" ht="18" customHeight="1" x14ac:dyDescent="0.2">
      <c r="B93" s="2616" t="s">
        <v>560</v>
      </c>
      <c r="C93" s="2618" t="s">
        <v>560</v>
      </c>
      <c r="D93" s="3227">
        <v>1.8252173285443813</v>
      </c>
      <c r="E93" s="3227">
        <v>6.2497659200722939</v>
      </c>
      <c r="F93" s="3227">
        <v>9.7019622419427951E-2</v>
      </c>
      <c r="G93" s="3103">
        <f t="shared" ref="G93:G103" si="45">IF(SUM(D93)=0,"NA",J93/D93)</f>
        <v>0.59999999999999987</v>
      </c>
      <c r="H93" s="3103">
        <f t="shared" ref="H93:H103" si="46">IF(SUM(E93)=0,"NA",K93/E93)</f>
        <v>2.4047454292551656E-2</v>
      </c>
      <c r="I93" s="3103">
        <f t="shared" si="44"/>
        <v>1.0000000000000024</v>
      </c>
      <c r="J93" s="3227">
        <v>1.0951303971266286</v>
      </c>
      <c r="K93" s="3227">
        <v>0.15029096030208552</v>
      </c>
      <c r="L93" s="3227">
        <v>9.7019622419428186E-2</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6.4260328004317966</v>
      </c>
      <c r="E95" s="3227">
        <v>22.003517153452673</v>
      </c>
      <c r="F95" s="3227">
        <v>0.34157646117131546</v>
      </c>
      <c r="G95" s="3103">
        <f t="shared" si="45"/>
        <v>0.59999999999999987</v>
      </c>
      <c r="H95" s="3103">
        <f t="shared" si="46"/>
        <v>2.4047454292551663E-2</v>
      </c>
      <c r="I95" s="3103">
        <f t="shared" si="44"/>
        <v>0.99999999999999933</v>
      </c>
      <c r="J95" s="3227">
        <v>3.8556196802590774</v>
      </c>
      <c r="K95" s="3227">
        <v>0.52912857302302962</v>
      </c>
      <c r="L95" s="3227">
        <v>0.34157646117131524</v>
      </c>
      <c r="M95" s="3497" t="s">
        <v>2146</v>
      </c>
    </row>
    <row r="96" spans="2:13" ht="18" customHeight="1" x14ac:dyDescent="0.2">
      <c r="B96" s="2616" t="s">
        <v>564</v>
      </c>
      <c r="C96" s="2618" t="s">
        <v>564</v>
      </c>
      <c r="D96" s="3227">
        <v>1.5643272680504902E-2</v>
      </c>
      <c r="E96" s="3227">
        <v>5.3564466514783159E-2</v>
      </c>
      <c r="F96" s="3227">
        <v>8.31519833354373E-4</v>
      </c>
      <c r="G96" s="3103">
        <f t="shared" si="45"/>
        <v>0.59999999999999987</v>
      </c>
      <c r="H96" s="3103">
        <f t="shared" si="46"/>
        <v>2.4047454292551656E-2</v>
      </c>
      <c r="I96" s="3103">
        <f t="shared" si="44"/>
        <v>0.99999999999999756</v>
      </c>
      <c r="J96" s="3227">
        <v>9.3859636083029399E-3</v>
      </c>
      <c r="K96" s="3227">
        <v>1.2880890602191618E-3</v>
      </c>
      <c r="L96" s="3227">
        <v>8.3151983335437094E-4</v>
      </c>
      <c r="M96" s="3497" t="s">
        <v>2146</v>
      </c>
    </row>
    <row r="97" spans="2:13" ht="18" customHeight="1" x14ac:dyDescent="0.2">
      <c r="B97" s="2616" t="s">
        <v>565</v>
      </c>
      <c r="C97" s="2618" t="s">
        <v>565</v>
      </c>
      <c r="D97" s="3227">
        <v>19.987026836135975</v>
      </c>
      <c r="E97" s="3227">
        <v>68.438008565080096</v>
      </c>
      <c r="F97" s="3227">
        <v>1.0624125503319395</v>
      </c>
      <c r="G97" s="3103">
        <f t="shared" si="45"/>
        <v>0.6</v>
      </c>
      <c r="H97" s="3103">
        <f t="shared" si="46"/>
        <v>2.4047454292551656E-2</v>
      </c>
      <c r="I97" s="3103">
        <f t="shared" si="44"/>
        <v>1.0000000000000007</v>
      </c>
      <c r="J97" s="3227">
        <v>11.992216101681585</v>
      </c>
      <c r="K97" s="3227">
        <v>1.6457598828420223</v>
      </c>
      <c r="L97" s="3227">
        <v>1.0624125503319402</v>
      </c>
      <c r="M97" s="3497" t="s">
        <v>2146</v>
      </c>
    </row>
    <row r="98" spans="2:13" ht="18" customHeight="1" x14ac:dyDescent="0.2">
      <c r="B98" s="2616" t="s">
        <v>567</v>
      </c>
      <c r="C98" s="2618" t="s">
        <v>567</v>
      </c>
      <c r="D98" s="3227">
        <v>5.5559025747960167</v>
      </c>
      <c r="E98" s="3227">
        <v>19.024085528978546</v>
      </c>
      <c r="F98" s="3227">
        <v>0.29532459591303406</v>
      </c>
      <c r="G98" s="3103">
        <f t="shared" si="45"/>
        <v>0.59999999999999987</v>
      </c>
      <c r="H98" s="3103">
        <f t="shared" si="46"/>
        <v>2.4047454292551659E-2</v>
      </c>
      <c r="I98" s="3103">
        <f t="shared" si="44"/>
        <v>0.99999999999999667</v>
      </c>
      <c r="J98" s="3227">
        <v>3.3335415448776096</v>
      </c>
      <c r="K98" s="3227">
        <v>0.45748082721570504</v>
      </c>
      <c r="L98" s="3227">
        <v>0.29532459591303306</v>
      </c>
      <c r="M98" s="3497" t="s">
        <v>2146</v>
      </c>
    </row>
    <row r="99" spans="2:13" ht="18" customHeight="1" x14ac:dyDescent="0.2">
      <c r="B99" s="2616" t="s">
        <v>569</v>
      </c>
      <c r="C99" s="2618" t="s">
        <v>569</v>
      </c>
      <c r="D99" s="3227">
        <v>0.5500554189710064</v>
      </c>
      <c r="E99" s="3227">
        <v>1.8834565932911</v>
      </c>
      <c r="F99" s="3227">
        <v>2.9238254658083395E-2</v>
      </c>
      <c r="G99" s="3103">
        <f t="shared" si="45"/>
        <v>0.60000000000000009</v>
      </c>
      <c r="H99" s="3103">
        <f t="shared" si="46"/>
        <v>2.4047454292551659E-2</v>
      </c>
      <c r="I99" s="3103">
        <f t="shared" si="44"/>
        <v>0.99999999999999967</v>
      </c>
      <c r="J99" s="3227">
        <v>0.33003325138260386</v>
      </c>
      <c r="K99" s="3227">
        <v>4.529233633917279E-2</v>
      </c>
      <c r="L99" s="3227">
        <v>2.9238254658083385E-2</v>
      </c>
      <c r="M99" s="3497" t="s">
        <v>2146</v>
      </c>
    </row>
    <row r="100" spans="2:13" ht="18" customHeight="1" x14ac:dyDescent="0.2">
      <c r="B100" s="2616" t="s">
        <v>571</v>
      </c>
      <c r="C100" s="2618" t="s">
        <v>571</v>
      </c>
      <c r="D100" s="3227">
        <v>0.37464185654023746</v>
      </c>
      <c r="E100" s="3227">
        <v>1.2828192405476915</v>
      </c>
      <c r="F100" s="3227">
        <v>1.9914127975672196E-2</v>
      </c>
      <c r="G100" s="3103">
        <f t="shared" si="45"/>
        <v>0.60000000000000009</v>
      </c>
      <c r="H100" s="3103">
        <f t="shared" si="46"/>
        <v>2.4047454292551659E-2</v>
      </c>
      <c r="I100" s="3103">
        <f t="shared" si="44"/>
        <v>0.99999999999999811</v>
      </c>
      <c r="J100" s="3227">
        <v>0.22478511392414249</v>
      </c>
      <c r="K100" s="3227">
        <v>3.0848537052676442E-2</v>
      </c>
      <c r="L100" s="3227">
        <v>1.9914127975672158E-2</v>
      </c>
      <c r="M100" s="3497" t="s">
        <v>2146</v>
      </c>
    </row>
    <row r="101" spans="2:13" ht="18" customHeight="1" x14ac:dyDescent="0.2">
      <c r="B101" s="2616" t="s">
        <v>574</v>
      </c>
      <c r="C101" s="2618" t="s">
        <v>574</v>
      </c>
      <c r="D101" s="3227">
        <v>7.5990865348662798E-2</v>
      </c>
      <c r="E101" s="3227">
        <v>0.26020195681115416</v>
      </c>
      <c r="F101" s="3227">
        <v>4.0393025795632453E-3</v>
      </c>
      <c r="G101" s="3103">
        <f t="shared" si="45"/>
        <v>0.6</v>
      </c>
      <c r="H101" s="3103">
        <f t="shared" si="46"/>
        <v>2.4047454292551659E-2</v>
      </c>
      <c r="I101" s="3103">
        <f t="shared" si="44"/>
        <v>1.0000000000000002</v>
      </c>
      <c r="J101" s="3227">
        <v>4.5594519209197673E-2</v>
      </c>
      <c r="K101" s="3227">
        <v>6.2571946632487309E-3</v>
      </c>
      <c r="L101" s="3227">
        <v>4.0393025795632462E-3</v>
      </c>
      <c r="M101" s="3497" t="s">
        <v>2146</v>
      </c>
    </row>
    <row r="102" spans="2:13" ht="18" customHeight="1" x14ac:dyDescent="0.2">
      <c r="B102" s="2616" t="s">
        <v>576</v>
      </c>
      <c r="C102" s="2618" t="s">
        <v>576</v>
      </c>
      <c r="D102" s="3227">
        <v>0.41485472768035414</v>
      </c>
      <c r="E102" s="3227">
        <v>1.4205129977071138</v>
      </c>
      <c r="F102" s="3227">
        <v>2.205164744439576E-2</v>
      </c>
      <c r="G102" s="3103">
        <f t="shared" si="45"/>
        <v>0.59999999999999987</v>
      </c>
      <c r="H102" s="3103">
        <f t="shared" si="46"/>
        <v>2.4047454292551659E-2</v>
      </c>
      <c r="I102" s="3103">
        <f t="shared" si="44"/>
        <v>0.99999999999999956</v>
      </c>
      <c r="J102" s="3227">
        <v>0.24891283660821245</v>
      </c>
      <c r="K102" s="3227">
        <v>3.4159721384337358E-2</v>
      </c>
      <c r="L102" s="3227">
        <v>2.205164744439575E-2</v>
      </c>
      <c r="M102" s="3497" t="s">
        <v>2146</v>
      </c>
    </row>
    <row r="103" spans="2:13" ht="18" customHeight="1" x14ac:dyDescent="0.2">
      <c r="B103" s="2616" t="s">
        <v>577</v>
      </c>
      <c r="C103" s="2618" t="s">
        <v>577</v>
      </c>
      <c r="D103" s="3227">
        <v>0.81279423343543078</v>
      </c>
      <c r="E103" s="3227">
        <v>2.7831062201273213</v>
      </c>
      <c r="F103" s="3227">
        <v>4.320416445721708E-2</v>
      </c>
      <c r="G103" s="3103">
        <f t="shared" si="45"/>
        <v>0.6</v>
      </c>
      <c r="H103" s="3103">
        <f t="shared" si="46"/>
        <v>2.4047454292551659E-2</v>
      </c>
      <c r="I103" s="3103">
        <f t="shared" si="44"/>
        <v>0.99999999999999756</v>
      </c>
      <c r="J103" s="3227">
        <v>0.48767654006125849</v>
      </c>
      <c r="K103" s="3227">
        <v>6.6926619619827973E-2</v>
      </c>
      <c r="L103" s="3227">
        <v>4.3204164457216976E-2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0.12443883159085606</v>
      </c>
      <c r="K117" s="3103">
        <f>IF(SUM(K118:K129)=0,"NO",SUM(K118:K129))</f>
        <v>14.966899124303227</v>
      </c>
      <c r="L117" s="3103">
        <f>IF(SUM(L118:L129)=0,"NO",SUM(L118:L129))</f>
        <v>13.450782587687332</v>
      </c>
      <c r="M117" s="3226">
        <f>IF(SUM(M118:M129)=0,"NO",SUM(M118:M129))</f>
        <v>-8.6695496938223346</v>
      </c>
    </row>
    <row r="118" spans="2:13" ht="18" customHeight="1" x14ac:dyDescent="0.2">
      <c r="B118" s="2616" t="s">
        <v>559</v>
      </c>
      <c r="C118" s="2618" t="s">
        <v>559</v>
      </c>
      <c r="D118" s="3227">
        <v>0.4521134099924064</v>
      </c>
      <c r="E118" s="3227">
        <v>3.8740497052929457</v>
      </c>
      <c r="F118" s="3227">
        <v>0.28128796739221906</v>
      </c>
      <c r="G118" s="3103">
        <f>IF(SUM(D118)=0,"NA",J118/D118)</f>
        <v>3.4999999999999996E-3</v>
      </c>
      <c r="H118" s="3103">
        <f>IF(SUM(E118)=0,"NA",K118/E118)</f>
        <v>4.9127668215546885E-2</v>
      </c>
      <c r="I118" s="3103">
        <f t="shared" ref="I118:I129" si="72">IF(SUM(F118)=0,"NA",(SUM(L118:M118))/F118)</f>
        <v>0.21614652225914396</v>
      </c>
      <c r="J118" s="3227">
        <v>1.5823969349734223E-3</v>
      </c>
      <c r="K118" s="3227">
        <v>0.19032302857216901</v>
      </c>
      <c r="L118" s="3227">
        <v>0.17104369164869532</v>
      </c>
      <c r="M118" s="3497">
        <v>-0.11024427574352368</v>
      </c>
    </row>
    <row r="119" spans="2:13" ht="18" customHeight="1" x14ac:dyDescent="0.2">
      <c r="B119" s="2616" t="s">
        <v>560</v>
      </c>
      <c r="C119" s="2618" t="s">
        <v>560</v>
      </c>
      <c r="D119" s="3227">
        <v>1.7777956476349539</v>
      </c>
      <c r="E119" s="3227">
        <v>15.233497951115744</v>
      </c>
      <c r="F119" s="3227">
        <v>1.1060776192645316</v>
      </c>
      <c r="G119" s="3103">
        <f t="shared" ref="G119:G129" si="73">IF(SUM(D119)=0,"NA",J119/D119)</f>
        <v>3.5000000000000001E-3</v>
      </c>
      <c r="H119" s="3103">
        <f t="shared" ref="H119:H129" si="74">IF(SUM(E119)=0,"NA",K119/E119)</f>
        <v>4.9127668215546871E-2</v>
      </c>
      <c r="I119" s="3103">
        <f t="shared" si="72"/>
        <v>0.2161465222591441</v>
      </c>
      <c r="J119" s="3227">
        <v>6.2222847667223391E-3</v>
      </c>
      <c r="K119" s="3227">
        <v>0.74838623310462737</v>
      </c>
      <c r="L119" s="3227">
        <v>0.67257622500861669</v>
      </c>
      <c r="M119" s="3497">
        <v>-0.4335013942559145</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6.2590755443232222</v>
      </c>
      <c r="E121" s="3227">
        <v>53.632494042366332</v>
      </c>
      <c r="F121" s="3227">
        <v>3.8941615061729697</v>
      </c>
      <c r="G121" s="3103">
        <f t="shared" si="73"/>
        <v>3.5000000000000001E-3</v>
      </c>
      <c r="H121" s="3103">
        <f t="shared" si="74"/>
        <v>4.9127668215546885E-2</v>
      </c>
      <c r="I121" s="3103">
        <f t="shared" si="72"/>
        <v>0.21614652225914407</v>
      </c>
      <c r="J121" s="3227">
        <v>2.1906764405131278E-2</v>
      </c>
      <c r="K121" s="3227">
        <v>2.6348393728856681</v>
      </c>
      <c r="L121" s="3227">
        <v>2.3679354864238431</v>
      </c>
      <c r="M121" s="3497">
        <v>-1.5262260197491253</v>
      </c>
    </row>
    <row r="122" spans="2:13" ht="18" customHeight="1" x14ac:dyDescent="0.2">
      <c r="B122" s="2616" t="s">
        <v>564</v>
      </c>
      <c r="C122" s="2618" t="s">
        <v>564</v>
      </c>
      <c r="D122" s="3227">
        <v>1.5236838732156579E-2</v>
      </c>
      <c r="E122" s="3227">
        <v>0.13056076040942638</v>
      </c>
      <c r="F122" s="3227">
        <v>9.4797882604794811E-3</v>
      </c>
      <c r="G122" s="3103">
        <f t="shared" si="73"/>
        <v>3.5000000000000001E-3</v>
      </c>
      <c r="H122" s="3103">
        <f t="shared" si="74"/>
        <v>4.9127668215546885E-2</v>
      </c>
      <c r="I122" s="3103">
        <f t="shared" si="72"/>
        <v>0.21614652225914407</v>
      </c>
      <c r="J122" s="3227">
        <v>5.3328935562548027E-5</v>
      </c>
      <c r="K122" s="3227">
        <v>6.4141457193638085E-3</v>
      </c>
      <c r="L122" s="3227">
        <v>5.7644057623675894E-3</v>
      </c>
      <c r="M122" s="3497">
        <v>-3.7153824981118887E-3</v>
      </c>
    </row>
    <row r="123" spans="2:13" ht="18" customHeight="1" x14ac:dyDescent="0.2">
      <c r="B123" s="2616" t="s">
        <v>565</v>
      </c>
      <c r="C123" s="2618" t="s">
        <v>565</v>
      </c>
      <c r="D123" s="3227">
        <v>19.467736122570763</v>
      </c>
      <c r="E123" s="3227">
        <v>166.81428978103705</v>
      </c>
      <c r="F123" s="3227">
        <v>12.112093564616863</v>
      </c>
      <c r="G123" s="3103">
        <f t="shared" si="73"/>
        <v>3.5000000000000005E-3</v>
      </c>
      <c r="H123" s="3103">
        <f t="shared" si="74"/>
        <v>4.9127668215546892E-2</v>
      </c>
      <c r="I123" s="3103">
        <f t="shared" si="72"/>
        <v>0.21614652225914388</v>
      </c>
      <c r="J123" s="3227">
        <v>6.8137076428997675E-2</v>
      </c>
      <c r="K123" s="3227">
        <v>8.1951970819748823</v>
      </c>
      <c r="L123" s="3227">
        <v>7.3650402329430742</v>
      </c>
      <c r="M123" s="3497">
        <v>-4.747053331673782</v>
      </c>
    </row>
    <row r="124" spans="2:13" ht="18" customHeight="1" x14ac:dyDescent="0.2">
      <c r="B124" s="2616" t="s">
        <v>567</v>
      </c>
      <c r="C124" s="2618" t="s">
        <v>567</v>
      </c>
      <c r="D124" s="3227">
        <v>5.4115525103157704</v>
      </c>
      <c r="E124" s="3227">
        <v>46.37027556452756</v>
      </c>
      <c r="F124" s="3227">
        <v>3.3668645353575122</v>
      </c>
      <c r="G124" s="3103">
        <f t="shared" si="73"/>
        <v>3.5000000000000001E-3</v>
      </c>
      <c r="H124" s="3103">
        <f t="shared" si="74"/>
        <v>4.9127668215546878E-2</v>
      </c>
      <c r="I124" s="3103">
        <f t="shared" si="72"/>
        <v>0.21614652225914405</v>
      </c>
      <c r="J124" s="3227">
        <v>1.8940433786105198E-2</v>
      </c>
      <c r="K124" s="3227">
        <v>2.2780635129975906</v>
      </c>
      <c r="L124" s="3227">
        <v>2.047300297796343</v>
      </c>
      <c r="M124" s="3497">
        <v>-1.3195642375611678</v>
      </c>
    </row>
    <row r="125" spans="2:13" ht="18" customHeight="1" x14ac:dyDescent="0.2">
      <c r="B125" s="2616" t="s">
        <v>569</v>
      </c>
      <c r="C125" s="2618" t="s">
        <v>569</v>
      </c>
      <c r="D125" s="3227">
        <v>0.53576421531377016</v>
      </c>
      <c r="E125" s="3227">
        <v>4.5908330842867029</v>
      </c>
      <c r="F125" s="3227">
        <v>0.33333235377740472</v>
      </c>
      <c r="G125" s="3103">
        <f t="shared" si="73"/>
        <v>3.5000000000000001E-3</v>
      </c>
      <c r="H125" s="3103">
        <f t="shared" si="74"/>
        <v>4.9127668215546878E-2</v>
      </c>
      <c r="I125" s="3103">
        <f t="shared" si="72"/>
        <v>0.2161465222591441</v>
      </c>
      <c r="J125" s="3227">
        <v>1.8751747535981956E-3</v>
      </c>
      <c r="K125" s="3227">
        <v>0.2255369245977929</v>
      </c>
      <c r="L125" s="3227">
        <v>0.20269049140142267</v>
      </c>
      <c r="M125" s="3497">
        <v>-0.13064186237598197</v>
      </c>
    </row>
    <row r="126" spans="2:13" ht="18" customHeight="1" x14ac:dyDescent="0.2">
      <c r="B126" s="2616" t="s">
        <v>571</v>
      </c>
      <c r="C126" s="2618" t="s">
        <v>571</v>
      </c>
      <c r="D126" s="3227">
        <v>0.36490814083508627</v>
      </c>
      <c r="E126" s="3227">
        <v>3.1268089913212402</v>
      </c>
      <c r="F126" s="3227">
        <v>0.22703212723130473</v>
      </c>
      <c r="G126" s="3103">
        <f t="shared" si="73"/>
        <v>3.5000000000000005E-3</v>
      </c>
      <c r="H126" s="3103">
        <f t="shared" si="74"/>
        <v>4.9127668215546885E-2</v>
      </c>
      <c r="I126" s="3103">
        <f t="shared" si="72"/>
        <v>0.21614652225914413</v>
      </c>
      <c r="J126" s="3227">
        <v>1.2771784929228021E-3</v>
      </c>
      <c r="K126" s="3227">
        <v>0.15361283469901871</v>
      </c>
      <c r="L126" s="3227">
        <v>0.13805216598672335</v>
      </c>
      <c r="M126" s="3497">
        <v>-8.8979961244581296E-2</v>
      </c>
    </row>
    <row r="127" spans="2:13" ht="18" customHeight="1" x14ac:dyDescent="0.2">
      <c r="B127" s="2616" t="s">
        <v>574</v>
      </c>
      <c r="C127" s="2618" t="s">
        <v>574</v>
      </c>
      <c r="D127" s="3227">
        <v>7.4016517136951787E-2</v>
      </c>
      <c r="E127" s="3227">
        <v>0.63422950981709303</v>
      </c>
      <c r="F127" s="3227">
        <v>4.6050294458760264E-2</v>
      </c>
      <c r="G127" s="3103">
        <f t="shared" si="73"/>
        <v>3.5000000000000001E-3</v>
      </c>
      <c r="H127" s="3103">
        <f t="shared" si="74"/>
        <v>4.9127668215546878E-2</v>
      </c>
      <c r="I127" s="3103">
        <f t="shared" si="72"/>
        <v>0.21614652225914399</v>
      </c>
      <c r="J127" s="3227">
        <v>2.5905780997933126E-4</v>
      </c>
      <c r="K127" s="3227">
        <v>3.1158216930803079E-2</v>
      </c>
      <c r="L127" s="3227">
        <v>2.8001952727515402E-2</v>
      </c>
      <c r="M127" s="3497">
        <v>-1.8048341731244841E-2</v>
      </c>
    </row>
    <row r="128" spans="2:13" ht="18" customHeight="1" x14ac:dyDescent="0.2">
      <c r="B128" s="2616" t="s">
        <v>576</v>
      </c>
      <c r="C128" s="2618" t="s">
        <v>576</v>
      </c>
      <c r="D128" s="3227">
        <v>0.40407622573860752</v>
      </c>
      <c r="E128" s="3227">
        <v>3.4624307721039078</v>
      </c>
      <c r="F128" s="3227">
        <v>0.25140103721197177</v>
      </c>
      <c r="G128" s="3103">
        <f t="shared" si="73"/>
        <v>3.5000000000000001E-3</v>
      </c>
      <c r="H128" s="3103">
        <f t="shared" si="74"/>
        <v>4.9127668215546885E-2</v>
      </c>
      <c r="I128" s="3103">
        <f t="shared" si="72"/>
        <v>0.21614652225914385</v>
      </c>
      <c r="J128" s="3227">
        <v>1.4142667900851264E-3</v>
      </c>
      <c r="K128" s="3227">
        <v>0.1701011501912206</v>
      </c>
      <c r="L128" s="3227">
        <v>0.15287024854884046</v>
      </c>
      <c r="M128" s="3497">
        <v>-9.8530788663131155E-2</v>
      </c>
    </row>
    <row r="129" spans="2:13" ht="18" customHeight="1" x14ac:dyDescent="0.2">
      <c r="B129" s="2616" t="s">
        <v>577</v>
      </c>
      <c r="C129" s="2618" t="s">
        <v>577</v>
      </c>
      <c r="D129" s="3227">
        <v>0.79167671050804522</v>
      </c>
      <c r="E129" s="3227">
        <v>6.7836849322440882</v>
      </c>
      <c r="F129" s="3227">
        <v>0.49255148776566154</v>
      </c>
      <c r="G129" s="3103">
        <f t="shared" si="73"/>
        <v>3.5000000000000001E-3</v>
      </c>
      <c r="H129" s="3103">
        <f t="shared" si="74"/>
        <v>4.9127668215546878E-2</v>
      </c>
      <c r="I129" s="3103">
        <f t="shared" si="72"/>
        <v>0.21614652225914396</v>
      </c>
      <c r="J129" s="3227">
        <v>2.7708684867781583E-3</v>
      </c>
      <c r="K129" s="3227">
        <v>0.33326662263009216</v>
      </c>
      <c r="L129" s="3227">
        <v>0.29950738943988819</v>
      </c>
      <c r="M129" s="3497">
        <v>-0.19304409832577316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84.654973610725975</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84.654973610725975</v>
      </c>
      <c r="L131" s="3229"/>
      <c r="M131" s="3226" t="str">
        <f>IF(SUM(M132:M143)=0,"NO",SUM(M132:M143))</f>
        <v>NO</v>
      </c>
    </row>
    <row r="132" spans="2:13" ht="18" customHeight="1" x14ac:dyDescent="0.2">
      <c r="B132" s="2616" t="s">
        <v>559</v>
      </c>
      <c r="C132" s="2618" t="s">
        <v>559</v>
      </c>
      <c r="D132" s="3227" t="s">
        <v>2146</v>
      </c>
      <c r="E132" s="3227">
        <v>1.452281512753987</v>
      </c>
      <c r="F132" s="3229"/>
      <c r="G132" s="3103" t="str">
        <f>IF(SUM(D132)=0,"NA",J132/D132)</f>
        <v>NA</v>
      </c>
      <c r="H132" s="3103">
        <f>IF(SUM(E132)=0,"NA",K132/E132)</f>
        <v>0.74124397803080244</v>
      </c>
      <c r="I132" s="4327"/>
      <c r="J132" s="3227" t="s">
        <v>2146</v>
      </c>
      <c r="K132" s="3227">
        <v>1.0764949257343568</v>
      </c>
      <c r="L132" s="3229"/>
      <c r="M132" s="3497" t="s">
        <v>2146</v>
      </c>
    </row>
    <row r="133" spans="2:13" ht="18" customHeight="1" x14ac:dyDescent="0.2">
      <c r="B133" s="2616" t="s">
        <v>560</v>
      </c>
      <c r="C133" s="2618" t="s">
        <v>560</v>
      </c>
      <c r="D133" s="3227" t="s">
        <v>2146</v>
      </c>
      <c r="E133" s="3227">
        <v>5.7106462570046519</v>
      </c>
      <c r="F133" s="3229"/>
      <c r="G133" s="3103" t="str">
        <f t="shared" ref="G133:G143" si="75">IF(SUM(D133)=0,"NA",J133/D133)</f>
        <v>NA</v>
      </c>
      <c r="H133" s="3103">
        <f t="shared" ref="H133:H143" si="76">IF(SUM(E133)=0,"NA",K133/E133)</f>
        <v>0.74124397803080233</v>
      </c>
      <c r="I133" s="4327"/>
      <c r="J133" s="3227" t="s">
        <v>2146</v>
      </c>
      <c r="K133" s="3227">
        <v>4.2329821486688397</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20.105441464573875</v>
      </c>
      <c r="F135" s="3229"/>
      <c r="G135" s="3103" t="str">
        <f t="shared" si="75"/>
        <v>NA</v>
      </c>
      <c r="H135" s="3103">
        <f t="shared" si="76"/>
        <v>0.74124397803080233</v>
      </c>
      <c r="I135" s="4327"/>
      <c r="J135" s="3227" t="s">
        <v>2146</v>
      </c>
      <c r="K135" s="3227">
        <v>14.90303741126618</v>
      </c>
      <c r="L135" s="3229"/>
      <c r="M135" s="3497" t="s">
        <v>2146</v>
      </c>
    </row>
    <row r="136" spans="2:13" ht="18" customHeight="1" x14ac:dyDescent="0.2">
      <c r="B136" s="2616" t="s">
        <v>564</v>
      </c>
      <c r="C136" s="2618" t="s">
        <v>564</v>
      </c>
      <c r="D136" s="3227" t="s">
        <v>2146</v>
      </c>
      <c r="E136" s="3227">
        <v>4.8943868318120802E-2</v>
      </c>
      <c r="F136" s="3229"/>
      <c r="G136" s="3103" t="str">
        <f t="shared" si="75"/>
        <v>NA</v>
      </c>
      <c r="H136" s="3103">
        <f t="shared" si="76"/>
        <v>0.74124397803080233</v>
      </c>
      <c r="I136" s="4327"/>
      <c r="J136" s="3227" t="s">
        <v>2146</v>
      </c>
      <c r="K136" s="3227">
        <v>3.6279347652339616E-2</v>
      </c>
      <c r="L136" s="3229"/>
      <c r="M136" s="3497" t="s">
        <v>2146</v>
      </c>
    </row>
    <row r="137" spans="2:13" ht="18" customHeight="1" x14ac:dyDescent="0.2">
      <c r="B137" s="2616" t="s">
        <v>565</v>
      </c>
      <c r="C137" s="2618" t="s">
        <v>565</v>
      </c>
      <c r="D137" s="3227" t="s">
        <v>2146</v>
      </c>
      <c r="E137" s="3227">
        <v>62.534383278871047</v>
      </c>
      <c r="F137" s="3229"/>
      <c r="G137" s="3103" t="str">
        <f t="shared" si="75"/>
        <v>NA</v>
      </c>
      <c r="H137" s="3103">
        <f t="shared" si="76"/>
        <v>0.74124397803080233</v>
      </c>
      <c r="I137" s="4327"/>
      <c r="J137" s="3227" t="s">
        <v>2146</v>
      </c>
      <c r="K137" s="3227">
        <v>46.353235025333262</v>
      </c>
      <c r="L137" s="3229"/>
      <c r="M137" s="3497" t="s">
        <v>2146</v>
      </c>
    </row>
    <row r="138" spans="2:13" ht="18" customHeight="1" x14ac:dyDescent="0.2">
      <c r="B138" s="2616" t="s">
        <v>567</v>
      </c>
      <c r="C138" s="2618" t="s">
        <v>567</v>
      </c>
      <c r="D138" s="3227" t="s">
        <v>2146</v>
      </c>
      <c r="E138" s="3227">
        <v>17.383022693710906</v>
      </c>
      <c r="F138" s="3229"/>
      <c r="G138" s="3103" t="str">
        <f t="shared" si="75"/>
        <v>NA</v>
      </c>
      <c r="H138" s="3103">
        <f t="shared" si="76"/>
        <v>0.74124397803080233</v>
      </c>
      <c r="I138" s="4327"/>
      <c r="J138" s="3227" t="s">
        <v>2146</v>
      </c>
      <c r="K138" s="3227">
        <v>12.885060891685985</v>
      </c>
      <c r="L138" s="3229"/>
      <c r="M138" s="3497" t="s">
        <v>2146</v>
      </c>
    </row>
    <row r="139" spans="2:13" ht="18" customHeight="1" x14ac:dyDescent="0.2">
      <c r="B139" s="2616" t="s">
        <v>569</v>
      </c>
      <c r="C139" s="2618" t="s">
        <v>569</v>
      </c>
      <c r="D139" s="3227" t="s">
        <v>2146</v>
      </c>
      <c r="E139" s="3227">
        <v>1.7209851508461196</v>
      </c>
      <c r="F139" s="3229"/>
      <c r="G139" s="3103" t="str">
        <f t="shared" si="75"/>
        <v>NA</v>
      </c>
      <c r="H139" s="3103">
        <f t="shared" si="76"/>
        <v>0.74124397803080222</v>
      </c>
      <c r="I139" s="4327"/>
      <c r="J139" s="3227" t="s">
        <v>2146</v>
      </c>
      <c r="K139" s="3227">
        <v>1.275669879345118</v>
      </c>
      <c r="L139" s="3229"/>
      <c r="M139" s="3497" t="s">
        <v>2146</v>
      </c>
    </row>
    <row r="140" spans="2:13" ht="18" customHeight="1" x14ac:dyDescent="0.2">
      <c r="B140" s="2616" t="s">
        <v>571</v>
      </c>
      <c r="C140" s="2618" t="s">
        <v>571</v>
      </c>
      <c r="D140" s="3227" t="s">
        <v>2146</v>
      </c>
      <c r="E140" s="3227">
        <v>1.1721602037796777</v>
      </c>
      <c r="F140" s="3229"/>
      <c r="G140" s="3103" t="str">
        <f t="shared" si="75"/>
        <v>NA</v>
      </c>
      <c r="H140" s="3103">
        <f t="shared" si="76"/>
        <v>0.74124397803080244</v>
      </c>
      <c r="I140" s="4327"/>
      <c r="J140" s="3227" t="s">
        <v>2146</v>
      </c>
      <c r="K140" s="3227">
        <v>0.86885669233904428</v>
      </c>
      <c r="L140" s="3229"/>
      <c r="M140" s="3497" t="s">
        <v>2146</v>
      </c>
    </row>
    <row r="141" spans="2:13" ht="18" customHeight="1" x14ac:dyDescent="0.2">
      <c r="B141" s="2616" t="s">
        <v>574</v>
      </c>
      <c r="C141" s="2618" t="s">
        <v>574</v>
      </c>
      <c r="D141" s="3227" t="s">
        <v>2146</v>
      </c>
      <c r="E141" s="3227">
        <v>0.23775631755368454</v>
      </c>
      <c r="F141" s="3229"/>
      <c r="G141" s="3103" t="str">
        <f t="shared" si="75"/>
        <v>NA</v>
      </c>
      <c r="H141" s="3103">
        <f t="shared" si="76"/>
        <v>0.74124397803080233</v>
      </c>
      <c r="I141" s="4327"/>
      <c r="J141" s="3227" t="s">
        <v>2146</v>
      </c>
      <c r="K141" s="3227">
        <v>0.1762354386254478</v>
      </c>
      <c r="L141" s="3229"/>
      <c r="M141" s="3497" t="s">
        <v>2146</v>
      </c>
    </row>
    <row r="142" spans="2:13" ht="18" customHeight="1" x14ac:dyDescent="0.2">
      <c r="B142" s="2616" t="s">
        <v>576</v>
      </c>
      <c r="C142" s="2618" t="s">
        <v>576</v>
      </c>
      <c r="D142" s="3227" t="s">
        <v>2146</v>
      </c>
      <c r="E142" s="3227">
        <v>1.2979761701681063</v>
      </c>
      <c r="F142" s="3229"/>
      <c r="G142" s="3103" t="str">
        <f t="shared" si="75"/>
        <v>NA</v>
      </c>
      <c r="H142" s="3103">
        <f t="shared" si="76"/>
        <v>0.74124397803080244</v>
      </c>
      <c r="I142" s="4327"/>
      <c r="J142" s="3227" t="s">
        <v>2146</v>
      </c>
      <c r="K142" s="3227">
        <v>0.96211701976459285</v>
      </c>
      <c r="L142" s="3229"/>
      <c r="M142" s="3497" t="s">
        <v>2146</v>
      </c>
    </row>
    <row r="143" spans="2:13" ht="18" customHeight="1" x14ac:dyDescent="0.2">
      <c r="B143" s="2616" t="s">
        <v>577</v>
      </c>
      <c r="C143" s="2618" t="s">
        <v>577</v>
      </c>
      <c r="D143" s="3227" t="s">
        <v>2146</v>
      </c>
      <c r="E143" s="3227">
        <v>2.5430288625326001</v>
      </c>
      <c r="F143" s="3229"/>
      <c r="G143" s="3103" t="str">
        <f t="shared" si="75"/>
        <v>NA</v>
      </c>
      <c r="H143" s="3103">
        <f t="shared" si="76"/>
        <v>0.74124397803080222</v>
      </c>
      <c r="I143" s="4327"/>
      <c r="J143" s="3227" t="s">
        <v>2146</v>
      </c>
      <c r="K143" s="3227">
        <v>1.8850048303108105</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37.304454053270945</v>
      </c>
      <c r="L146" s="3103">
        <f>IF(SUM(L147:L158)=0,"NO",SUM(L147:L158))</f>
        <v>15.417196868311052</v>
      </c>
      <c r="M146" s="3226" t="str">
        <f>IF(SUM(M147:M158)=0,"NO",SUM(M147:M158))</f>
        <v>NO</v>
      </c>
    </row>
    <row r="147" spans="2:13" ht="18" customHeight="1" x14ac:dyDescent="0.2">
      <c r="B147" s="2616" t="s">
        <v>559</v>
      </c>
      <c r="C147" s="2618" t="s">
        <v>559</v>
      </c>
      <c r="D147" s="3227">
        <v>0.53655961302289945</v>
      </c>
      <c r="E147" s="3227">
        <v>1.2170263191569515</v>
      </c>
      <c r="F147" s="3227">
        <v>0.19604913320393091</v>
      </c>
      <c r="G147" s="3103" t="str">
        <f>IFERROR(J147/D147,"NA")</f>
        <v>NA</v>
      </c>
      <c r="H147" s="3103">
        <f>IF(SUM(E147)=0,"NA",K147/E147)</f>
        <v>0.38978060610172743</v>
      </c>
      <c r="I147" s="3103">
        <f t="shared" ref="I147:I158" si="77">IF(SUM(F147)=0,"NA",(SUM(L147:M147))/F147)</f>
        <v>0.99999999999999967</v>
      </c>
      <c r="J147" s="3227" t="s">
        <v>2146</v>
      </c>
      <c r="K147" s="3227">
        <v>0.4743732563227509</v>
      </c>
      <c r="L147" s="3227">
        <v>0.19604913320393086</v>
      </c>
      <c r="M147" s="3497" t="s">
        <v>2146</v>
      </c>
    </row>
    <row r="148" spans="2:13" ht="18" customHeight="1" x14ac:dyDescent="0.2">
      <c r="B148" s="2616" t="s">
        <v>560</v>
      </c>
      <c r="C148" s="2618" t="s">
        <v>560</v>
      </c>
      <c r="D148" s="3227">
        <v>2.1098541287347068</v>
      </c>
      <c r="E148" s="3227">
        <v>4.7855782319988176</v>
      </c>
      <c r="F148" s="3227">
        <v>0.77090236217149077</v>
      </c>
      <c r="G148" s="3103" t="str">
        <f t="shared" ref="G148:G158" si="78">IFERROR(J148/D148,"NA")</f>
        <v>NA</v>
      </c>
      <c r="H148" s="3103">
        <f t="shared" ref="H148:H158" si="79">IF(SUM(E148)=0,"NA",K148/E148)</f>
        <v>0.38978060610172743</v>
      </c>
      <c r="I148" s="3103">
        <f t="shared" si="77"/>
        <v>0.99999999999999944</v>
      </c>
      <c r="J148" s="3227" t="s">
        <v>2146</v>
      </c>
      <c r="K148" s="3227">
        <v>1.8653255838157323</v>
      </c>
      <c r="L148" s="3227">
        <v>0.77090236217149033</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7.428152047070598</v>
      </c>
      <c r="E150" s="3227">
        <v>16.848559460248978</v>
      </c>
      <c r="F150" s="3227">
        <v>2.7141117870029556</v>
      </c>
      <c r="G150" s="3103" t="str">
        <f t="shared" si="78"/>
        <v>NA</v>
      </c>
      <c r="H150" s="3103">
        <f t="shared" si="79"/>
        <v>0.38978060610172743</v>
      </c>
      <c r="I150" s="3103">
        <f t="shared" si="77"/>
        <v>0.99999999999999922</v>
      </c>
      <c r="J150" s="3227" t="s">
        <v>2146</v>
      </c>
      <c r="K150" s="3227">
        <v>6.5672417183568408</v>
      </c>
      <c r="L150" s="3227">
        <v>2.7141117870029534</v>
      </c>
      <c r="M150" s="3497" t="s">
        <v>2146</v>
      </c>
    </row>
    <row r="151" spans="2:13" ht="18" customHeight="1" x14ac:dyDescent="0.2">
      <c r="B151" s="2616" t="s">
        <v>564</v>
      </c>
      <c r="C151" s="2618" t="s">
        <v>564</v>
      </c>
      <c r="D151" s="3227">
        <v>1.8082790983694936E-2</v>
      </c>
      <c r="E151" s="3227">
        <v>4.1015447336755724E-2</v>
      </c>
      <c r="F151" s="3227">
        <v>6.6071232575418441E-3</v>
      </c>
      <c r="G151" s="3103" t="str">
        <f t="shared" si="78"/>
        <v>NA</v>
      </c>
      <c r="H151" s="3103">
        <f t="shared" si="79"/>
        <v>0.38978060610172738</v>
      </c>
      <c r="I151" s="3103">
        <f t="shared" si="77"/>
        <v>0.99999999999999956</v>
      </c>
      <c r="J151" s="3227" t="s">
        <v>2146</v>
      </c>
      <c r="K151" s="3227">
        <v>1.5987025922454125E-2</v>
      </c>
      <c r="L151" s="3227">
        <v>6.6071232575418415E-3</v>
      </c>
      <c r="M151" s="3497" t="s">
        <v>2146</v>
      </c>
    </row>
    <row r="152" spans="2:13" ht="18" customHeight="1" x14ac:dyDescent="0.2">
      <c r="B152" s="2616" t="s">
        <v>565</v>
      </c>
      <c r="C152" s="2618" t="s">
        <v>565</v>
      </c>
      <c r="D152" s="3227">
        <v>23.103939696311883</v>
      </c>
      <c r="E152" s="3227">
        <v>52.404433737033052</v>
      </c>
      <c r="F152" s="3227">
        <v>8.4417597618636364</v>
      </c>
      <c r="G152" s="3103" t="str">
        <f t="shared" si="78"/>
        <v>NA</v>
      </c>
      <c r="H152" s="3103">
        <f t="shared" si="79"/>
        <v>0.38978060610172743</v>
      </c>
      <c r="I152" s="3103">
        <f t="shared" si="77"/>
        <v>0.99999999999999911</v>
      </c>
      <c r="J152" s="3227" t="s">
        <v>2146</v>
      </c>
      <c r="K152" s="3227">
        <v>20.426231944438555</v>
      </c>
      <c r="L152" s="3227">
        <v>8.4417597618636293</v>
      </c>
      <c r="M152" s="3497" t="s">
        <v>2146</v>
      </c>
    </row>
    <row r="153" spans="2:13" ht="18" customHeight="1" x14ac:dyDescent="0.2">
      <c r="B153" s="2616" t="s">
        <v>567</v>
      </c>
      <c r="C153" s="2618" t="s">
        <v>567</v>
      </c>
      <c r="D153" s="3227">
        <v>6.4223277978790732</v>
      </c>
      <c r="E153" s="3227">
        <v>14.56714551480519</v>
      </c>
      <c r="F153" s="3227">
        <v>2.3466018823745625</v>
      </c>
      <c r="G153" s="3103" t="str">
        <f t="shared" si="78"/>
        <v>NA</v>
      </c>
      <c r="H153" s="3103">
        <f t="shared" si="79"/>
        <v>0.38978060610172738</v>
      </c>
      <c r="I153" s="3103">
        <f t="shared" si="77"/>
        <v>1.0000000000000004</v>
      </c>
      <c r="J153" s="3227" t="s">
        <v>2146</v>
      </c>
      <c r="K153" s="3227">
        <v>5.6779908079328267</v>
      </c>
      <c r="L153" s="3227">
        <v>2.3466018823745634</v>
      </c>
      <c r="M153" s="3497" t="s">
        <v>2146</v>
      </c>
    </row>
    <row r="154" spans="2:13" ht="18" customHeight="1" x14ac:dyDescent="0.2">
      <c r="B154" s="2616" t="s">
        <v>569</v>
      </c>
      <c r="C154" s="2618" t="s">
        <v>569</v>
      </c>
      <c r="D154" s="3227">
        <v>0.63583480092993083</v>
      </c>
      <c r="E154" s="3227">
        <v>1.4422026343131067</v>
      </c>
      <c r="F154" s="3227">
        <v>0.23232248301529704</v>
      </c>
      <c r="G154" s="3103" t="str">
        <f t="shared" si="78"/>
        <v>NA</v>
      </c>
      <c r="H154" s="3103">
        <f t="shared" si="79"/>
        <v>0.38978060610172738</v>
      </c>
      <c r="I154" s="3103">
        <f t="shared" si="77"/>
        <v>0.99999999999999989</v>
      </c>
      <c r="J154" s="3227" t="s">
        <v>2146</v>
      </c>
      <c r="K154" s="3227">
        <v>0.56214261692407064</v>
      </c>
      <c r="L154" s="3227">
        <v>0.23232248301529701</v>
      </c>
      <c r="M154" s="3497" t="s">
        <v>2146</v>
      </c>
    </row>
    <row r="155" spans="2:13" ht="18" customHeight="1" x14ac:dyDescent="0.2">
      <c r="B155" s="2616" t="s">
        <v>571</v>
      </c>
      <c r="C155" s="2618" t="s">
        <v>571</v>
      </c>
      <c r="D155" s="3227">
        <v>0.43306605490571076</v>
      </c>
      <c r="E155" s="3227">
        <v>0.98228188250021287</v>
      </c>
      <c r="F155" s="3227">
        <v>0.15823446756639709</v>
      </c>
      <c r="G155" s="3103" t="str">
        <f t="shared" si="78"/>
        <v>NA</v>
      </c>
      <c r="H155" s="3103">
        <f t="shared" si="79"/>
        <v>0.38978060610172743</v>
      </c>
      <c r="I155" s="3103">
        <f t="shared" si="77"/>
        <v>0.99999999999999933</v>
      </c>
      <c r="J155" s="3227" t="s">
        <v>2146</v>
      </c>
      <c r="K155" s="3227">
        <v>0.38287442752367878</v>
      </c>
      <c r="L155" s="3227">
        <v>0.15823446756639697</v>
      </c>
      <c r="M155" s="3497" t="s">
        <v>2146</v>
      </c>
    </row>
    <row r="156" spans="2:13" ht="18" customHeight="1" x14ac:dyDescent="0.2">
      <c r="B156" s="2616" t="s">
        <v>574</v>
      </c>
      <c r="C156" s="2618" t="s">
        <v>574</v>
      </c>
      <c r="D156" s="3227">
        <v>8.7841397566536875E-2</v>
      </c>
      <c r="E156" s="3227">
        <v>0.19924215344445284</v>
      </c>
      <c r="F156" s="3227">
        <v>3.2095650575188685E-2</v>
      </c>
      <c r="G156" s="3103" t="str">
        <f t="shared" si="78"/>
        <v>NA</v>
      </c>
      <c r="H156" s="3103">
        <f t="shared" si="79"/>
        <v>0.38978060610172743</v>
      </c>
      <c r="I156" s="3103">
        <f t="shared" si="77"/>
        <v>0.99999999999999933</v>
      </c>
      <c r="J156" s="3227" t="s">
        <v>2146</v>
      </c>
      <c r="K156" s="3227">
        <v>7.7660727330592205E-2</v>
      </c>
      <c r="L156" s="3227">
        <v>3.2095650575188664E-2</v>
      </c>
      <c r="M156" s="3497" t="s">
        <v>2146</v>
      </c>
    </row>
    <row r="157" spans="2:13" ht="18" customHeight="1" x14ac:dyDescent="0.2">
      <c r="B157" s="2616" t="s">
        <v>576</v>
      </c>
      <c r="C157" s="2618" t="s">
        <v>576</v>
      </c>
      <c r="D157" s="3227">
        <v>0.47954999458587727</v>
      </c>
      <c r="E157" s="3227">
        <v>1.087716910847105</v>
      </c>
      <c r="F157" s="3227">
        <v>0.17521885450312227</v>
      </c>
      <c r="G157" s="3103" t="str">
        <f t="shared" si="78"/>
        <v>NA</v>
      </c>
      <c r="H157" s="3103">
        <f t="shared" si="79"/>
        <v>0.38978060610172743</v>
      </c>
      <c r="I157" s="3103">
        <f t="shared" si="77"/>
        <v>0.99999999999999989</v>
      </c>
      <c r="J157" s="3227" t="s">
        <v>2146</v>
      </c>
      <c r="K157" s="3227">
        <v>0.42397095677708319</v>
      </c>
      <c r="L157" s="3227">
        <v>0.17521885450312225</v>
      </c>
      <c r="M157" s="3497" t="s">
        <v>2146</v>
      </c>
    </row>
    <row r="158" spans="2:13" ht="18" customHeight="1" x14ac:dyDescent="0.2">
      <c r="B158" s="2616" t="s">
        <v>577</v>
      </c>
      <c r="C158" s="2618" t="s">
        <v>577</v>
      </c>
      <c r="D158" s="3227">
        <v>0.93954689252984824</v>
      </c>
      <c r="E158" s="3227">
        <v>2.1310834221176327</v>
      </c>
      <c r="F158" s="3227">
        <v>0.34329336277693789</v>
      </c>
      <c r="G158" s="3103" t="str">
        <f t="shared" si="78"/>
        <v>NA</v>
      </c>
      <c r="H158" s="3103">
        <f t="shared" si="79"/>
        <v>0.38978060610172738</v>
      </c>
      <c r="I158" s="3103">
        <f t="shared" si="77"/>
        <v>0.99999999999999967</v>
      </c>
      <c r="J158" s="3227" t="s">
        <v>2146</v>
      </c>
      <c r="K158" s="3227">
        <v>0.83065498792635417</v>
      </c>
      <c r="L158" s="3227">
        <v>0.34329336277693778</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0.63177622585262705</v>
      </c>
      <c r="K162" s="3233">
        <f t="shared" ref="K162:M162" si="85">IF(SUM(K163,K165,K175)=0,"NO",SUM(K163,K165,K175))</f>
        <v>4.3776066321957634</v>
      </c>
      <c r="L162" s="3233">
        <f t="shared" si="85"/>
        <v>0.68400000000000005</v>
      </c>
      <c r="M162" s="3234" t="str">
        <f t="shared" si="85"/>
        <v>NO</v>
      </c>
    </row>
    <row r="163" spans="2:13" ht="18" customHeight="1" x14ac:dyDescent="0.2">
      <c r="B163" s="88" t="s">
        <v>681</v>
      </c>
      <c r="C163" s="2508"/>
      <c r="D163" s="4326"/>
      <c r="E163" s="4326"/>
      <c r="F163" s="4326"/>
      <c r="G163" s="4327"/>
      <c r="H163" s="4327"/>
      <c r="I163" s="4327"/>
      <c r="J163" s="3230">
        <f>J164</f>
        <v>0.63177622585262705</v>
      </c>
      <c r="K163" s="3230">
        <f t="shared" ref="K163:M163" si="86">K164</f>
        <v>3.61665363229109</v>
      </c>
      <c r="L163" s="3230">
        <f t="shared" si="86"/>
        <v>0.68400000000000005</v>
      </c>
      <c r="M163" s="3226" t="str">
        <f t="shared" si="86"/>
        <v>NO</v>
      </c>
    </row>
    <row r="164" spans="2:13" ht="18" customHeight="1" x14ac:dyDescent="0.2">
      <c r="B164" s="2616" t="s">
        <v>1621</v>
      </c>
      <c r="C164" s="2618" t="s">
        <v>1621</v>
      </c>
      <c r="D164" s="3235">
        <v>7.4326614806191404</v>
      </c>
      <c r="E164" s="3235">
        <v>570.23525778070155</v>
      </c>
      <c r="F164" s="3235">
        <v>0.68400000000000005</v>
      </c>
      <c r="G164" s="3103">
        <f t="shared" ref="G164" si="87">IF(SUM(D164)=0,"NA",J164/D164)</f>
        <v>8.500000000000002E-2</v>
      </c>
      <c r="H164" s="3103">
        <f t="shared" ref="H164" si="88">IF(SUM(E164)=0,"NA",K164/E164)</f>
        <v>6.3423886596678421E-3</v>
      </c>
      <c r="I164" s="3103">
        <f t="shared" ref="I164" si="89">IF(SUM(F164)=0,"NA",(SUM(L164:M164))/F164)</f>
        <v>1</v>
      </c>
      <c r="J164" s="3142">
        <v>0.63177622585262705</v>
      </c>
      <c r="K164" s="3142">
        <v>3.61665363229109</v>
      </c>
      <c r="L164" s="3142">
        <v>0.68400000000000005</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0.76095299990467336</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0.76095299990467336</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0.76095299990467336</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0.76095299990467336</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2189.1387733806687</v>
      </c>
      <c r="D10" s="2500">
        <f t="shared" ref="D10:I10" si="0">IF(SUM(D11,D20,D31:D32,D42:D47)=0,"NO",SUM(D11,D20,D31:D32,D42:D47))</f>
        <v>2219.2582353272028</v>
      </c>
      <c r="E10" s="2500">
        <f t="shared" si="0"/>
        <v>40.649304481768304</v>
      </c>
      <c r="F10" s="2500">
        <f t="shared" si="0"/>
        <v>16.252068641231766</v>
      </c>
      <c r="G10" s="2500">
        <f t="shared" si="0"/>
        <v>267.01245605435321</v>
      </c>
      <c r="H10" s="2915">
        <f t="shared" si="0"/>
        <v>15.575726603170608</v>
      </c>
      <c r="I10" s="2924" t="str">
        <f t="shared" si="0"/>
        <v>NO</v>
      </c>
      <c r="J10" s="2925">
        <f>IF(SUM(C10:E10)=0,"NO",SUM(C10)+28*SUM(D10)+265*SUM(E10))</f>
        <v>75100.435050210945</v>
      </c>
    </row>
    <row r="11" spans="1:10" ht="18" customHeight="1" x14ac:dyDescent="0.2">
      <c r="B11" s="234" t="s">
        <v>694</v>
      </c>
      <c r="C11" s="2926"/>
      <c r="D11" s="2137">
        <f>SUM(D16:D19)</f>
        <v>1973.6232194057877</v>
      </c>
      <c r="E11" s="1929"/>
      <c r="F11" s="1929"/>
      <c r="G11" s="1929"/>
      <c r="H11" s="2927"/>
      <c r="I11" s="2928"/>
      <c r="J11" s="1880">
        <f>IF(SUM(C11:E11)=0,"NO",SUM(C11)+28*SUM(D11)+265*SUM(E11))</f>
        <v>55261.450143362053</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1490.4853258568128</v>
      </c>
      <c r="E16" s="628"/>
      <c r="F16" s="628"/>
      <c r="G16" s="628"/>
      <c r="H16" s="2930"/>
      <c r="I16" s="2931"/>
      <c r="J16" s="2934">
        <f>IF(SUM(C16:E16)=0,"NO",SUM(C16)+28*SUM(D16)+265*SUM(E16))</f>
        <v>41733.589123990758</v>
      </c>
    </row>
    <row r="17" spans="2:10" ht="18" customHeight="1" x14ac:dyDescent="0.2">
      <c r="B17" s="228" t="s">
        <v>699</v>
      </c>
      <c r="C17" s="2936"/>
      <c r="D17" s="2920">
        <f>Table3.A!G24</f>
        <v>469.78235318968376</v>
      </c>
      <c r="E17" s="628"/>
      <c r="F17" s="628"/>
      <c r="G17" s="628"/>
      <c r="H17" s="2930"/>
      <c r="I17" s="2931"/>
      <c r="J17" s="2934">
        <f t="shared" ref="J17:J21" si="1">IF(SUM(C17:E17)=0,"NO",SUM(C17)+28*SUM(D17)+265*SUM(E17))</f>
        <v>13153.905889311145</v>
      </c>
    </row>
    <row r="18" spans="2:10" ht="18" customHeight="1" x14ac:dyDescent="0.2">
      <c r="B18" s="228" t="s">
        <v>700</v>
      </c>
      <c r="C18" s="2936"/>
      <c r="D18" s="2920">
        <f>Table3.A!G27</f>
        <v>3.5895697558216426</v>
      </c>
      <c r="E18" s="628"/>
      <c r="F18" s="628"/>
      <c r="G18" s="628"/>
      <c r="H18" s="2930"/>
      <c r="I18" s="2931"/>
      <c r="J18" s="2934">
        <f t="shared" si="1"/>
        <v>100.50795316300599</v>
      </c>
    </row>
    <row r="19" spans="2:10" ht="18" customHeight="1" thickBot="1" x14ac:dyDescent="0.25">
      <c r="B19" s="1297" t="s">
        <v>701</v>
      </c>
      <c r="C19" s="2937"/>
      <c r="D19" s="2500">
        <f>Table3.A!G30</f>
        <v>9.7659706034694942</v>
      </c>
      <c r="E19" s="1923"/>
      <c r="F19" s="1923"/>
      <c r="G19" s="1923"/>
      <c r="H19" s="2938"/>
      <c r="I19" s="2939"/>
      <c r="J19" s="2934">
        <f t="shared" si="1"/>
        <v>273.44717689714582</v>
      </c>
    </row>
    <row r="20" spans="2:10" ht="18" customHeight="1" x14ac:dyDescent="0.2">
      <c r="B20" s="1456" t="s">
        <v>702</v>
      </c>
      <c r="C20" s="2940"/>
      <c r="D20" s="2920">
        <f>IF(SUM(D26:D30)=0,"NO",SUM(D26:D30))</f>
        <v>235.78040678925217</v>
      </c>
      <c r="E20" s="2920">
        <f>IF(SUM(E26:E30)=0,"NO",SUM(E26:E30))</f>
        <v>1.5337195038126645</v>
      </c>
      <c r="F20" s="2134"/>
      <c r="G20" s="2134"/>
      <c r="H20" s="2920" t="str">
        <f>IF(SUM(H26:H30)=0,"NE",SUM(H26:H30))</f>
        <v>NE</v>
      </c>
      <c r="I20" s="2931"/>
      <c r="J20" s="2941">
        <f t="shared" si="1"/>
        <v>7008.2870586094168</v>
      </c>
    </row>
    <row r="21" spans="2:10" ht="18" customHeight="1" x14ac:dyDescent="0.2">
      <c r="B21" s="228" t="s">
        <v>2019</v>
      </c>
      <c r="C21" s="2936"/>
      <c r="D21" s="2920">
        <f>D26</f>
        <v>155.65132710774853</v>
      </c>
      <c r="E21" s="2920">
        <f>E26</f>
        <v>0.71268385811240875</v>
      </c>
      <c r="F21" s="2942"/>
      <c r="G21" s="2942"/>
      <c r="H21" s="2920" t="str">
        <f>H26</f>
        <v>NE</v>
      </c>
      <c r="I21" s="2931"/>
      <c r="J21" s="2934">
        <f t="shared" si="1"/>
        <v>4547.0983814167466</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155.65132710774853</v>
      </c>
      <c r="E26" s="2920">
        <f>'Table3.B(b)'!X15</f>
        <v>0.71268385811240875</v>
      </c>
      <c r="F26" s="628"/>
      <c r="G26" s="628"/>
      <c r="H26" s="2944" t="s">
        <v>2154</v>
      </c>
      <c r="I26" s="2931"/>
      <c r="J26" s="2934">
        <f t="shared" ref="J26:J48" si="2">IF(SUM(C26:E26)=0,"NO",SUM(C26)+28*SUM(D26)+265*SUM(E26))</f>
        <v>4547.0983814167466</v>
      </c>
    </row>
    <row r="27" spans="2:10" ht="18" customHeight="1" x14ac:dyDescent="0.2">
      <c r="B27" s="228" t="s">
        <v>705</v>
      </c>
      <c r="C27" s="2936"/>
      <c r="D27" s="2920">
        <f>'Table3.B(a)'!K24</f>
        <v>23.926206221423278</v>
      </c>
      <c r="E27" s="2920" t="str">
        <f>'Table3.B(b)'!X24</f>
        <v>NA</v>
      </c>
      <c r="F27" s="2942"/>
      <c r="G27" s="2942"/>
      <c r="H27" s="2944" t="s">
        <v>2154</v>
      </c>
      <c r="I27" s="2931"/>
      <c r="J27" s="2934">
        <f t="shared" si="2"/>
        <v>669.93377419985177</v>
      </c>
    </row>
    <row r="28" spans="2:10" ht="18" customHeight="1" x14ac:dyDescent="0.2">
      <c r="B28" s="228" t="s">
        <v>706</v>
      </c>
      <c r="C28" s="2936"/>
      <c r="D28" s="2920">
        <f>'Table3.B(a)'!K27</f>
        <v>52.384372299742992</v>
      </c>
      <c r="E28" s="2920">
        <f>'Table3.B(b)'!X27</f>
        <v>0.1842754381289276</v>
      </c>
      <c r="F28" s="2942"/>
      <c r="G28" s="2942"/>
      <c r="H28" s="2944" t="s">
        <v>2154</v>
      </c>
      <c r="I28" s="2931"/>
      <c r="J28" s="2934">
        <f t="shared" si="2"/>
        <v>1515.5954154969695</v>
      </c>
    </row>
    <row r="29" spans="2:10" ht="18" customHeight="1" x14ac:dyDescent="0.2">
      <c r="B29" s="228" t="s">
        <v>707</v>
      </c>
      <c r="C29" s="2936"/>
      <c r="D29" s="2920">
        <f>'Table3.B(a)'!K30</f>
        <v>3.8185011603373695</v>
      </c>
      <c r="E29" s="2920">
        <f>'Table3.B(b)'!X30</f>
        <v>0.32986215698649868</v>
      </c>
      <c r="F29" s="2942"/>
      <c r="G29" s="2942"/>
      <c r="H29" s="2944" t="s">
        <v>2154</v>
      </c>
      <c r="I29" s="2931"/>
      <c r="J29" s="2934">
        <f t="shared" si="2"/>
        <v>194.33150409086849</v>
      </c>
    </row>
    <row r="30" spans="2:10" ht="18" customHeight="1" thickBot="1" x14ac:dyDescent="0.25">
      <c r="B30" s="1297" t="s">
        <v>708</v>
      </c>
      <c r="C30" s="2945"/>
      <c r="D30" s="2946"/>
      <c r="E30" s="2947">
        <f>SUM('Table3.B(b)'!Y46:Z46)</f>
        <v>0.3068980505848295</v>
      </c>
      <c r="F30" s="2948"/>
      <c r="G30" s="2948"/>
      <c r="H30" s="2949"/>
      <c r="I30" s="2950"/>
      <c r="J30" s="2934">
        <f t="shared" si="2"/>
        <v>81.327983404979818</v>
      </c>
    </row>
    <row r="31" spans="2:10" ht="18" customHeight="1" thickBot="1" x14ac:dyDescent="0.25">
      <c r="B31" s="2639" t="s">
        <v>709</v>
      </c>
      <c r="C31" s="2951"/>
      <c r="D31" s="2952">
        <f>Table3.C!G11</f>
        <v>3.0081359000000001</v>
      </c>
      <c r="E31" s="2953"/>
      <c r="F31" s="2953"/>
      <c r="G31" s="2953"/>
      <c r="H31" s="2954" t="s">
        <v>2154</v>
      </c>
      <c r="I31" s="2955"/>
      <c r="J31" s="2956">
        <f t="shared" si="2"/>
        <v>84.227805200000006</v>
      </c>
    </row>
    <row r="32" spans="2:10" ht="18" customHeight="1" x14ac:dyDescent="0.2">
      <c r="B32" s="2638" t="s">
        <v>2020</v>
      </c>
      <c r="C32" s="2957"/>
      <c r="D32" s="2958" t="s">
        <v>2154</v>
      </c>
      <c r="E32" s="2958">
        <f>IF(SUM(E33,E41)=0,"NO",SUM(E33,E41))</f>
        <v>38.834286232943846</v>
      </c>
      <c r="F32" s="2958" t="str">
        <f>IF(SUM(F33,F41)=0,"NO",SUM(F33,F41))</f>
        <v>NO</v>
      </c>
      <c r="G32" s="2958" t="str">
        <f>IF(SUM(G33,G41)=0,"NO",SUM(G33,G41))</f>
        <v>NO</v>
      </c>
      <c r="H32" s="2958" t="str">
        <f>IF(SUM(H33,H41)=0,"NO",SUM(H33,H41))</f>
        <v>NO</v>
      </c>
      <c r="I32" s="2959"/>
      <c r="J32" s="2960">
        <f t="shared" si="2"/>
        <v>10291.085851730119</v>
      </c>
    </row>
    <row r="33" spans="2:10" ht="18" customHeight="1" x14ac:dyDescent="0.2">
      <c r="B33" s="228" t="s">
        <v>710</v>
      </c>
      <c r="C33" s="2961"/>
      <c r="D33" s="2962" t="s">
        <v>2154</v>
      </c>
      <c r="E33" s="2962">
        <f>IF(SUM(E34:E40)=0,"NO",SUM(E34:E40))</f>
        <v>29.684437108390494</v>
      </c>
      <c r="F33" s="2962" t="str">
        <f>IF(SUM(F34:F40)=0,"NO",SUM(F34:F40))</f>
        <v>NO</v>
      </c>
      <c r="G33" s="2962" t="str">
        <f>IF(SUM(G34:G40)=0,"NO",SUM(G34:G40))</f>
        <v>NO</v>
      </c>
      <c r="H33" s="2962" t="str">
        <f>IF(SUM(H34:H40)=0,"NO",SUM(H34:H40))</f>
        <v>NO</v>
      </c>
      <c r="I33" s="2931"/>
      <c r="J33" s="2963">
        <f t="shared" si="2"/>
        <v>7866.3758337234813</v>
      </c>
    </row>
    <row r="34" spans="2:10" ht="18" customHeight="1" x14ac:dyDescent="0.2">
      <c r="B34" s="232" t="s">
        <v>711</v>
      </c>
      <c r="C34" s="2961"/>
      <c r="D34" s="2905" t="s">
        <v>2154</v>
      </c>
      <c r="E34" s="2962">
        <f>Table3.D!F11</f>
        <v>5.7848183248741831</v>
      </c>
      <c r="F34" s="2964" t="s">
        <v>2147</v>
      </c>
      <c r="G34" s="2964" t="s">
        <v>2147</v>
      </c>
      <c r="H34" s="2964" t="s">
        <v>2147</v>
      </c>
      <c r="I34" s="2931"/>
      <c r="J34" s="2963">
        <f t="shared" si="2"/>
        <v>1532.9768560916584</v>
      </c>
    </row>
    <row r="35" spans="2:10" ht="18" customHeight="1" x14ac:dyDescent="0.2">
      <c r="B35" s="232" t="s">
        <v>712</v>
      </c>
      <c r="C35" s="2961"/>
      <c r="D35" s="2905" t="s">
        <v>2154</v>
      </c>
      <c r="E35" s="2962">
        <f>Table3.D!F12</f>
        <v>1.3639571818249021</v>
      </c>
      <c r="F35" s="2964" t="s">
        <v>2147</v>
      </c>
      <c r="G35" s="2964" t="s">
        <v>2147</v>
      </c>
      <c r="H35" s="2965" t="s">
        <v>2147</v>
      </c>
      <c r="I35" s="2931"/>
      <c r="J35" s="2963">
        <f t="shared" si="2"/>
        <v>361.44865318359905</v>
      </c>
    </row>
    <row r="36" spans="2:10" ht="18" customHeight="1" x14ac:dyDescent="0.2">
      <c r="B36" s="232" t="s">
        <v>713</v>
      </c>
      <c r="C36" s="2961"/>
      <c r="D36" s="2905" t="s">
        <v>2154</v>
      </c>
      <c r="E36" s="2962">
        <f>Table3.D!F16</f>
        <v>10.003686937160179</v>
      </c>
      <c r="F36" s="2964" t="s">
        <v>2147</v>
      </c>
      <c r="G36" s="2964" t="s">
        <v>2147</v>
      </c>
      <c r="H36" s="2965" t="s">
        <v>2147</v>
      </c>
      <c r="I36" s="2931"/>
      <c r="J36" s="2963">
        <f t="shared" si="2"/>
        <v>2650.9770383474474</v>
      </c>
    </row>
    <row r="37" spans="2:10" ht="18" customHeight="1" x14ac:dyDescent="0.2">
      <c r="B37" s="232" t="s">
        <v>714</v>
      </c>
      <c r="C37" s="2961"/>
      <c r="D37" s="2905" t="s">
        <v>2154</v>
      </c>
      <c r="E37" s="2962">
        <f>Table3.D!F17</f>
        <v>12.136880298615647</v>
      </c>
      <c r="F37" s="2964" t="s">
        <v>2147</v>
      </c>
      <c r="G37" s="2964" t="s">
        <v>2147</v>
      </c>
      <c r="H37" s="2965" t="s">
        <v>2147</v>
      </c>
      <c r="I37" s="2931"/>
      <c r="J37" s="2963">
        <f t="shared" si="2"/>
        <v>3216.2732791331464</v>
      </c>
    </row>
    <row r="38" spans="2:10" ht="18" customHeight="1" x14ac:dyDescent="0.2">
      <c r="B38" s="1705" t="s">
        <v>715</v>
      </c>
      <c r="C38" s="2961"/>
      <c r="D38" s="2905" t="s">
        <v>2154</v>
      </c>
      <c r="E38" s="2962">
        <f>Table3.D!F18</f>
        <v>0.30709436591558015</v>
      </c>
      <c r="F38" s="2964" t="s">
        <v>2147</v>
      </c>
      <c r="G38" s="2964" t="s">
        <v>2147</v>
      </c>
      <c r="H38" s="2965" t="s">
        <v>2147</v>
      </c>
      <c r="I38" s="2931"/>
      <c r="J38" s="2963">
        <f t="shared" si="2"/>
        <v>81.380006967628745</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9.1498491245533504</v>
      </c>
      <c r="F41" s="2969" t="s">
        <v>2147</v>
      </c>
      <c r="G41" s="2969" t="s">
        <v>2147</v>
      </c>
      <c r="H41" s="2970" t="s">
        <v>2147</v>
      </c>
      <c r="I41" s="2971"/>
      <c r="J41" s="2972">
        <f t="shared" si="2"/>
        <v>2424.7100180066377</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6.8464732321629054</v>
      </c>
      <c r="E43" s="2979">
        <f>SUM(Table3.F!J10,Table3.F!J20,Table3.F!J23,Table3.F!J26:J27)</f>
        <v>0.28129874501179614</v>
      </c>
      <c r="F43" s="2909">
        <v>16.252068641231766</v>
      </c>
      <c r="G43" s="2909">
        <v>267.01245605435321</v>
      </c>
      <c r="H43" s="2910">
        <v>15.575726603170608</v>
      </c>
      <c r="I43" s="2980" t="s">
        <v>2146</v>
      </c>
      <c r="J43" s="2981">
        <f t="shared" si="2"/>
        <v>266.24541792868729</v>
      </c>
    </row>
    <row r="44" spans="2:10" ht="18" customHeight="1" thickBot="1" x14ac:dyDescent="0.25">
      <c r="B44" s="2641" t="s">
        <v>721</v>
      </c>
      <c r="C44" s="2982">
        <f>'Table3.G-J'!E10</f>
        <v>1252.8287349164823</v>
      </c>
      <c r="D44" s="2983"/>
      <c r="E44" s="2983"/>
      <c r="F44" s="2983"/>
      <c r="G44" s="2983"/>
      <c r="H44" s="2984"/>
      <c r="I44" s="2985"/>
      <c r="J44" s="2981">
        <f t="shared" si="2"/>
        <v>1252.8287349164823</v>
      </c>
    </row>
    <row r="45" spans="2:10" ht="18" customHeight="1" thickBot="1" x14ac:dyDescent="0.25">
      <c r="B45" s="2641" t="s">
        <v>722</v>
      </c>
      <c r="C45" s="2982">
        <f>'Table3.G-J'!E13</f>
        <v>936.31003846418662</v>
      </c>
      <c r="D45" s="2983"/>
      <c r="E45" s="2983"/>
      <c r="F45" s="2983"/>
      <c r="G45" s="2983"/>
      <c r="H45" s="2984"/>
      <c r="I45" s="2985"/>
      <c r="J45" s="2981">
        <f t="shared" si="2"/>
        <v>936.31003846418662</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26550.089</v>
      </c>
      <c r="D10" s="3241"/>
      <c r="E10" s="3241"/>
      <c r="F10" s="3131">
        <f>IF(SUM(C10)=0,"NA",G10*1000/C10)</f>
        <v>56.13861881430276</v>
      </c>
      <c r="G10" s="3242">
        <f>G15</f>
        <v>1490.4853258568128</v>
      </c>
      <c r="I10" s="275" t="s">
        <v>738</v>
      </c>
      <c r="J10" s="276" t="s">
        <v>739</v>
      </c>
      <c r="K10" s="691">
        <v>469.30628135477099</v>
      </c>
      <c r="L10" s="691">
        <v>363.4589570553</v>
      </c>
      <c r="M10" s="3147">
        <v>524.73704034096602</v>
      </c>
      <c r="N10" s="3147">
        <v>45.143037820436803</v>
      </c>
      <c r="O10" s="2911">
        <v>56.688001960851302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15.4283122673357</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26550.089</v>
      </c>
      <c r="D15" s="3248"/>
      <c r="E15" s="3248"/>
      <c r="F15" s="3131">
        <f>IF(SUM(C15)=0,"NA",G15*1000/C15)</f>
        <v>56.13861881430276</v>
      </c>
      <c r="G15" s="3249">
        <f>G20</f>
        <v>1490.4853258568128</v>
      </c>
      <c r="I15" s="1777" t="s">
        <v>748</v>
      </c>
      <c r="J15" s="1849" t="s">
        <v>297</v>
      </c>
      <c r="K15" s="3445">
        <v>75</v>
      </c>
      <c r="L15" s="3445">
        <v>57.738579784119203</v>
      </c>
      <c r="M15" s="1560">
        <v>80.436510243450897</v>
      </c>
      <c r="N15" s="1560">
        <v>66.6661591152331</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1490.4853258568128</v>
      </c>
      <c r="I20" s="72"/>
      <c r="J20" s="288"/>
      <c r="K20" s="288"/>
      <c r="L20" s="288"/>
      <c r="M20" s="288"/>
      <c r="N20" s="288"/>
      <c r="O20" s="288"/>
    </row>
    <row r="21" spans="2:15" ht="18" customHeight="1" x14ac:dyDescent="0.2">
      <c r="B21" s="2633" t="s">
        <v>2196</v>
      </c>
      <c r="C21" s="3272">
        <v>2542.3589999999999</v>
      </c>
      <c r="D21" s="3257">
        <v>235.436656570369</v>
      </c>
      <c r="E21" s="3257">
        <v>6.1776748579323701</v>
      </c>
      <c r="F21" s="3131">
        <f t="shared" ref="F21:F30" si="0">IF(SUM(C21)=0,"NA",G21*1000/C21)</f>
        <v>96.138112384028418</v>
      </c>
      <c r="G21" s="3239">
        <v>244.41759526254609</v>
      </c>
      <c r="I21" s="72"/>
      <c r="J21" s="288"/>
      <c r="K21" s="288"/>
      <c r="L21" s="288"/>
      <c r="M21" s="288"/>
      <c r="N21" s="288"/>
      <c r="O21" s="288"/>
    </row>
    <row r="22" spans="2:15" ht="18" customHeight="1" x14ac:dyDescent="0.2">
      <c r="B22" s="2633" t="s">
        <v>2197</v>
      </c>
      <c r="C22" s="3272">
        <v>23262.667000000001</v>
      </c>
      <c r="D22" s="3257">
        <v>125.252045561085</v>
      </c>
      <c r="E22" s="3257">
        <v>6.21225</v>
      </c>
      <c r="F22" s="3131">
        <f t="shared" si="0"/>
        <v>51.43162154012046</v>
      </c>
      <c r="G22" s="3239">
        <v>1196.4366851578495</v>
      </c>
      <c r="I22" s="72"/>
      <c r="J22" s="288"/>
      <c r="K22" s="288"/>
      <c r="L22" s="288"/>
      <c r="M22" s="288"/>
      <c r="N22" s="288"/>
      <c r="O22" s="288"/>
    </row>
    <row r="23" spans="2:15" ht="18" customHeight="1" x14ac:dyDescent="0.2">
      <c r="B23" s="2633" t="s">
        <v>2198</v>
      </c>
      <c r="C23" s="3272">
        <v>745.06299999999999</v>
      </c>
      <c r="D23" s="3257">
        <v>199.79196674844201</v>
      </c>
      <c r="E23" s="3257">
        <v>5.0441263487047303</v>
      </c>
      <c r="F23" s="3131">
        <f t="shared" si="0"/>
        <v>66.6132198705577</v>
      </c>
      <c r="G23" s="3239">
        <v>49.631045436417338</v>
      </c>
      <c r="I23" s="72"/>
      <c r="J23" s="288"/>
      <c r="K23" s="288"/>
      <c r="L23" s="288"/>
      <c r="M23" s="288"/>
      <c r="N23" s="288"/>
      <c r="O23" s="288"/>
    </row>
    <row r="24" spans="2:15" ht="18" customHeight="1" x14ac:dyDescent="0.2">
      <c r="B24" s="287" t="s">
        <v>753</v>
      </c>
      <c r="C24" s="2635">
        <f>C25</f>
        <v>68085.490000000005</v>
      </c>
      <c r="D24" s="3258"/>
      <c r="E24" s="3258"/>
      <c r="F24" s="3131">
        <f t="shared" si="0"/>
        <v>6.8998894359089391</v>
      </c>
      <c r="G24" s="3128">
        <f>G25</f>
        <v>469.78235318968376</v>
      </c>
      <c r="I24" s="72"/>
    </row>
    <row r="25" spans="2:15" ht="18" customHeight="1" x14ac:dyDescent="0.2">
      <c r="B25" s="282" t="s">
        <v>754</v>
      </c>
      <c r="C25" s="2635">
        <f>C26</f>
        <v>68085.490000000005</v>
      </c>
      <c r="D25" s="3258"/>
      <c r="E25" s="3258"/>
      <c r="F25" s="3131">
        <f t="shared" si="0"/>
        <v>6.8998894359089391</v>
      </c>
      <c r="G25" s="3128">
        <f>G26</f>
        <v>469.78235318968376</v>
      </c>
    </row>
    <row r="26" spans="2:15" ht="18" customHeight="1" x14ac:dyDescent="0.2">
      <c r="B26" s="2634" t="s">
        <v>2201</v>
      </c>
      <c r="C26" s="289">
        <v>68085.490000000005</v>
      </c>
      <c r="D26" s="3259">
        <v>16.9552150423673</v>
      </c>
      <c r="E26" s="3259">
        <v>6.1566202605782099</v>
      </c>
      <c r="F26" s="3131">
        <f t="shared" si="0"/>
        <v>6.8998894359089391</v>
      </c>
      <c r="G26" s="3240">
        <v>469.78235318968376</v>
      </c>
    </row>
    <row r="27" spans="2:15" ht="18" customHeight="1" x14ac:dyDescent="0.2">
      <c r="B27" s="287" t="s">
        <v>755</v>
      </c>
      <c r="C27" s="2635">
        <f>C28</f>
        <v>2289.3359999999998</v>
      </c>
      <c r="D27" s="3258"/>
      <c r="E27" s="3258"/>
      <c r="F27" s="3131">
        <f t="shared" si="0"/>
        <v>1.5679523476770745</v>
      </c>
      <c r="G27" s="3128">
        <f>G28</f>
        <v>3.5895697558216426</v>
      </c>
    </row>
    <row r="28" spans="2:15" ht="18" customHeight="1" x14ac:dyDescent="0.2">
      <c r="B28" s="282" t="s">
        <v>756</v>
      </c>
      <c r="C28" s="2635">
        <f>C29</f>
        <v>2289.3359999999998</v>
      </c>
      <c r="D28" s="3258"/>
      <c r="E28" s="3258"/>
      <c r="F28" s="3131">
        <f t="shared" si="0"/>
        <v>1.5679523476770745</v>
      </c>
      <c r="G28" s="3128">
        <f>G29</f>
        <v>3.5895697558216426</v>
      </c>
    </row>
    <row r="29" spans="2:15" ht="18" customHeight="1" x14ac:dyDescent="0.2">
      <c r="B29" s="2634" t="s">
        <v>817</v>
      </c>
      <c r="C29" s="289">
        <v>2289.3359999999998</v>
      </c>
      <c r="D29" s="3259">
        <v>33.887415058104899</v>
      </c>
      <c r="E29" s="3259">
        <v>0.7</v>
      </c>
      <c r="F29" s="3131">
        <f t="shared" si="0"/>
        <v>1.5679523476770745</v>
      </c>
      <c r="G29" s="3240">
        <v>3.5895697558216426</v>
      </c>
    </row>
    <row r="30" spans="2:15" ht="18" customHeight="1" x14ac:dyDescent="0.2">
      <c r="B30" s="287" t="s">
        <v>757</v>
      </c>
      <c r="C30" s="2635">
        <f>SUM(C32:C39)</f>
        <v>74202.981</v>
      </c>
      <c r="D30" s="3258"/>
      <c r="E30" s="3258"/>
      <c r="F30" s="3131">
        <f t="shared" si="0"/>
        <v>0.13161156697288878</v>
      </c>
      <c r="G30" s="3128">
        <f>SUM(G32:G39)</f>
        <v>9.7659706034694942</v>
      </c>
    </row>
    <row r="31" spans="2:15" ht="18" customHeight="1" x14ac:dyDescent="0.2">
      <c r="B31" s="1305" t="s">
        <v>345</v>
      </c>
      <c r="C31" s="3273"/>
      <c r="D31" s="3261"/>
      <c r="E31" s="3261"/>
      <c r="F31" s="3261"/>
      <c r="G31" s="3262"/>
    </row>
    <row r="32" spans="2:15" ht="18" customHeight="1" x14ac:dyDescent="0.2">
      <c r="B32" s="286" t="s">
        <v>758</v>
      </c>
      <c r="C32" s="3267">
        <v>6.4790000000000001</v>
      </c>
      <c r="D32" s="3263" t="s">
        <v>2147</v>
      </c>
      <c r="E32" s="3263" t="s">
        <v>2147</v>
      </c>
      <c r="F32" s="3131">
        <f t="shared" ref="F32:F40" si="1">IF(SUM(C32)=0,"NA",G32*1000/C32)</f>
        <v>75.999999999999986</v>
      </c>
      <c r="G32" s="3239">
        <v>0.49240399999999995</v>
      </c>
    </row>
    <row r="33" spans="2:7" ht="18" customHeight="1" x14ac:dyDescent="0.2">
      <c r="B33" s="286" t="s">
        <v>759</v>
      </c>
      <c r="C33" s="3267">
        <v>2.76</v>
      </c>
      <c r="D33" s="3263" t="s">
        <v>2147</v>
      </c>
      <c r="E33" s="3263" t="s">
        <v>2147</v>
      </c>
      <c r="F33" s="3131">
        <f t="shared" si="1"/>
        <v>46.002651191508988</v>
      </c>
      <c r="G33" s="3239">
        <v>0.12696731728856481</v>
      </c>
    </row>
    <row r="34" spans="2:7" ht="18" customHeight="1" x14ac:dyDescent="0.2">
      <c r="B34" s="286" t="s">
        <v>760</v>
      </c>
      <c r="C34" s="3267">
        <v>45.573999999999998</v>
      </c>
      <c r="D34" s="3263" t="s">
        <v>2147</v>
      </c>
      <c r="E34" s="3263" t="s">
        <v>2147</v>
      </c>
      <c r="F34" s="3131">
        <f t="shared" si="1"/>
        <v>20</v>
      </c>
      <c r="G34" s="3239">
        <v>0.91147999999999996</v>
      </c>
    </row>
    <row r="35" spans="2:7" ht="18" customHeight="1" x14ac:dyDescent="0.2">
      <c r="B35" s="286" t="s">
        <v>761</v>
      </c>
      <c r="C35" s="3267">
        <v>513.26800000000003</v>
      </c>
      <c r="D35" s="3263" t="s">
        <v>2147</v>
      </c>
      <c r="E35" s="3263" t="s">
        <v>2147</v>
      </c>
      <c r="F35" s="3131">
        <f t="shared" si="1"/>
        <v>4.9999999999999991</v>
      </c>
      <c r="G35" s="3239">
        <v>2.5663399999999998</v>
      </c>
    </row>
    <row r="36" spans="2:7" ht="18" customHeight="1" x14ac:dyDescent="0.2">
      <c r="B36" s="286" t="s">
        <v>762</v>
      </c>
      <c r="C36" s="3267">
        <v>257.96699999999998</v>
      </c>
      <c r="D36" s="3263" t="s">
        <v>2147</v>
      </c>
      <c r="E36" s="3263" t="s">
        <v>2147</v>
      </c>
      <c r="F36" s="3131">
        <f t="shared" si="1"/>
        <v>17.999965111816628</v>
      </c>
      <c r="G36" s="3239">
        <v>4.6433970000000002</v>
      </c>
    </row>
    <row r="37" spans="2:7" ht="18" customHeight="1" x14ac:dyDescent="0.2">
      <c r="B37" s="286" t="s">
        <v>763</v>
      </c>
      <c r="C37" s="3267">
        <v>0.67500000000000004</v>
      </c>
      <c r="D37" s="3263" t="s">
        <v>2147</v>
      </c>
      <c r="E37" s="3263" t="s">
        <v>2147</v>
      </c>
      <c r="F37" s="3131">
        <f t="shared" si="1"/>
        <v>10.004101485853893</v>
      </c>
      <c r="G37" s="3239">
        <v>6.7527685029513777E-3</v>
      </c>
    </row>
    <row r="38" spans="2:7" ht="18" customHeight="1" x14ac:dyDescent="0.2">
      <c r="B38" s="286" t="s">
        <v>764</v>
      </c>
      <c r="C38" s="3274">
        <v>73245.739000000001</v>
      </c>
      <c r="D38" s="3263" t="s">
        <v>2147</v>
      </c>
      <c r="E38" s="3263" t="s">
        <v>2147</v>
      </c>
      <c r="F38" s="3131" t="s">
        <v>2147</v>
      </c>
      <c r="G38" s="3264" t="s">
        <v>2154</v>
      </c>
    </row>
    <row r="39" spans="2:7" ht="18" customHeight="1" x14ac:dyDescent="0.2">
      <c r="B39" s="286" t="s">
        <v>765</v>
      </c>
      <c r="C39" s="2635">
        <f>SUM(C40:C44)</f>
        <v>130.51900000000001</v>
      </c>
      <c r="D39" s="3258"/>
      <c r="E39" s="3258"/>
      <c r="F39" s="3131">
        <f t="shared" si="1"/>
        <v>7.804453893134168</v>
      </c>
      <c r="G39" s="3128">
        <f>SUM(G40:G44)</f>
        <v>1.0186295176779785</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8.5079999999999991</v>
      </c>
      <c r="D42" s="2967" t="s">
        <v>2147</v>
      </c>
      <c r="E42" s="2967" t="s">
        <v>2147</v>
      </c>
      <c r="F42" s="3131">
        <f t="shared" si="2"/>
        <v>4.9999223949100049</v>
      </c>
      <c r="G42" s="3201">
        <v>4.2539339735894313E-2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122.011</v>
      </c>
      <c r="D44" s="3258"/>
      <c r="E44" s="3258"/>
      <c r="F44" s="3131">
        <f>IF(SUM(C44)=0,"NA",G44*1000/C44)</f>
        <v>8.0000178503748369</v>
      </c>
      <c r="G44" s="3128">
        <f>G45</f>
        <v>0.97609017794208408</v>
      </c>
    </row>
    <row r="45" spans="2:7" ht="18" customHeight="1" thickBot="1" x14ac:dyDescent="0.25">
      <c r="B45" s="2636" t="s">
        <v>2199</v>
      </c>
      <c r="C45" s="3276">
        <v>122.011</v>
      </c>
      <c r="D45" s="3137" t="s">
        <v>2147</v>
      </c>
      <c r="E45" s="3137" t="s">
        <v>2147</v>
      </c>
      <c r="F45" s="3265">
        <f>IF(SUM(C45)=0,"NA",G45*1000/C45)</f>
        <v>8.0000178503748369</v>
      </c>
      <c r="G45" s="3203">
        <v>0.97609017794208408</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26550.089</v>
      </c>
      <c r="D10" s="2942"/>
      <c r="E10" s="2942"/>
      <c r="F10" s="2942"/>
      <c r="G10" s="2942"/>
      <c r="H10" s="2942"/>
      <c r="I10" s="3279"/>
      <c r="J10" s="3280">
        <f>IF(SUM(C10)=0,"NA",K10*1000/C10)</f>
        <v>5.8625538734634199</v>
      </c>
      <c r="K10" s="3281">
        <f>K15</f>
        <v>155.65132710774853</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26550.089</v>
      </c>
      <c r="D15" s="3293"/>
      <c r="E15" s="3293"/>
      <c r="F15" s="3293"/>
      <c r="G15" s="3293"/>
      <c r="H15" s="3293"/>
      <c r="I15" s="3288"/>
      <c r="J15" s="3287">
        <f>IF(SUM(C15)=0,"NA",K15*1000/C15)</f>
        <v>5.8625538734634199</v>
      </c>
      <c r="K15" s="3281">
        <f>SUM(K17:K20)</f>
        <v>155.65132710774853</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26550.089</v>
      </c>
      <c r="D20" s="3293"/>
      <c r="E20" s="3293"/>
      <c r="F20" s="3293"/>
      <c r="G20" s="3293"/>
      <c r="H20" s="3293"/>
      <c r="I20" s="3288"/>
      <c r="J20" s="3301">
        <f>IF(SUM(C20)=0,"NA",K20*1000/C20)</f>
        <v>5.8625538734634199</v>
      </c>
      <c r="K20" s="3281">
        <f>SUM(K21:K23)</f>
        <v>155.65132710774853</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2542.3589999999999</v>
      </c>
      <c r="D21" s="3325">
        <v>7.5371731529654102</v>
      </c>
      <c r="E21" s="3325">
        <v>92.462748179938401</v>
      </c>
      <c r="F21" s="3325">
        <v>7.866709619E-5</v>
      </c>
      <c r="G21" s="3298">
        <f>Table3.A!K10</f>
        <v>469.30628135477099</v>
      </c>
      <c r="H21" s="3299">
        <v>3.39566521538076</v>
      </c>
      <c r="I21" s="3300">
        <v>0.24</v>
      </c>
      <c r="J21" s="3301">
        <f>IF(SUM(C21)=0,"NA",K21*1000/C21)</f>
        <v>15.677805069326231</v>
      </c>
      <c r="K21" s="3277">
        <v>39.858608818247163</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23262.667000000001</v>
      </c>
      <c r="D22" s="3325" t="s">
        <v>2146</v>
      </c>
      <c r="E22" s="3325">
        <v>82.205515742013404</v>
      </c>
      <c r="F22" s="3325">
        <v>17.7944842579866</v>
      </c>
      <c r="G22" s="3298">
        <f>Table3.A!L10</f>
        <v>363.4589570553</v>
      </c>
      <c r="H22" s="3299" t="s">
        <v>2147</v>
      </c>
      <c r="I22" s="3300" t="s">
        <v>2147</v>
      </c>
      <c r="J22" s="3301">
        <f t="shared" ref="J22:J45" si="0">IF(SUM(C22)=0,"NA",K22*1000/C22)</f>
        <v>4.8684219959495669</v>
      </c>
      <c r="K22" s="3277">
        <v>113.25247970725013</v>
      </c>
      <c r="M22" s="1594" t="s">
        <v>800</v>
      </c>
      <c r="N22" s="4486" t="s">
        <v>2196</v>
      </c>
      <c r="O22" s="1690" t="s">
        <v>802</v>
      </c>
      <c r="P22" s="1691" t="s">
        <v>791</v>
      </c>
      <c r="Q22" s="3774">
        <v>6.4618927590017901</v>
      </c>
      <c r="R22" s="300" t="s">
        <v>2146</v>
      </c>
      <c r="S22" s="3772">
        <v>3.9192432272642401</v>
      </c>
      <c r="T22" s="3772">
        <v>1.6114243847636034</v>
      </c>
      <c r="U22" s="3772" t="s">
        <v>2146</v>
      </c>
      <c r="V22" s="3772" t="s">
        <v>2153</v>
      </c>
      <c r="W22" s="3772" t="s">
        <v>2146</v>
      </c>
      <c r="X22" s="3772">
        <v>88.007439628970403</v>
      </c>
      <c r="Y22" s="301" t="s">
        <v>2146</v>
      </c>
      <c r="Z22" s="301" t="s">
        <v>2146</v>
      </c>
      <c r="AA22" s="301" t="s">
        <v>2146</v>
      </c>
      <c r="AB22" s="1306" t="s">
        <v>2146</v>
      </c>
    </row>
    <row r="23" spans="2:28" s="84" customFormat="1" ht="18" customHeight="1" x14ac:dyDescent="0.2">
      <c r="B23" s="2642" t="s">
        <v>2198</v>
      </c>
      <c r="C23" s="3325">
        <f>Table3.A!C23</f>
        <v>745.06299999999999</v>
      </c>
      <c r="D23" s="3325" t="s">
        <v>2146</v>
      </c>
      <c r="E23" s="3325">
        <v>100</v>
      </c>
      <c r="F23" s="3325" t="s">
        <v>2146</v>
      </c>
      <c r="G23" s="3298">
        <f>Table3.A!M10</f>
        <v>524.73704034096602</v>
      </c>
      <c r="H23" s="3299">
        <v>1.7100247915292199</v>
      </c>
      <c r="I23" s="3300">
        <v>0.19</v>
      </c>
      <c r="J23" s="3301">
        <f t="shared" si="0"/>
        <v>3.4094279037494091</v>
      </c>
      <c r="K23" s="3277">
        <v>2.5402385822512459</v>
      </c>
      <c r="M23" s="1664" t="s">
        <v>813</v>
      </c>
      <c r="N23" s="4487"/>
      <c r="O23" s="1692" t="s">
        <v>794</v>
      </c>
      <c r="P23" s="1693" t="s">
        <v>792</v>
      </c>
      <c r="Q23" s="3776">
        <v>9.2565446522062391</v>
      </c>
      <c r="R23" s="277" t="s">
        <v>2146</v>
      </c>
      <c r="S23" s="691">
        <v>1.99949570958962</v>
      </c>
      <c r="T23" s="3147">
        <v>2.5646717721212458</v>
      </c>
      <c r="U23" s="3147" t="s">
        <v>2146</v>
      </c>
      <c r="V23" s="3147" t="s">
        <v>2153</v>
      </c>
      <c r="W23" s="3147" t="s">
        <v>2146</v>
      </c>
      <c r="X23" s="3147">
        <v>86.179287866082902</v>
      </c>
      <c r="Y23" s="278" t="s">
        <v>2146</v>
      </c>
      <c r="Z23" s="278" t="s">
        <v>2146</v>
      </c>
      <c r="AA23" s="278" t="s">
        <v>2146</v>
      </c>
      <c r="AB23" s="279" t="s">
        <v>2146</v>
      </c>
    </row>
    <row r="24" spans="2:28" s="84" customFormat="1" ht="18" customHeight="1" thickBot="1" x14ac:dyDescent="0.25">
      <c r="B24" s="1643" t="s">
        <v>811</v>
      </c>
      <c r="C24" s="4184">
        <f>C25</f>
        <v>68085.490000000005</v>
      </c>
      <c r="D24" s="3303"/>
      <c r="E24" s="3303"/>
      <c r="F24" s="3303"/>
      <c r="G24" s="3303"/>
      <c r="H24" s="3303"/>
      <c r="I24" s="3304"/>
      <c r="J24" s="3301">
        <f t="shared" si="0"/>
        <v>0.35141417387791846</v>
      </c>
      <c r="K24" s="3281">
        <f>K25</f>
        <v>23.926206221423278</v>
      </c>
      <c r="M24" s="1656"/>
      <c r="N24" s="4487"/>
      <c r="O24" s="1694"/>
      <c r="P24" s="1693" t="s">
        <v>793</v>
      </c>
      <c r="Q24" s="4208" t="s">
        <v>2146</v>
      </c>
      <c r="R24" s="304" t="s">
        <v>2146</v>
      </c>
      <c r="S24" s="1559" t="s">
        <v>2146</v>
      </c>
      <c r="T24" s="1560" t="s">
        <v>2146</v>
      </c>
      <c r="U24" s="1560" t="s">
        <v>2146</v>
      </c>
      <c r="V24" s="1560" t="s">
        <v>2153</v>
      </c>
      <c r="W24" s="1560" t="s">
        <v>2146</v>
      </c>
      <c r="X24" s="1560">
        <v>100</v>
      </c>
      <c r="Y24" s="305" t="s">
        <v>2146</v>
      </c>
      <c r="Z24" s="305" t="s">
        <v>2146</v>
      </c>
      <c r="AA24" s="305" t="s">
        <v>2146</v>
      </c>
      <c r="AB24" s="442" t="s">
        <v>2146</v>
      </c>
    </row>
    <row r="25" spans="2:28" s="84" customFormat="1" ht="18" customHeight="1" x14ac:dyDescent="0.2">
      <c r="B25" s="1644" t="s">
        <v>812</v>
      </c>
      <c r="C25" s="4184">
        <f>C26</f>
        <v>68085.490000000005</v>
      </c>
      <c r="D25" s="3250"/>
      <c r="E25" s="3250"/>
      <c r="F25" s="3250"/>
      <c r="G25" s="3250"/>
      <c r="H25" s="3250"/>
      <c r="I25" s="3260"/>
      <c r="J25" s="3301">
        <f t="shared" si="0"/>
        <v>0.35141417387791846</v>
      </c>
      <c r="K25" s="3281">
        <f>K26</f>
        <v>23.926206221423278</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68085.490000000005</v>
      </c>
      <c r="D26" s="3325" t="s">
        <v>2146</v>
      </c>
      <c r="E26" s="3325">
        <v>100</v>
      </c>
      <c r="F26" s="3325" t="s">
        <v>2146</v>
      </c>
      <c r="G26" s="3305">
        <f>Table3.A!N10</f>
        <v>45.143037820436803</v>
      </c>
      <c r="H26" s="3033" t="s">
        <v>2147</v>
      </c>
      <c r="I26" s="3126" t="s">
        <v>2147</v>
      </c>
      <c r="J26" s="3301">
        <f t="shared" si="0"/>
        <v>0.35141417387791846</v>
      </c>
      <c r="K26" s="3277">
        <v>23.926206221423278</v>
      </c>
      <c r="M26" s="1656"/>
      <c r="N26" s="4487"/>
      <c r="O26" s="1696"/>
      <c r="P26" s="1693" t="s">
        <v>792</v>
      </c>
      <c r="Q26" s="3776">
        <v>0.74403253025117999</v>
      </c>
      <c r="R26" s="277" t="s">
        <v>2146</v>
      </c>
      <c r="S26" s="691">
        <v>6.5641342288590004E-2</v>
      </c>
      <c r="T26" s="3147">
        <v>2.0000000000000004</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2289.3359999999998</v>
      </c>
      <c r="D27" s="3250"/>
      <c r="E27" s="3250"/>
      <c r="F27" s="3250"/>
      <c r="G27" s="3250"/>
      <c r="H27" s="3250"/>
      <c r="I27" s="3260"/>
      <c r="J27" s="3301">
        <f t="shared" si="0"/>
        <v>22.881906500287855</v>
      </c>
      <c r="K27" s="3281">
        <f>K28</f>
        <v>52.384372299742992</v>
      </c>
      <c r="M27" s="1656"/>
      <c r="N27" s="4488"/>
      <c r="O27" s="1697"/>
      <c r="P27" s="1693" t="s">
        <v>793</v>
      </c>
      <c r="Q27" s="4208">
        <v>0.8</v>
      </c>
      <c r="R27" s="304" t="s">
        <v>2146</v>
      </c>
      <c r="S27" s="1559" t="s">
        <v>2146</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2289.3359999999998</v>
      </c>
      <c r="D28" s="3250"/>
      <c r="E28" s="3250"/>
      <c r="F28" s="3250"/>
      <c r="G28" s="3250"/>
      <c r="H28" s="3250"/>
      <c r="I28" s="3260"/>
      <c r="J28" s="3301">
        <f t="shared" si="0"/>
        <v>22.881906500287855</v>
      </c>
      <c r="K28" s="3281">
        <f>K29</f>
        <v>52.384372299742992</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2289.3359999999998</v>
      </c>
      <c r="D29" s="3325">
        <v>0.48450739239173002</v>
      </c>
      <c r="E29" s="3325">
        <v>99.515492607608266</v>
      </c>
      <c r="F29" s="3325" t="s">
        <v>2146</v>
      </c>
      <c r="G29" s="3305">
        <f>Table3.A!O10</f>
        <v>56.688001960851302</v>
      </c>
      <c r="H29" s="3033">
        <v>0.39694534792290997</v>
      </c>
      <c r="I29" s="3126">
        <v>0.45</v>
      </c>
      <c r="J29" s="3301">
        <f t="shared" si="0"/>
        <v>22.881906500287855</v>
      </c>
      <c r="K29" s="3277">
        <v>52.384372299742992</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74202.981</v>
      </c>
      <c r="D30" s="3250"/>
      <c r="E30" s="3250"/>
      <c r="F30" s="3250"/>
      <c r="G30" s="3250"/>
      <c r="H30" s="3250"/>
      <c r="I30" s="3260"/>
      <c r="J30" s="3301">
        <f t="shared" si="0"/>
        <v>5.1460212364478584E-2</v>
      </c>
      <c r="K30" s="3281">
        <f>SUM(K32:K39)</f>
        <v>3.8185011603373695</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6.4790000000000001</v>
      </c>
      <c r="D32" s="3325" t="s">
        <v>2146</v>
      </c>
      <c r="E32" s="3325">
        <v>47.985800277820658</v>
      </c>
      <c r="F32" s="3325">
        <v>52.014199722179342</v>
      </c>
      <c r="G32" s="3307" t="s">
        <v>2147</v>
      </c>
      <c r="H32" s="3307" t="s">
        <v>2147</v>
      </c>
      <c r="I32" s="3307" t="s">
        <v>2147</v>
      </c>
      <c r="J32" s="3301">
        <f t="shared" si="0"/>
        <v>7.4574370526463962</v>
      </c>
      <c r="K32" s="3277">
        <v>4.8316734664096E-2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2.76</v>
      </c>
      <c r="D33" s="3325" t="s">
        <v>2146</v>
      </c>
      <c r="E33" s="3325">
        <v>22.561291882459102</v>
      </c>
      <c r="F33" s="3325">
        <v>77.438708117540898</v>
      </c>
      <c r="G33" s="3307" t="s">
        <v>2147</v>
      </c>
      <c r="H33" s="3307" t="s">
        <v>2147</v>
      </c>
      <c r="I33" s="3307" t="s">
        <v>2147</v>
      </c>
      <c r="J33" s="3287">
        <f t="shared" si="0"/>
        <v>9.6369663528442917</v>
      </c>
      <c r="K33" s="3277">
        <v>2.6598027133850243E-2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45.573999999999998</v>
      </c>
      <c r="D34" s="3325" t="s">
        <v>2146</v>
      </c>
      <c r="E34" s="3325">
        <v>98.751481107649099</v>
      </c>
      <c r="F34" s="3325">
        <v>1.2485188923509001</v>
      </c>
      <c r="G34" s="3307" t="s">
        <v>2147</v>
      </c>
      <c r="H34" s="3307" t="s">
        <v>2147</v>
      </c>
      <c r="I34" s="3307" t="s">
        <v>2147</v>
      </c>
      <c r="J34" s="3287">
        <f t="shared" si="0"/>
        <v>1.0355438106824593</v>
      </c>
      <c r="K34" s="3277">
        <v>4.71938736280424E-2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513.26800000000003</v>
      </c>
      <c r="D35" s="3325" t="s">
        <v>2146</v>
      </c>
      <c r="E35" s="3325">
        <v>99.938044062750834</v>
      </c>
      <c r="F35" s="3325">
        <v>6.1955937249160001E-2</v>
      </c>
      <c r="G35" s="3307" t="s">
        <v>2147</v>
      </c>
      <c r="H35" s="3307" t="s">
        <v>2147</v>
      </c>
      <c r="I35" s="3307" t="s">
        <v>2147</v>
      </c>
      <c r="J35" s="3287">
        <f t="shared" si="0"/>
        <v>0.35795507087313611</v>
      </c>
      <c r="K35" s="3277">
        <v>0.18372688331691284</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257.96699999999998</v>
      </c>
      <c r="D36" s="3325" t="s">
        <v>2146</v>
      </c>
      <c r="E36" s="3325">
        <v>97.704353084605955</v>
      </c>
      <c r="F36" s="3325">
        <v>2.29564691539405</v>
      </c>
      <c r="G36" s="3307" t="s">
        <v>2147</v>
      </c>
      <c r="H36" s="3307" t="s">
        <v>2147</v>
      </c>
      <c r="I36" s="3307" t="s">
        <v>2147</v>
      </c>
      <c r="J36" s="3287">
        <f t="shared" si="0"/>
        <v>3.1963679608251492</v>
      </c>
      <c r="K36" s="3277">
        <v>0.8245574537501813</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0.67500000000000004</v>
      </c>
      <c r="D37" s="3325" t="s">
        <v>2146</v>
      </c>
      <c r="E37" s="3325">
        <v>92.872315356098269</v>
      </c>
      <c r="F37" s="3325">
        <v>7.1276846439017296</v>
      </c>
      <c r="G37" s="3307" t="s">
        <v>2147</v>
      </c>
      <c r="H37" s="3307" t="s">
        <v>2147</v>
      </c>
      <c r="I37" s="3307" t="s">
        <v>2147</v>
      </c>
      <c r="J37" s="3287">
        <f t="shared" si="0"/>
        <v>1.2039928025445148</v>
      </c>
      <c r="K37" s="3277">
        <v>8.1269514171754753E-4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73245.739000000001</v>
      </c>
      <c r="D38" s="3325">
        <v>1.06523284332838</v>
      </c>
      <c r="E38" s="3325">
        <v>98.934767156671626</v>
      </c>
      <c r="F38" s="3325" t="s">
        <v>2146</v>
      </c>
      <c r="G38" s="3307" t="s">
        <v>2147</v>
      </c>
      <c r="H38" s="3307" t="s">
        <v>2147</v>
      </c>
      <c r="I38" s="3307" t="s">
        <v>2147</v>
      </c>
      <c r="J38" s="3287">
        <f t="shared" si="0"/>
        <v>3.6052036566815639E-2</v>
      </c>
      <c r="K38" s="3277">
        <v>2.6406580607914343</v>
      </c>
      <c r="M38" s="1656"/>
      <c r="N38" s="4487"/>
      <c r="O38" s="1696"/>
      <c r="P38" s="1693" t="s">
        <v>792</v>
      </c>
      <c r="Q38" s="3776">
        <v>0.76225251562176999</v>
      </c>
      <c r="R38" s="277" t="s">
        <v>2146</v>
      </c>
      <c r="S38" s="277" t="s">
        <v>2146</v>
      </c>
      <c r="T38" s="3147" t="s">
        <v>2153</v>
      </c>
      <c r="U38" s="3147" t="s">
        <v>2146</v>
      </c>
      <c r="V38" s="3147">
        <v>2.1069350450964051E-2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130.51900000000001</v>
      </c>
      <c r="D39" s="3294"/>
      <c r="E39" s="3294"/>
      <c r="F39" s="3294"/>
      <c r="G39" s="3294"/>
      <c r="H39" s="3294"/>
      <c r="I39" s="3295"/>
      <c r="J39" s="3287">
        <f t="shared" si="0"/>
        <v>0.35732293314486679</v>
      </c>
      <c r="K39" s="3281">
        <f>SUM(K40:K44)</f>
        <v>4.6637431911134869E-2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65.468339721721605</v>
      </c>
      <c r="R41" s="277" t="s">
        <v>2146</v>
      </c>
      <c r="S41" s="277" t="s">
        <v>2146</v>
      </c>
      <c r="T41" s="3147" t="s">
        <v>2153</v>
      </c>
      <c r="U41" s="3147" t="s">
        <v>2153</v>
      </c>
      <c r="V41" s="3147">
        <v>27.139876949796495</v>
      </c>
      <c r="W41" s="3147" t="s">
        <v>2153</v>
      </c>
      <c r="X41" s="278" t="s">
        <v>2146</v>
      </c>
      <c r="Y41" s="278" t="s">
        <v>2146</v>
      </c>
      <c r="Z41" s="3147">
        <v>6.0442934940494304</v>
      </c>
      <c r="AA41" s="278" t="s">
        <v>2146</v>
      </c>
      <c r="AB41" s="2911">
        <v>22.771824996298999</v>
      </c>
    </row>
    <row r="42" spans="2:28" s="84" customFormat="1" ht="18" customHeight="1" thickBot="1" x14ac:dyDescent="0.25">
      <c r="B42" s="350" t="s">
        <v>828</v>
      </c>
      <c r="C42" s="3307">
        <f>Table3.A!C42</f>
        <v>8.5079999999999991</v>
      </c>
      <c r="D42" s="3325" t="s">
        <v>2146</v>
      </c>
      <c r="E42" s="3325">
        <v>100</v>
      </c>
      <c r="F42" s="3325" t="s">
        <v>2146</v>
      </c>
      <c r="G42" s="3307" t="s">
        <v>2147</v>
      </c>
      <c r="H42" s="3307" t="s">
        <v>2147</v>
      </c>
      <c r="I42" s="3307" t="s">
        <v>2147</v>
      </c>
      <c r="J42" s="3287">
        <f t="shared" si="0"/>
        <v>0.35731700333641625</v>
      </c>
      <c r="K42" s="3277">
        <v>3.040053064386229E-3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122.011</v>
      </c>
      <c r="D44" s="3294"/>
      <c r="E44" s="3294"/>
      <c r="F44" s="3294"/>
      <c r="G44" s="3294"/>
      <c r="H44" s="3294"/>
      <c r="I44" s="3295"/>
      <c r="J44" s="3287">
        <f t="shared" si="0"/>
        <v>0.35732334663881649</v>
      </c>
      <c r="K44" s="3281">
        <f>K45</f>
        <v>4.3597378846748643E-2</v>
      </c>
      <c r="M44" s="4491"/>
      <c r="N44" s="4492"/>
      <c r="O44" s="1696"/>
      <c r="P44" s="1693" t="s">
        <v>792</v>
      </c>
      <c r="Q44" s="3776">
        <v>0.75480784904405995</v>
      </c>
      <c r="R44" s="277" t="s">
        <v>2146</v>
      </c>
      <c r="S44" s="277" t="s">
        <v>2146</v>
      </c>
      <c r="T44" s="3147" t="s">
        <v>2153</v>
      </c>
      <c r="U44" s="3147" t="s">
        <v>2153</v>
      </c>
      <c r="V44" s="3147">
        <v>1.915414108100338</v>
      </c>
      <c r="W44" s="3147" t="s">
        <v>2153</v>
      </c>
      <c r="X44" s="278" t="s">
        <v>2146</v>
      </c>
      <c r="Y44" s="278" t="s">
        <v>2146</v>
      </c>
      <c r="Z44" s="3147">
        <v>0.1</v>
      </c>
      <c r="AA44" s="278" t="s">
        <v>2146</v>
      </c>
      <c r="AB44" s="2911">
        <v>3.9429134935350003E-2</v>
      </c>
    </row>
    <row r="45" spans="2:28" s="84" customFormat="1" ht="18" customHeight="1" thickBot="1" x14ac:dyDescent="0.25">
      <c r="B45" s="2648" t="s">
        <v>2199</v>
      </c>
      <c r="C45" s="4186">
        <f>Table3.A!C45</f>
        <v>122.011</v>
      </c>
      <c r="D45" s="3040" t="s">
        <v>2146</v>
      </c>
      <c r="E45" s="3040">
        <v>100</v>
      </c>
      <c r="F45" s="3040" t="s">
        <v>2146</v>
      </c>
      <c r="G45" s="3040" t="s">
        <v>2147</v>
      </c>
      <c r="H45" s="3040" t="s">
        <v>2147</v>
      </c>
      <c r="I45" s="3308" t="s">
        <v>2147</v>
      </c>
      <c r="J45" s="3309">
        <f t="shared" si="0"/>
        <v>0.35732334663881649</v>
      </c>
      <c r="K45" s="3278">
        <v>4.3597378846748643E-2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44.965844818759329</v>
      </c>
      <c r="U46" s="3773" t="s">
        <v>2146</v>
      </c>
      <c r="V46" s="3773" t="s">
        <v>2146</v>
      </c>
      <c r="W46" s="3773" t="s">
        <v>2153</v>
      </c>
      <c r="X46" s="3773">
        <v>2.5915635290925101</v>
      </c>
      <c r="Y46" s="3773">
        <v>18.475766083509399</v>
      </c>
      <c r="Z46" s="3773">
        <v>0.30330031191639001</v>
      </c>
      <c r="AA46" s="301" t="s">
        <v>2146</v>
      </c>
      <c r="AB46" s="3775">
        <v>97.408436470907503</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43.06207162876008</v>
      </c>
      <c r="U47" s="3147" t="s">
        <v>2146</v>
      </c>
      <c r="V47" s="3147" t="s">
        <v>2146</v>
      </c>
      <c r="W47" s="3147" t="s">
        <v>2153</v>
      </c>
      <c r="X47" s="3147">
        <v>2.7032214134800601</v>
      </c>
      <c r="Y47" s="3147">
        <v>18.8345030557768</v>
      </c>
      <c r="Z47" s="3147">
        <v>0.22038442762373001</v>
      </c>
      <c r="AA47" s="278" t="s">
        <v>2146</v>
      </c>
      <c r="AB47" s="2911">
        <v>97.296778586520006</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1.3784434490410001E-2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26550.089</v>
      </c>
      <c r="D10" s="3490"/>
      <c r="E10" s="3491"/>
      <c r="F10" s="3478">
        <f>F15</f>
        <v>30018728.923106849</v>
      </c>
      <c r="G10" s="3478" t="str">
        <f t="shared" ref="G10:R10" si="0">G15</f>
        <v>NO</v>
      </c>
      <c r="H10" s="3478">
        <f t="shared" si="0"/>
        <v>6791589.0408454603</v>
      </c>
      <c r="I10" s="3478">
        <f t="shared" si="0"/>
        <v>7936107.7769533983</v>
      </c>
      <c r="J10" s="3478" t="str">
        <f t="shared" si="0"/>
        <v>NO</v>
      </c>
      <c r="K10" s="3478">
        <f t="shared" si="0"/>
        <v>63457337.581857458</v>
      </c>
      <c r="L10" s="3478">
        <f t="shared" si="0"/>
        <v>7546555.0462407516</v>
      </c>
      <c r="M10" s="3478">
        <f t="shared" si="0"/>
        <v>1097342107.2291069</v>
      </c>
      <c r="N10" s="3478">
        <f t="shared" si="0"/>
        <v>7546555.0462407516</v>
      </c>
      <c r="O10" s="3478" t="str">
        <f t="shared" si="0"/>
        <v>NO</v>
      </c>
      <c r="P10" s="3478" t="str">
        <f t="shared" si="0"/>
        <v>NO</v>
      </c>
      <c r="Q10" s="3478" t="str">
        <f t="shared" si="0"/>
        <v>NO</v>
      </c>
      <c r="R10" s="3478">
        <f t="shared" si="0"/>
        <v>1220638980.6443517</v>
      </c>
      <c r="S10" s="2651"/>
      <c r="T10" s="2652"/>
      <c r="U10" s="3456">
        <f>IF(SUM(X10)=0,"NA",X10*1000/C10)</f>
        <v>2.6842993185913943E-2</v>
      </c>
      <c r="V10" s="3448"/>
      <c r="W10" s="3449"/>
      <c r="X10" s="3311">
        <f t="shared" ref="X10" si="1">X15</f>
        <v>0.71268385811240875</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26550.089</v>
      </c>
      <c r="D15" s="3493"/>
      <c r="E15" s="3493"/>
      <c r="F15" s="2649">
        <f>F20</f>
        <v>30018728.923106849</v>
      </c>
      <c r="G15" s="2649" t="str">
        <f t="shared" ref="G15:R15" si="2">G20</f>
        <v>NO</v>
      </c>
      <c r="H15" s="2649">
        <f t="shared" si="2"/>
        <v>6791589.0408454603</v>
      </c>
      <c r="I15" s="2649">
        <f t="shared" si="2"/>
        <v>7936107.7769533983</v>
      </c>
      <c r="J15" s="2649" t="str">
        <f t="shared" si="2"/>
        <v>NO</v>
      </c>
      <c r="K15" s="2649">
        <f t="shared" si="2"/>
        <v>63457337.581857458</v>
      </c>
      <c r="L15" s="2649">
        <f t="shared" si="2"/>
        <v>7546555.0462407516</v>
      </c>
      <c r="M15" s="2649">
        <f t="shared" si="2"/>
        <v>1097342107.2291069</v>
      </c>
      <c r="N15" s="2649">
        <f t="shared" si="2"/>
        <v>7546555.0462407516</v>
      </c>
      <c r="O15" s="2649" t="str">
        <f t="shared" si="2"/>
        <v>NO</v>
      </c>
      <c r="P15" s="2649" t="str">
        <f t="shared" si="2"/>
        <v>NO</v>
      </c>
      <c r="Q15" s="2649" t="str">
        <f t="shared" si="2"/>
        <v>NO</v>
      </c>
      <c r="R15" s="2649">
        <f t="shared" si="2"/>
        <v>1220638980.6443517</v>
      </c>
      <c r="S15" s="2657"/>
      <c r="T15" s="2658"/>
      <c r="U15" s="3456">
        <f>IF(SUM(X15)=0,"NA",X15*1000/C15)</f>
        <v>2.6842993185913943E-2</v>
      </c>
      <c r="V15" s="3454"/>
      <c r="W15" s="3455"/>
      <c r="X15" s="3314">
        <f t="shared" ref="X15" si="3">X20</f>
        <v>0.71268385811240875</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26550.089</v>
      </c>
      <c r="D20" s="3492"/>
      <c r="E20" s="3492"/>
      <c r="F20" s="2649">
        <f>IF(SUM(F21:F23)=0,"NO",SUM(F21:F23))</f>
        <v>30018728.923106849</v>
      </c>
      <c r="G20" s="2649" t="str">
        <f t="shared" ref="G20:Q20" si="6">IF(SUM(G21:G23)=0,"NO",SUM(G21:G23))</f>
        <v>NO</v>
      </c>
      <c r="H20" s="2649">
        <f t="shared" si="6"/>
        <v>6791589.0408454603</v>
      </c>
      <c r="I20" s="2649">
        <f t="shared" si="6"/>
        <v>7936107.7769533983</v>
      </c>
      <c r="J20" s="2649" t="str">
        <f t="shared" si="6"/>
        <v>NO</v>
      </c>
      <c r="K20" s="2649">
        <f t="shared" si="6"/>
        <v>63457337.581857458</v>
      </c>
      <c r="L20" s="2649">
        <f t="shared" si="6"/>
        <v>7546555.0462407516</v>
      </c>
      <c r="M20" s="2649">
        <f t="shared" si="6"/>
        <v>1097342107.2291069</v>
      </c>
      <c r="N20" s="2649">
        <f t="shared" si="6"/>
        <v>7546555.0462407516</v>
      </c>
      <c r="O20" s="2649" t="str">
        <f t="shared" si="6"/>
        <v>NO</v>
      </c>
      <c r="P20" s="2649" t="str">
        <f t="shared" si="6"/>
        <v>NO</v>
      </c>
      <c r="Q20" s="2649" t="str">
        <f t="shared" si="6"/>
        <v>NO</v>
      </c>
      <c r="R20" s="3482">
        <f>IF(SUM(F20:Q20)=0,"NO",SUM(F20:Q20))</f>
        <v>1220638980.6443517</v>
      </c>
      <c r="S20" s="2657"/>
      <c r="T20" s="2658"/>
      <c r="U20" s="3456">
        <f t="shared" si="4"/>
        <v>2.6842993185913943E-2</v>
      </c>
      <c r="V20" s="3454"/>
      <c r="W20" s="3455"/>
      <c r="X20" s="3314">
        <f t="shared" ref="X20" si="7">IF(SUM(X21:X23)=0,"NO",SUM(X21:X23))</f>
        <v>0.71268385811240875</v>
      </c>
      <c r="Y20" s="3173"/>
      <c r="Z20" s="3457"/>
    </row>
    <row r="21" spans="2:26" ht="18" customHeight="1" x14ac:dyDescent="0.2">
      <c r="B21" s="2647" t="s">
        <v>2196</v>
      </c>
      <c r="C21" s="3495">
        <f>Table3.A!C21</f>
        <v>2542.3589999999999</v>
      </c>
      <c r="D21" s="3307">
        <v>128.8626058334082</v>
      </c>
      <c r="E21" s="3494">
        <f>'Table3.B(a)'!G21</f>
        <v>469.30628135477099</v>
      </c>
      <c r="F21" s="3479">
        <v>29069529.780974101</v>
      </c>
      <c r="G21" s="3479" t="s">
        <v>2146</v>
      </c>
      <c r="H21" s="3479">
        <v>6791589.0408454603</v>
      </c>
      <c r="I21" s="3479">
        <v>7936107.7769533983</v>
      </c>
      <c r="J21" s="3479" t="s">
        <v>2146</v>
      </c>
      <c r="K21" s="3479" t="s">
        <v>2153</v>
      </c>
      <c r="L21" s="3479" t="s">
        <v>2146</v>
      </c>
      <c r="M21" s="3479">
        <v>283817779.10524499</v>
      </c>
      <c r="N21" s="3479" t="s">
        <v>2146</v>
      </c>
      <c r="O21" s="3479" t="s">
        <v>2146</v>
      </c>
      <c r="P21" s="3479" t="s">
        <v>2146</v>
      </c>
      <c r="Q21" s="3479" t="s">
        <v>2146</v>
      </c>
      <c r="R21" s="3482">
        <f t="shared" ref="R21:R45" si="8">IF(SUM(F21:Q21)=0,"NO",SUM(F21:Q21))</f>
        <v>327615005.70401794</v>
      </c>
      <c r="S21" s="2657"/>
      <c r="T21" s="2658"/>
      <c r="U21" s="3456">
        <f t="shared" si="4"/>
        <v>2.4526486044341208E-2</v>
      </c>
      <c r="V21" s="3454"/>
      <c r="W21" s="3455"/>
      <c r="X21" s="3315">
        <v>6.2355132533205265E-2</v>
      </c>
      <c r="Y21" s="3173"/>
      <c r="Z21" s="3457"/>
    </row>
    <row r="22" spans="2:26" ht="18" customHeight="1" x14ac:dyDescent="0.2">
      <c r="B22" s="2647" t="s">
        <v>2197</v>
      </c>
      <c r="C22" s="3495">
        <f>Table3.A!C22</f>
        <v>23262.667000000001</v>
      </c>
      <c r="D22" s="3307">
        <v>34.971240523657514</v>
      </c>
      <c r="E22" s="3494">
        <f>'Table3.B(a)'!G22</f>
        <v>363.4589570553</v>
      </c>
      <c r="F22" s="3483" t="s">
        <v>2146</v>
      </c>
      <c r="G22" s="3479" t="s">
        <v>2146</v>
      </c>
      <c r="H22" s="3483" t="s">
        <v>2146</v>
      </c>
      <c r="I22" s="3483" t="s">
        <v>2146</v>
      </c>
      <c r="J22" s="3483" t="s">
        <v>2146</v>
      </c>
      <c r="K22" s="3483" t="s">
        <v>2146</v>
      </c>
      <c r="L22" s="3483" t="s">
        <v>2146</v>
      </c>
      <c r="M22" s="3483">
        <v>813524328.12386203</v>
      </c>
      <c r="N22" s="3483" t="s">
        <v>2146</v>
      </c>
      <c r="O22" s="3483" t="s">
        <v>2146</v>
      </c>
      <c r="P22" s="3483" t="s">
        <v>2146</v>
      </c>
      <c r="Q22" s="3483" t="s">
        <v>2146</v>
      </c>
      <c r="R22" s="3482">
        <f t="shared" si="8"/>
        <v>813524328.12386203</v>
      </c>
      <c r="S22" s="2657"/>
      <c r="T22" s="2658"/>
      <c r="U22" s="3456" t="str">
        <f>IF(SUM(X22)=0,"NA",X22*1000/C22)</f>
        <v>NA</v>
      </c>
      <c r="V22" s="3454"/>
      <c r="W22" s="3455"/>
      <c r="X22" s="3315" t="s">
        <v>2147</v>
      </c>
      <c r="Y22" s="3173"/>
      <c r="Z22" s="3457"/>
    </row>
    <row r="23" spans="2:26" ht="18" customHeight="1" x14ac:dyDescent="0.2">
      <c r="B23" s="2647" t="s">
        <v>2198</v>
      </c>
      <c r="C23" s="3495">
        <f>Table3.A!C23</f>
        <v>745.06299999999999</v>
      </c>
      <c r="D23" s="3307">
        <v>70.776950942183063</v>
      </c>
      <c r="E23" s="3494">
        <f>'Table3.B(a)'!G23</f>
        <v>524.73704034096602</v>
      </c>
      <c r="F23" s="3483">
        <v>949199.14213274897</v>
      </c>
      <c r="G23" s="3479" t="s">
        <v>2146</v>
      </c>
      <c r="H23" s="3483" t="s">
        <v>2146</v>
      </c>
      <c r="I23" s="3483" t="s">
        <v>2153</v>
      </c>
      <c r="J23" s="3483" t="s">
        <v>2153</v>
      </c>
      <c r="K23" s="3483">
        <v>63457337.581857458</v>
      </c>
      <c r="L23" s="3483">
        <v>7546555.0462407516</v>
      </c>
      <c r="M23" s="3483" t="s">
        <v>2146</v>
      </c>
      <c r="N23" s="3483">
        <v>7546555.0462407516</v>
      </c>
      <c r="O23" s="3483" t="s">
        <v>2146</v>
      </c>
      <c r="P23" s="3483" t="s">
        <v>2146</v>
      </c>
      <c r="Q23" s="3483" t="s">
        <v>2146</v>
      </c>
      <c r="R23" s="3482">
        <f t="shared" si="8"/>
        <v>79499646.816471711</v>
      </c>
      <c r="S23" s="2657"/>
      <c r="T23" s="2658"/>
      <c r="U23" s="3456">
        <f t="shared" ref="U23:U30" si="9">IF(SUM(X23)=0,"NA",X23*1000/C23)</f>
        <v>0.87285065233302883</v>
      </c>
      <c r="V23" s="3454"/>
      <c r="W23" s="3455"/>
      <c r="X23" s="3315">
        <v>0.65032872557920351</v>
      </c>
      <c r="Y23" s="3173"/>
      <c r="Z23" s="3457"/>
    </row>
    <row r="24" spans="2:26" ht="18" customHeight="1" x14ac:dyDescent="0.2">
      <c r="B24" s="351" t="s">
        <v>811</v>
      </c>
      <c r="C24" s="3314">
        <f>C25</f>
        <v>68085.490000000005</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477164525.62975001</v>
      </c>
      <c r="N24" s="2649" t="str">
        <f t="shared" si="10"/>
        <v>NO</v>
      </c>
      <c r="O24" s="2649" t="str">
        <f t="shared" si="10"/>
        <v>NO</v>
      </c>
      <c r="P24" s="2649" t="str">
        <f t="shared" si="10"/>
        <v>NO</v>
      </c>
      <c r="Q24" s="2649" t="str">
        <f t="shared" si="10"/>
        <v>NO</v>
      </c>
      <c r="R24" s="3482">
        <f t="shared" si="8"/>
        <v>477164525.62975001</v>
      </c>
      <c r="S24" s="2657"/>
      <c r="T24" s="2658"/>
      <c r="U24" s="3456" t="str">
        <f t="shared" si="9"/>
        <v>NA</v>
      </c>
      <c r="V24" s="3454"/>
      <c r="W24" s="3455"/>
      <c r="X24" s="3314" t="str">
        <f t="shared" ref="X24:X25" si="11">X25</f>
        <v>NA</v>
      </c>
      <c r="Y24" s="3173"/>
      <c r="Z24" s="3457"/>
    </row>
    <row r="25" spans="2:26" ht="18" customHeight="1" x14ac:dyDescent="0.2">
      <c r="B25" s="350" t="s">
        <v>812</v>
      </c>
      <c r="C25" s="3314">
        <f>C26</f>
        <v>68085.490000000005</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477164525.62975001</v>
      </c>
      <c r="N25" s="2649" t="str">
        <f t="shared" si="10"/>
        <v>NO</v>
      </c>
      <c r="O25" s="2649" t="str">
        <f t="shared" si="10"/>
        <v>NO</v>
      </c>
      <c r="P25" s="2649" t="str">
        <f t="shared" si="10"/>
        <v>NO</v>
      </c>
      <c r="Q25" s="2649" t="str">
        <f t="shared" si="10"/>
        <v>NO</v>
      </c>
      <c r="R25" s="3482">
        <f t="shared" si="8"/>
        <v>477164525.62975001</v>
      </c>
      <c r="S25" s="2657"/>
      <c r="T25" s="2658"/>
      <c r="U25" s="3456" t="str">
        <f t="shared" si="9"/>
        <v>NA</v>
      </c>
      <c r="V25" s="3454"/>
      <c r="W25" s="3455"/>
      <c r="X25" s="3314" t="str">
        <f t="shared" si="11"/>
        <v>NA</v>
      </c>
      <c r="Y25" s="3173"/>
      <c r="Z25" s="3457"/>
    </row>
    <row r="26" spans="2:26" ht="18" customHeight="1" x14ac:dyDescent="0.2">
      <c r="B26" s="2642" t="s">
        <v>2201</v>
      </c>
      <c r="C26" s="3495">
        <f>Table3.A!C26</f>
        <v>68085.490000000005</v>
      </c>
      <c r="D26" s="3307">
        <v>7.0083144827150381</v>
      </c>
      <c r="E26" s="3494">
        <f>'Table3.B(a)'!G26</f>
        <v>45.143037820436803</v>
      </c>
      <c r="F26" s="3483" t="s">
        <v>2146</v>
      </c>
      <c r="G26" s="3479" t="s">
        <v>2146</v>
      </c>
      <c r="H26" s="3483" t="s">
        <v>2146</v>
      </c>
      <c r="I26" s="3483" t="s">
        <v>2146</v>
      </c>
      <c r="J26" s="3483" t="s">
        <v>2146</v>
      </c>
      <c r="K26" s="3483" t="s">
        <v>2146</v>
      </c>
      <c r="L26" s="3483" t="s">
        <v>2146</v>
      </c>
      <c r="M26" s="3479">
        <v>477164525.62975001</v>
      </c>
      <c r="N26" s="3483" t="s">
        <v>2146</v>
      </c>
      <c r="O26" s="3483" t="s">
        <v>2146</v>
      </c>
      <c r="P26" s="3483" t="s">
        <v>2146</v>
      </c>
      <c r="Q26" s="3483" t="s">
        <v>2146</v>
      </c>
      <c r="R26" s="3482">
        <f t="shared" si="8"/>
        <v>477164525.62975001</v>
      </c>
      <c r="S26" s="2657"/>
      <c r="T26" s="2658"/>
      <c r="U26" s="3456" t="str">
        <f t="shared" si="9"/>
        <v>NA</v>
      </c>
      <c r="V26" s="3454"/>
      <c r="W26" s="3455"/>
      <c r="X26" s="3315" t="s">
        <v>2147</v>
      </c>
      <c r="Y26" s="3173"/>
      <c r="Z26" s="3457"/>
    </row>
    <row r="27" spans="2:26" ht="18" customHeight="1" x14ac:dyDescent="0.2">
      <c r="B27" s="351" t="s">
        <v>814</v>
      </c>
      <c r="C27" s="3314">
        <f>C28</f>
        <v>2289.3359999999998</v>
      </c>
      <c r="D27" s="3492"/>
      <c r="E27" s="3492"/>
      <c r="F27" s="2649">
        <f>F28</f>
        <v>19632908.499058701</v>
      </c>
      <c r="G27" s="2649" t="str">
        <f t="shared" ref="G27:G28" si="12">G28</f>
        <v>NO</v>
      </c>
      <c r="H27" s="2649" t="str">
        <f t="shared" ref="H27:H28" si="13">H28</f>
        <v>NO</v>
      </c>
      <c r="I27" s="2649" t="str">
        <f t="shared" ref="I27:I28" si="14">I28</f>
        <v>IE</v>
      </c>
      <c r="J27" s="2649" t="str">
        <f t="shared" ref="J27:J28" si="15">J28</f>
        <v>IE</v>
      </c>
      <c r="K27" s="2649">
        <f t="shared" ref="K27:K28" si="16">K28</f>
        <v>7111633.4671103889</v>
      </c>
      <c r="L27" s="2649" t="str">
        <f t="shared" ref="L27:L28" si="17">L28</f>
        <v>IE</v>
      </c>
      <c r="M27" s="2649" t="str">
        <f t="shared" ref="M27:M28" si="18">M28</f>
        <v>NO</v>
      </c>
      <c r="N27" s="2649" t="str">
        <f t="shared" ref="N27:N28" si="19">N28</f>
        <v>NO</v>
      </c>
      <c r="O27" s="2649">
        <f t="shared" ref="O27:O28" si="20">O28</f>
        <v>1689332.2152165701</v>
      </c>
      <c r="P27" s="2649" t="str">
        <f t="shared" ref="P27:P28" si="21">P28</f>
        <v>NO</v>
      </c>
      <c r="Q27" s="2649">
        <f t="shared" ref="Q27:Q28" si="22">Q28</f>
        <v>6403781.27039437</v>
      </c>
      <c r="R27" s="3482">
        <f t="shared" si="8"/>
        <v>34837655.451780029</v>
      </c>
      <c r="S27" s="2657"/>
      <c r="T27" s="2658"/>
      <c r="U27" s="3456">
        <f t="shared" si="9"/>
        <v>8.0492963081403357E-2</v>
      </c>
      <c r="V27" s="3454"/>
      <c r="W27" s="3455"/>
      <c r="X27" s="3314">
        <f t="shared" ref="X27:X28" si="23">X28</f>
        <v>0.1842754381289276</v>
      </c>
      <c r="Y27" s="3173"/>
      <c r="Z27" s="3457"/>
    </row>
    <row r="28" spans="2:26" ht="18" customHeight="1" x14ac:dyDescent="0.2">
      <c r="B28" s="350" t="s">
        <v>815</v>
      </c>
      <c r="C28" s="3314">
        <f>C29</f>
        <v>2289.3359999999998</v>
      </c>
      <c r="D28" s="3492"/>
      <c r="E28" s="3492"/>
      <c r="F28" s="2649">
        <f>F29</f>
        <v>19632908.499058701</v>
      </c>
      <c r="G28" s="2649" t="str">
        <f t="shared" si="12"/>
        <v>NO</v>
      </c>
      <c r="H28" s="2649" t="str">
        <f t="shared" si="13"/>
        <v>NO</v>
      </c>
      <c r="I28" s="2649" t="str">
        <f t="shared" si="14"/>
        <v>IE</v>
      </c>
      <c r="J28" s="2649" t="str">
        <f t="shared" si="15"/>
        <v>IE</v>
      </c>
      <c r="K28" s="2649">
        <f t="shared" si="16"/>
        <v>7111633.4671103889</v>
      </c>
      <c r="L28" s="2649" t="str">
        <f t="shared" si="17"/>
        <v>IE</v>
      </c>
      <c r="M28" s="2649" t="str">
        <f t="shared" si="18"/>
        <v>NO</v>
      </c>
      <c r="N28" s="2649" t="str">
        <f t="shared" si="19"/>
        <v>NO</v>
      </c>
      <c r="O28" s="2649">
        <f t="shared" si="20"/>
        <v>1689332.2152165701</v>
      </c>
      <c r="P28" s="2649" t="str">
        <f t="shared" si="21"/>
        <v>NO</v>
      </c>
      <c r="Q28" s="2649">
        <f t="shared" si="22"/>
        <v>6403781.27039437</v>
      </c>
      <c r="R28" s="3482">
        <f t="shared" si="8"/>
        <v>34837655.451780029</v>
      </c>
      <c r="S28" s="2657"/>
      <c r="T28" s="2658"/>
      <c r="U28" s="3456">
        <f t="shared" si="9"/>
        <v>8.0492963081403357E-2</v>
      </c>
      <c r="V28" s="3454"/>
      <c r="W28" s="3455"/>
      <c r="X28" s="3314">
        <f t="shared" si="23"/>
        <v>0.1842754381289276</v>
      </c>
      <c r="Y28" s="3173"/>
      <c r="Z28" s="3457"/>
    </row>
    <row r="29" spans="2:26" ht="18" customHeight="1" x14ac:dyDescent="0.2">
      <c r="B29" s="2642" t="s">
        <v>817</v>
      </c>
      <c r="C29" s="3495">
        <f>Table3.A!C29</f>
        <v>2289.3359999999998</v>
      </c>
      <c r="D29" s="3307">
        <v>12.198648729540519</v>
      </c>
      <c r="E29" s="3494">
        <f>'Table3.B(a)'!G29</f>
        <v>56.688001960851302</v>
      </c>
      <c r="F29" s="3479">
        <v>19632908.499058701</v>
      </c>
      <c r="G29" s="3479" t="s">
        <v>2146</v>
      </c>
      <c r="H29" s="3479" t="s">
        <v>2146</v>
      </c>
      <c r="I29" s="3479" t="s">
        <v>2153</v>
      </c>
      <c r="J29" s="3479" t="s">
        <v>2153</v>
      </c>
      <c r="K29" s="3479">
        <v>7111633.4671103889</v>
      </c>
      <c r="L29" s="3479" t="s">
        <v>2153</v>
      </c>
      <c r="M29" s="3479" t="s">
        <v>2146</v>
      </c>
      <c r="N29" s="3479" t="s">
        <v>2146</v>
      </c>
      <c r="O29" s="3479">
        <v>1689332.2152165701</v>
      </c>
      <c r="P29" s="3479" t="s">
        <v>2146</v>
      </c>
      <c r="Q29" s="3479">
        <v>6403781.27039437</v>
      </c>
      <c r="R29" s="3482">
        <f t="shared" si="8"/>
        <v>34837655.451780029</v>
      </c>
      <c r="S29" s="2657"/>
      <c r="T29" s="2658"/>
      <c r="U29" s="3456">
        <f t="shared" si="9"/>
        <v>8.0492963081403357E-2</v>
      </c>
      <c r="V29" s="3454"/>
      <c r="W29" s="3455"/>
      <c r="X29" s="3315">
        <v>0.1842754381289276</v>
      </c>
      <c r="Y29" s="3173"/>
      <c r="Z29" s="3457"/>
    </row>
    <row r="30" spans="2:26" ht="18" customHeight="1" x14ac:dyDescent="0.2">
      <c r="B30" s="351" t="s">
        <v>861</v>
      </c>
      <c r="C30" s="3314">
        <f>IF(SUM(C32:C39)=0,"NO",SUM(C32:C39))</f>
        <v>74202.981</v>
      </c>
      <c r="D30" s="3492"/>
      <c r="E30" s="3492"/>
      <c r="F30" s="2649" t="str">
        <f>IF(SUM(F32:F39)=0,"NO",SUM(F32:F39))</f>
        <v>NO</v>
      </c>
      <c r="G30" s="2649" t="str">
        <f t="shared" ref="G30:Q30" si="24">IF(SUM(G32:G39)=0,"NO",SUM(G32:G39))</f>
        <v>NO</v>
      </c>
      <c r="H30" s="2649" t="str">
        <f t="shared" si="24"/>
        <v>NO</v>
      </c>
      <c r="I30" s="2649">
        <f t="shared" si="24"/>
        <v>17376135.382351674</v>
      </c>
      <c r="J30" s="2649" t="str">
        <f t="shared" si="24"/>
        <v>NO</v>
      </c>
      <c r="K30" s="2649" t="str">
        <f t="shared" si="24"/>
        <v>NO</v>
      </c>
      <c r="L30" s="2649" t="str">
        <f t="shared" si="24"/>
        <v>NO</v>
      </c>
      <c r="M30" s="2649">
        <f t="shared" si="24"/>
        <v>16989016.234808549</v>
      </c>
      <c r="N30" s="2649">
        <f t="shared" si="24"/>
        <v>7592350.6934350403</v>
      </c>
      <c r="O30" s="2649">
        <f t="shared" si="24"/>
        <v>89654.917034957907</v>
      </c>
      <c r="P30" s="2649" t="str">
        <f t="shared" si="24"/>
        <v>NO</v>
      </c>
      <c r="Q30" s="2649">
        <f t="shared" si="24"/>
        <v>47108097.872572199</v>
      </c>
      <c r="R30" s="3482">
        <f t="shared" si="8"/>
        <v>89155255.100202426</v>
      </c>
      <c r="S30" s="2657"/>
      <c r="T30" s="2658"/>
      <c r="U30" s="3456">
        <f t="shared" si="9"/>
        <v>4.4454030355801834E-3</v>
      </c>
      <c r="V30" s="3454"/>
      <c r="W30" s="3455"/>
      <c r="X30" s="3314">
        <f t="shared" ref="X30" si="25">IF(SUM(X32:X39)=0,"NO",SUM(X32:X39))</f>
        <v>0.32986215698649868</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6.4790000000000001</v>
      </c>
      <c r="D32" s="3307">
        <v>39.5</v>
      </c>
      <c r="E32" s="3494" t="str">
        <f>'Table3.B(a)'!G32</f>
        <v>NA</v>
      </c>
      <c r="F32" s="3479" t="s">
        <v>2146</v>
      </c>
      <c r="G32" s="3479" t="s">
        <v>2146</v>
      </c>
      <c r="H32" s="3479" t="s">
        <v>2146</v>
      </c>
      <c r="I32" s="3479" t="s">
        <v>2146</v>
      </c>
      <c r="J32" s="3479" t="s">
        <v>2146</v>
      </c>
      <c r="K32" s="3479" t="s">
        <v>2146</v>
      </c>
      <c r="L32" s="3479" t="s">
        <v>2146</v>
      </c>
      <c r="M32" s="3479">
        <v>255920.5</v>
      </c>
      <c r="N32" s="3479" t="s">
        <v>2146</v>
      </c>
      <c r="O32" s="3479" t="s">
        <v>2146</v>
      </c>
      <c r="P32" s="3479" t="s">
        <v>2146</v>
      </c>
      <c r="Q32" s="3479" t="s">
        <v>2146</v>
      </c>
      <c r="R32" s="3482">
        <f t="shared" si="8"/>
        <v>255920.5</v>
      </c>
      <c r="S32" s="2657"/>
      <c r="T32" s="2658"/>
      <c r="U32" s="3456" t="str">
        <f>IF(SUM(X32)=0,"NA",X32*1000/C32)</f>
        <v>NA</v>
      </c>
      <c r="V32" s="3454"/>
      <c r="W32" s="3455"/>
      <c r="X32" s="3315" t="s">
        <v>2147</v>
      </c>
      <c r="Y32" s="3173"/>
      <c r="Z32" s="3457"/>
    </row>
    <row r="33" spans="2:26" ht="18" customHeight="1" x14ac:dyDescent="0.2">
      <c r="B33" s="350" t="s">
        <v>819</v>
      </c>
      <c r="C33" s="3495">
        <f>Table3.A!C33</f>
        <v>2.76</v>
      </c>
      <c r="D33" s="3307">
        <v>39.5</v>
      </c>
      <c r="E33" s="3494" t="str">
        <f>'Table3.B(a)'!G33</f>
        <v>NA</v>
      </c>
      <c r="F33" s="3479" t="s">
        <v>2146</v>
      </c>
      <c r="G33" s="3479" t="s">
        <v>2146</v>
      </c>
      <c r="H33" s="3479" t="s">
        <v>2146</v>
      </c>
      <c r="I33" s="3479" t="s">
        <v>2146</v>
      </c>
      <c r="J33" s="3479" t="s">
        <v>2146</v>
      </c>
      <c r="K33" s="3479" t="s">
        <v>2146</v>
      </c>
      <c r="L33" s="3479" t="s">
        <v>2146</v>
      </c>
      <c r="M33" s="3479">
        <v>109026.2833238763</v>
      </c>
      <c r="N33" s="3479" t="s">
        <v>2146</v>
      </c>
      <c r="O33" s="3479" t="s">
        <v>2146</v>
      </c>
      <c r="P33" s="3479" t="s">
        <v>2146</v>
      </c>
      <c r="Q33" s="3479" t="s">
        <v>2146</v>
      </c>
      <c r="R33" s="3482">
        <f t="shared" si="8"/>
        <v>109026.2833238763</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45.573999999999998</v>
      </c>
      <c r="D34" s="3307">
        <v>13.2</v>
      </c>
      <c r="E34" s="3494" t="str">
        <f>'Table3.B(a)'!G34</f>
        <v>NA</v>
      </c>
      <c r="F34" s="3479" t="s">
        <v>2146</v>
      </c>
      <c r="G34" s="3479" t="s">
        <v>2146</v>
      </c>
      <c r="H34" s="3479" t="s">
        <v>2146</v>
      </c>
      <c r="I34" s="3479" t="s">
        <v>2146</v>
      </c>
      <c r="J34" s="3479" t="s">
        <v>2146</v>
      </c>
      <c r="K34" s="3479" t="s">
        <v>2146</v>
      </c>
      <c r="L34" s="3479" t="s">
        <v>2146</v>
      </c>
      <c r="M34" s="3479">
        <v>601576.79999999993</v>
      </c>
      <c r="N34" s="3479" t="s">
        <v>2146</v>
      </c>
      <c r="O34" s="3479" t="s">
        <v>2146</v>
      </c>
      <c r="P34" s="3479" t="s">
        <v>2146</v>
      </c>
      <c r="Q34" s="3479" t="s">
        <v>2146</v>
      </c>
      <c r="R34" s="3482">
        <f t="shared" si="8"/>
        <v>601576.79999999993</v>
      </c>
      <c r="S34" s="2657"/>
      <c r="T34" s="2658"/>
      <c r="U34" s="3456" t="str">
        <f t="shared" si="26"/>
        <v>NA</v>
      </c>
      <c r="V34" s="3454"/>
      <c r="W34" s="3455"/>
      <c r="X34" s="3315" t="s">
        <v>2147</v>
      </c>
      <c r="Y34" s="3173"/>
      <c r="Z34" s="3457"/>
    </row>
    <row r="35" spans="2:26" ht="18" customHeight="1" x14ac:dyDescent="0.2">
      <c r="B35" s="350" t="s">
        <v>821</v>
      </c>
      <c r="C35" s="3495">
        <f>Table3.A!C35</f>
        <v>513.26800000000003</v>
      </c>
      <c r="D35" s="3307">
        <v>7</v>
      </c>
      <c r="E35" s="3494" t="str">
        <f>'Table3.B(a)'!G35</f>
        <v>NA</v>
      </c>
      <c r="F35" s="3479" t="s">
        <v>2146</v>
      </c>
      <c r="G35" s="3479" t="s">
        <v>2146</v>
      </c>
      <c r="H35" s="3479" t="s">
        <v>2146</v>
      </c>
      <c r="I35" s="3479" t="s">
        <v>2146</v>
      </c>
      <c r="J35" s="3479" t="s">
        <v>2146</v>
      </c>
      <c r="K35" s="3479" t="s">
        <v>2146</v>
      </c>
      <c r="L35" s="3479" t="s">
        <v>2146</v>
      </c>
      <c r="M35" s="3479">
        <v>3592875.9999999995</v>
      </c>
      <c r="N35" s="3479" t="s">
        <v>2146</v>
      </c>
      <c r="O35" s="3479" t="s">
        <v>2146</v>
      </c>
      <c r="P35" s="3479" t="s">
        <v>2146</v>
      </c>
      <c r="Q35" s="3479" t="s">
        <v>2146</v>
      </c>
      <c r="R35" s="3482">
        <f t="shared" si="8"/>
        <v>3592875.9999999995</v>
      </c>
      <c r="S35" s="2657"/>
      <c r="T35" s="2658"/>
      <c r="U35" s="3456" t="str">
        <f t="shared" si="26"/>
        <v>NA</v>
      </c>
      <c r="V35" s="3454"/>
      <c r="W35" s="3455"/>
      <c r="X35" s="3315" t="s">
        <v>2147</v>
      </c>
      <c r="Y35" s="3173"/>
      <c r="Z35" s="3457"/>
    </row>
    <row r="36" spans="2:26" ht="18" customHeight="1" x14ac:dyDescent="0.2">
      <c r="B36" s="350" t="s">
        <v>822</v>
      </c>
      <c r="C36" s="3495">
        <f>Table3.A!C36</f>
        <v>257.96699999999998</v>
      </c>
      <c r="D36" s="3307">
        <v>39.5</v>
      </c>
      <c r="E36" s="3494" t="str">
        <f>'Table3.B(a)'!G36</f>
        <v>NA</v>
      </c>
      <c r="F36" s="3479" t="s">
        <v>2146</v>
      </c>
      <c r="G36" s="3479" t="s">
        <v>2146</v>
      </c>
      <c r="H36" s="3479" t="s">
        <v>2146</v>
      </c>
      <c r="I36" s="3479" t="s">
        <v>2146</v>
      </c>
      <c r="J36" s="3479" t="s">
        <v>2146</v>
      </c>
      <c r="K36" s="3479" t="s">
        <v>2146</v>
      </c>
      <c r="L36" s="3479" t="s">
        <v>2146</v>
      </c>
      <c r="M36" s="3479">
        <v>10189676.75</v>
      </c>
      <c r="N36" s="3479" t="s">
        <v>2146</v>
      </c>
      <c r="O36" s="3479" t="s">
        <v>2146</v>
      </c>
      <c r="P36" s="3479" t="s">
        <v>2146</v>
      </c>
      <c r="Q36" s="3479" t="s">
        <v>2146</v>
      </c>
      <c r="R36" s="3482">
        <f t="shared" si="8"/>
        <v>10189676.75</v>
      </c>
      <c r="S36" s="2657"/>
      <c r="T36" s="2658"/>
      <c r="U36" s="3456" t="str">
        <f t="shared" si="26"/>
        <v>NA</v>
      </c>
      <c r="V36" s="3454"/>
      <c r="W36" s="3455"/>
      <c r="X36" s="3315" t="s">
        <v>2147</v>
      </c>
      <c r="Y36" s="3173"/>
      <c r="Z36" s="3457"/>
    </row>
    <row r="37" spans="2:26" ht="18" customHeight="1" x14ac:dyDescent="0.2">
      <c r="B37" s="350" t="s">
        <v>862</v>
      </c>
      <c r="C37" s="3495">
        <f>Table3.A!C37</f>
        <v>0.67500000000000004</v>
      </c>
      <c r="D37" s="3307">
        <v>13.2</v>
      </c>
      <c r="E37" s="3494" t="str">
        <f>'Table3.B(a)'!G37</f>
        <v>NA</v>
      </c>
      <c r="F37" s="3479" t="s">
        <v>2146</v>
      </c>
      <c r="G37" s="3479" t="s">
        <v>2146</v>
      </c>
      <c r="H37" s="3479" t="s">
        <v>2146</v>
      </c>
      <c r="I37" s="3479" t="s">
        <v>2146</v>
      </c>
      <c r="J37" s="3479" t="s">
        <v>2146</v>
      </c>
      <c r="K37" s="3479" t="s">
        <v>2146</v>
      </c>
      <c r="L37" s="3479" t="s">
        <v>2146</v>
      </c>
      <c r="M37" s="3479">
        <v>8913.6544238958195</v>
      </c>
      <c r="N37" s="3479" t="s">
        <v>2146</v>
      </c>
      <c r="O37" s="3479" t="s">
        <v>2146</v>
      </c>
      <c r="P37" s="3479" t="s">
        <v>2146</v>
      </c>
      <c r="Q37" s="3479" t="s">
        <v>2146</v>
      </c>
      <c r="R37" s="3482">
        <f t="shared" si="8"/>
        <v>8913.6544238958195</v>
      </c>
      <c r="S37" s="2657"/>
      <c r="T37" s="2658"/>
      <c r="U37" s="3456" t="str">
        <f t="shared" si="26"/>
        <v>NA</v>
      </c>
      <c r="V37" s="3454"/>
      <c r="W37" s="3455"/>
      <c r="X37" s="3315" t="s">
        <v>2147</v>
      </c>
      <c r="Y37" s="3173"/>
      <c r="Z37" s="3457"/>
    </row>
    <row r="38" spans="2:26" ht="18" customHeight="1" x14ac:dyDescent="0.2">
      <c r="B38" s="350" t="s">
        <v>824</v>
      </c>
      <c r="C38" s="3495">
        <f>Table3.A!C38</f>
        <v>73245.739000000001</v>
      </c>
      <c r="D38" s="3307">
        <v>0.66113729954836997</v>
      </c>
      <c r="E38" s="3494" t="str">
        <f>'Table3.B(a)'!G38</f>
        <v>NA</v>
      </c>
      <c r="F38" s="3479" t="s">
        <v>2146</v>
      </c>
      <c r="G38" s="3479" t="s">
        <v>2146</v>
      </c>
      <c r="H38" s="3479" t="s">
        <v>2146</v>
      </c>
      <c r="I38" s="3479">
        <v>17376135.382351674</v>
      </c>
      <c r="J38" s="3479" t="s">
        <v>2153</v>
      </c>
      <c r="K38" s="3479" t="s">
        <v>2153</v>
      </c>
      <c r="L38" s="3479" t="s">
        <v>2153</v>
      </c>
      <c r="M38" s="3479">
        <v>1317392.2657312001</v>
      </c>
      <c r="N38" s="3479">
        <v>7592350.6934350403</v>
      </c>
      <c r="O38" s="3479">
        <v>89654.917034957907</v>
      </c>
      <c r="P38" s="3479" t="s">
        <v>2146</v>
      </c>
      <c r="Q38" s="3479">
        <v>47108097.872572199</v>
      </c>
      <c r="R38" s="3482">
        <f t="shared" si="8"/>
        <v>73483631.131125063</v>
      </c>
      <c r="S38" s="2657"/>
      <c r="T38" s="2658"/>
      <c r="U38" s="3456">
        <f t="shared" si="26"/>
        <v>4.5034996095335827E-3</v>
      </c>
      <c r="V38" s="3454"/>
      <c r="W38" s="3455"/>
      <c r="X38" s="3315">
        <v>0.32986215698649868</v>
      </c>
      <c r="Y38" s="3173"/>
      <c r="Z38" s="3457"/>
    </row>
    <row r="39" spans="2:26" ht="18" customHeight="1" x14ac:dyDescent="0.2">
      <c r="B39" s="350" t="s">
        <v>825</v>
      </c>
      <c r="C39" s="3314">
        <f>IF(SUM(C40:C44)=0,"NO",SUM(C40:C44))</f>
        <v>130.51900000000001</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913633.98132957541</v>
      </c>
      <c r="N39" s="2649" t="str">
        <f t="shared" si="27"/>
        <v>NO</v>
      </c>
      <c r="O39" s="2649" t="str">
        <f t="shared" si="27"/>
        <v>NO</v>
      </c>
      <c r="P39" s="2649" t="str">
        <f t="shared" si="27"/>
        <v>NO</v>
      </c>
      <c r="Q39" s="2649" t="str">
        <f t="shared" si="27"/>
        <v>NO</v>
      </c>
      <c r="R39" s="3482">
        <f t="shared" si="8"/>
        <v>913633.98132957541</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8.5079999999999991</v>
      </c>
      <c r="D42" s="3307">
        <v>7</v>
      </c>
      <c r="E42" s="3494" t="str">
        <f>'Table3.B(a)'!G42</f>
        <v>NA</v>
      </c>
      <c r="F42" s="3479" t="s">
        <v>2146</v>
      </c>
      <c r="G42" s="3479" t="s">
        <v>2146</v>
      </c>
      <c r="H42" s="3479" t="s">
        <v>2146</v>
      </c>
      <c r="I42" s="3479" t="s">
        <v>2146</v>
      </c>
      <c r="J42" s="3479" t="s">
        <v>2146</v>
      </c>
      <c r="K42" s="3479" t="s">
        <v>2146</v>
      </c>
      <c r="L42" s="3479" t="s">
        <v>2146</v>
      </c>
      <c r="M42" s="3479">
        <v>59555.075630252031</v>
      </c>
      <c r="N42" s="3479" t="s">
        <v>2146</v>
      </c>
      <c r="O42" s="3479" t="s">
        <v>2146</v>
      </c>
      <c r="P42" s="3479" t="s">
        <v>2146</v>
      </c>
      <c r="Q42" s="3479" t="s">
        <v>2146</v>
      </c>
      <c r="R42" s="3482">
        <f t="shared" si="8"/>
        <v>59555.075630252031</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122.011</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854078.9056993234</v>
      </c>
      <c r="N44" s="2649" t="str">
        <f t="shared" si="28"/>
        <v>NO</v>
      </c>
      <c r="O44" s="2649" t="str">
        <f t="shared" si="28"/>
        <v>NO</v>
      </c>
      <c r="P44" s="2649" t="str">
        <f t="shared" si="28"/>
        <v>NO</v>
      </c>
      <c r="Q44" s="2649" t="str">
        <f t="shared" si="28"/>
        <v>NO</v>
      </c>
      <c r="R44" s="3482">
        <f t="shared" si="8"/>
        <v>854078.9056993234</v>
      </c>
      <c r="S44" s="2657"/>
      <c r="T44" s="2658"/>
      <c r="U44" s="3456" t="str">
        <f t="shared" si="26"/>
        <v>NA</v>
      </c>
      <c r="V44" s="3454"/>
      <c r="W44" s="3455"/>
      <c r="X44" s="3314" t="str">
        <f>X45</f>
        <v>NA</v>
      </c>
      <c r="Y44" s="3173"/>
      <c r="Z44" s="3457"/>
    </row>
    <row r="45" spans="2:26" ht="18" customHeight="1" x14ac:dyDescent="0.2">
      <c r="B45" s="2646" t="s">
        <v>2199</v>
      </c>
      <c r="C45" s="3495">
        <f>Table3.A!C45</f>
        <v>122.011</v>
      </c>
      <c r="D45" s="3307">
        <v>7</v>
      </c>
      <c r="E45" s="3494" t="str">
        <f>'Table3.B(a)'!G45</f>
        <v>NA</v>
      </c>
      <c r="F45" s="3479" t="s">
        <v>2146</v>
      </c>
      <c r="G45" s="3479" t="s">
        <v>2146</v>
      </c>
      <c r="H45" s="3479" t="s">
        <v>2146</v>
      </c>
      <c r="I45" s="3479" t="s">
        <v>2146</v>
      </c>
      <c r="J45" s="3479" t="s">
        <v>2146</v>
      </c>
      <c r="K45" s="3479" t="s">
        <v>2146</v>
      </c>
      <c r="L45" s="3479" t="s">
        <v>2146</v>
      </c>
      <c r="M45" s="3479">
        <v>854078.9056993234</v>
      </c>
      <c r="N45" s="3479" t="s">
        <v>2146</v>
      </c>
      <c r="O45" s="3479" t="s">
        <v>2146</v>
      </c>
      <c r="P45" s="3479" t="s">
        <v>2146</v>
      </c>
      <c r="Q45" s="3479" t="s">
        <v>2146</v>
      </c>
      <c r="R45" s="3482">
        <f t="shared" si="8"/>
        <v>854078.9056993234</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82389569.111884996</v>
      </c>
      <c r="T46" s="3447">
        <v>327178.07572911802</v>
      </c>
      <c r="U46" s="3466"/>
      <c r="V46" s="3467">
        <f>IF(SUM(S46)=0,"NA",Y46*1000000/S46)</f>
        <v>3.6563189623936361E-3</v>
      </c>
      <c r="W46" s="3468">
        <f>IF(SUM(T46)=0,"NA",Z46*1000000/T46)</f>
        <v>1.7285714285714304E-2</v>
      </c>
      <c r="X46" s="3316"/>
      <c r="Y46" s="3320">
        <v>0.30124254384722615</v>
      </c>
      <c r="Z46" s="3321">
        <v>5.655506737603332E-3</v>
      </c>
    </row>
    <row r="47" spans="2:26" ht="18" customHeight="1" x14ac:dyDescent="0.2">
      <c r="B47" s="358" t="s">
        <v>863</v>
      </c>
      <c r="C47" s="359"/>
      <c r="D47" s="359"/>
      <c r="E47" s="359"/>
      <c r="F47" s="3485">
        <f>IF(SUM(F30,F27,F24,F10)=0,"NO",SUM(F30,F27,F24,F10))</f>
        <v>49651637.42216555</v>
      </c>
      <c r="G47" s="3485" t="str">
        <f t="shared" ref="G47:Q47" si="29">IF(SUM(G30,G27,G24,G10)=0,"NO",SUM(G30,G27,G24,G10))</f>
        <v>NO</v>
      </c>
      <c r="H47" s="3485">
        <f t="shared" si="29"/>
        <v>6791589.0408454603</v>
      </c>
      <c r="I47" s="3485">
        <f t="shared" si="29"/>
        <v>25312243.159305073</v>
      </c>
      <c r="J47" s="3485" t="str">
        <f t="shared" si="29"/>
        <v>NO</v>
      </c>
      <c r="K47" s="3485">
        <f t="shared" si="29"/>
        <v>70568971.048967853</v>
      </c>
      <c r="L47" s="3485">
        <f t="shared" si="29"/>
        <v>7546555.0462407516</v>
      </c>
      <c r="M47" s="3409"/>
      <c r="N47" s="3485">
        <f t="shared" si="29"/>
        <v>15138905.739675792</v>
      </c>
      <c r="O47" s="3485">
        <f t="shared" si="29"/>
        <v>1778987.1322515281</v>
      </c>
      <c r="P47" s="3409"/>
      <c r="Q47" s="3485">
        <f t="shared" si="29"/>
        <v>53511879.142966568</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3.2356952429913391E-2</v>
      </c>
      <c r="J48" s="3486" t="str">
        <f t="shared" si="30"/>
        <v>NA</v>
      </c>
      <c r="K48" s="3486" t="str">
        <f t="shared" si="30"/>
        <v>NA</v>
      </c>
      <c r="L48" s="3486" t="str">
        <f t="shared" si="30"/>
        <v>NA</v>
      </c>
      <c r="M48" s="87"/>
      <c r="N48" s="3486">
        <f t="shared" si="30"/>
        <v>1.5714285714285365E-2</v>
      </c>
      <c r="O48" s="3486" t="str">
        <f t="shared" si="30"/>
        <v>NA</v>
      </c>
      <c r="P48" s="87"/>
      <c r="Q48" s="3486">
        <f t="shared" si="30"/>
        <v>3.1749457868782537E-3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0.81902704780003499</v>
      </c>
      <c r="J49" s="3487" t="s">
        <v>2153</v>
      </c>
      <c r="K49" s="3487" t="s">
        <v>2153</v>
      </c>
      <c r="L49" s="3487" t="s">
        <v>2153</v>
      </c>
      <c r="M49" s="3474"/>
      <c r="N49" s="3488">
        <v>0.23789709019489999</v>
      </c>
      <c r="O49" s="3488" t="s">
        <v>2147</v>
      </c>
      <c r="P49" s="3474"/>
      <c r="Q49" s="3488">
        <v>0.1698973152329</v>
      </c>
      <c r="R49" s="1312"/>
      <c r="S49" s="1313"/>
      <c r="T49" s="1314"/>
      <c r="U49" s="3473">
        <f>X49*1000/SUM(C10,C24,C27,C30)</f>
        <v>7.1690325300781763E-3</v>
      </c>
      <c r="V49" s="3474"/>
      <c r="W49" s="3475"/>
      <c r="X49" s="3319">
        <f>SUM(X10,X24,X27,X30)</f>
        <v>1.226821453227835</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3.0081359000000001</v>
      </c>
    </row>
    <row r="11" spans="1:9" ht="18" customHeight="1" x14ac:dyDescent="0.2">
      <c r="B11" s="439" t="s">
        <v>876</v>
      </c>
      <c r="C11" s="4147">
        <v>0.18931000000000001</v>
      </c>
      <c r="D11" s="243" t="s">
        <v>2146</v>
      </c>
      <c r="E11" s="283" t="s">
        <v>2146</v>
      </c>
      <c r="F11" s="2305">
        <f>IF(SUM(C11)=0,"NA",G11/C11)</f>
        <v>15.89</v>
      </c>
      <c r="G11" s="3093">
        <v>3.0081359000000001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0.18931000000000001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29.684437108390494</v>
      </c>
      <c r="H10" s="397" t="s">
        <v>897</v>
      </c>
      <c r="I10" s="398" t="s">
        <v>898</v>
      </c>
      <c r="J10" s="399">
        <v>0.21</v>
      </c>
    </row>
    <row r="11" spans="2:10" ht="24" customHeight="1" x14ac:dyDescent="0.2">
      <c r="B11" s="2431" t="s">
        <v>1949</v>
      </c>
      <c r="C11" s="2432" t="s">
        <v>899</v>
      </c>
      <c r="D11" s="3720">
        <v>981787.33089891402</v>
      </c>
      <c r="E11" s="3714">
        <f>IF(SUM(D11)=0,"NA",F11*1000/D11/(44/28))</f>
        <v>3.7495371034676353E-3</v>
      </c>
      <c r="F11" s="3425">
        <v>5.7848183248741831</v>
      </c>
      <c r="H11" s="397" t="s">
        <v>900</v>
      </c>
      <c r="I11" s="398" t="s">
        <v>901</v>
      </c>
      <c r="J11" s="399">
        <v>0.24</v>
      </c>
    </row>
    <row r="12" spans="2:10" ht="24" customHeight="1" thickBot="1" x14ac:dyDescent="0.25">
      <c r="B12" s="2431" t="s">
        <v>1950</v>
      </c>
      <c r="C12" s="2433" t="s">
        <v>902</v>
      </c>
      <c r="D12" s="3721">
        <f>IF(SUM(D13:D15)=0,"NO",SUM(D13:D15))</f>
        <v>96744.826076247613</v>
      </c>
      <c r="E12" s="3715">
        <f t="shared" ref="E12:E23" si="0">IF(SUM(D12)=0,"NA",F12*1000/D12/(44/28))</f>
        <v>8.971774380847156E-3</v>
      </c>
      <c r="F12" s="3426">
        <f>IF(SUM(F13:F15)=0,"NO",SUM(F13:F15))</f>
        <v>1.3639571818249021</v>
      </c>
      <c r="H12" s="407" t="s">
        <v>903</v>
      </c>
      <c r="I12" s="408" t="s">
        <v>2147</v>
      </c>
      <c r="J12" s="2668" t="s">
        <v>2147</v>
      </c>
    </row>
    <row r="13" spans="2:10" ht="24" customHeight="1" x14ac:dyDescent="0.2">
      <c r="B13" s="2431" t="s">
        <v>904</v>
      </c>
      <c r="C13" s="2432" t="s">
        <v>905</v>
      </c>
      <c r="D13" s="3722">
        <v>86331.825025647006</v>
      </c>
      <c r="E13" s="3714">
        <f t="shared" si="0"/>
        <v>8.9683699190301475E-3</v>
      </c>
      <c r="F13" s="3425">
        <v>1.2166875955378362</v>
      </c>
      <c r="H13" s="1436" t="s">
        <v>906</v>
      </c>
      <c r="I13" s="1078"/>
      <c r="J13" s="1078"/>
    </row>
    <row r="14" spans="2:10" ht="24" customHeight="1" x14ac:dyDescent="0.2">
      <c r="B14" s="2431" t="s">
        <v>907</v>
      </c>
      <c r="C14" s="2432" t="s">
        <v>908</v>
      </c>
      <c r="D14" s="3722">
        <v>10413.0010506006</v>
      </c>
      <c r="E14" s="3714">
        <f t="shared" si="0"/>
        <v>9.0000000000000115E-3</v>
      </c>
      <c r="F14" s="3425">
        <v>0.1472695862870658</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1591495.6490936647</v>
      </c>
      <c r="E16" s="3714">
        <f t="shared" si="0"/>
        <v>4.0000000000000001E-3</v>
      </c>
      <c r="F16" s="3425">
        <v>10.003686937160179</v>
      </c>
    </row>
    <row r="17" spans="2:11" ht="24" customHeight="1" x14ac:dyDescent="0.2">
      <c r="B17" s="2431" t="s">
        <v>913</v>
      </c>
      <c r="C17" s="2432" t="s">
        <v>914</v>
      </c>
      <c r="D17" s="3722">
        <v>772346.92809372314</v>
      </c>
      <c r="E17" s="3714">
        <f t="shared" si="0"/>
        <v>9.9999999999999985E-3</v>
      </c>
      <c r="F17" s="3425">
        <v>12.136880298615647</v>
      </c>
    </row>
    <row r="18" spans="2:11" ht="24" customHeight="1" x14ac:dyDescent="0.2">
      <c r="B18" s="2431" t="s">
        <v>1951</v>
      </c>
      <c r="C18" s="2432" t="s">
        <v>915</v>
      </c>
      <c r="D18" s="3722">
        <v>97711.843700411904</v>
      </c>
      <c r="E18" s="3716">
        <f t="shared" si="0"/>
        <v>1.9999999999999992E-3</v>
      </c>
      <c r="F18" s="3427">
        <v>0.30709436591558015</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9.1498491245533504</v>
      </c>
    </row>
    <row r="22" spans="2:11" ht="24" customHeight="1" x14ac:dyDescent="0.2">
      <c r="B22" s="2438" t="s">
        <v>1953</v>
      </c>
      <c r="C22" s="2432" t="s">
        <v>919</v>
      </c>
      <c r="D22" s="3722">
        <v>462422.97617405601</v>
      </c>
      <c r="E22" s="3714">
        <f t="shared" si="0"/>
        <v>2.7700813108522079E-3</v>
      </c>
      <c r="F22" s="3425">
        <v>2.0129202405846418</v>
      </c>
    </row>
    <row r="23" spans="2:11" ht="24" customHeight="1" thickBot="1" x14ac:dyDescent="0.25">
      <c r="B23" s="410" t="s">
        <v>920</v>
      </c>
      <c r="C23" s="411" t="s">
        <v>921</v>
      </c>
      <c r="D23" s="3725">
        <v>413874.15165219299</v>
      </c>
      <c r="E23" s="3719">
        <f t="shared" si="0"/>
        <v>1.0973582184199041E-2</v>
      </c>
      <c r="F23" s="3430">
        <v>7.1369288839687091</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21834012</v>
      </c>
      <c r="N9" s="4179">
        <v>7864551</v>
      </c>
      <c r="O9" s="4179">
        <v>328028.53999999998</v>
      </c>
      <c r="P9" s="4180">
        <v>1507635</v>
      </c>
      <c r="Q9" s="4180">
        <v>1161605</v>
      </c>
      <c r="R9" s="4180">
        <v>278126.83259615401</v>
      </c>
      <c r="S9" s="4180">
        <v>196685</v>
      </c>
      <c r="T9" s="4180">
        <v>545000.00000000105</v>
      </c>
      <c r="U9" s="4180">
        <v>2245809</v>
      </c>
      <c r="V9" s="4180">
        <v>29834514</v>
      </c>
      <c r="W9" s="4180">
        <v>27427.55581708176</v>
      </c>
      <c r="X9" s="4181">
        <v>1965941</v>
      </c>
    </row>
    <row r="10" spans="2:24" ht="18" customHeight="1" thickTop="1" x14ac:dyDescent="0.2">
      <c r="B10" s="437" t="s">
        <v>947</v>
      </c>
      <c r="C10" s="376"/>
      <c r="D10" s="438"/>
      <c r="E10" s="438"/>
      <c r="F10" s="4149">
        <f>IF(SUM(F11:F14)=0,"NO",SUM(F11:F14))</f>
        <v>2818.7105111052042</v>
      </c>
      <c r="G10" s="4150">
        <f>IF(SUM($F10)=0,"NA",I10/$F10*1000)</f>
        <v>1.8730302592570349</v>
      </c>
      <c r="H10" s="4151">
        <f>IF(SUM($F10)=0,"NA",J10/$F10*1000)</f>
        <v>7.5427942048851809E-2</v>
      </c>
      <c r="I10" s="3192">
        <f>IF(SUM(I11:I14)=0,"NO",SUM(I11:I14))</f>
        <v>5.2795300793859097</v>
      </c>
      <c r="J10" s="420">
        <f>IF(SUM(J11:J14)=0,"NO",SUM(J11:J14))</f>
        <v>0.21260953308413277</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1790.9191048833</v>
      </c>
      <c r="G11" s="4153">
        <f>IF(SUM($F11)=0,"NA",I11/$F11*1000)</f>
        <v>1.866666666666666</v>
      </c>
      <c r="H11" s="4154">
        <f>IF(SUM($F11)=0,"NA",J11/$F11*1000)</f>
        <v>7.1657142857142836E-2</v>
      </c>
      <c r="I11" s="3326">
        <v>3.3430489957821585</v>
      </c>
      <c r="J11" s="3327">
        <v>0.12833214614420899</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555.19428076762199</v>
      </c>
      <c r="G12" s="4155">
        <f t="shared" ref="G12:G28" si="0">IF(SUM($F12)=0,"NA",I12/$F12*1000)</f>
        <v>1.8666666666666663</v>
      </c>
      <c r="H12" s="4154">
        <f t="shared" ref="H12:H28" si="1">IF(SUM($F12)=0,"NA",J12/$F12*1000)</f>
        <v>8.3599999999999966E-2</v>
      </c>
      <c r="I12" s="3180">
        <v>1.0363626574328941</v>
      </c>
      <c r="J12" s="3327">
        <v>4.6414241872173183E-2</v>
      </c>
      <c r="L12" s="1324" t="s">
        <v>952</v>
      </c>
      <c r="M12" s="4177">
        <v>0.12945751198089001</v>
      </c>
      <c r="N12" s="4177">
        <v>0.13478000119538</v>
      </c>
      <c r="O12" s="4177">
        <v>0.14256751693218001</v>
      </c>
      <c r="P12" s="4178">
        <v>0.11769606166752</v>
      </c>
      <c r="Q12" s="4178">
        <v>0.13445585497699</v>
      </c>
      <c r="R12" s="4178">
        <v>0.12876331171982999</v>
      </c>
      <c r="S12" s="4178">
        <v>0.81499999999999995</v>
      </c>
      <c r="T12" s="4178">
        <v>0.18082239588457999</v>
      </c>
      <c r="U12" s="4178">
        <v>0.1270451359883677</v>
      </c>
      <c r="V12" s="4178">
        <v>0.31563844814096853</v>
      </c>
      <c r="W12" s="4178">
        <v>6.2766995304401177E-2</v>
      </c>
      <c r="X12" s="4152">
        <v>0.11858325089669312</v>
      </c>
    </row>
    <row r="13" spans="2:24" ht="18" customHeight="1" thickBot="1" x14ac:dyDescent="0.25">
      <c r="B13" s="439" t="s">
        <v>953</v>
      </c>
      <c r="C13" s="440" t="s">
        <v>2147</v>
      </c>
      <c r="D13" s="440" t="s">
        <v>2147</v>
      </c>
      <c r="E13" s="440" t="s">
        <v>2147</v>
      </c>
      <c r="F13" s="4152">
        <v>30.910597090108801</v>
      </c>
      <c r="G13" s="4155">
        <f t="shared" si="0"/>
        <v>1.96</v>
      </c>
      <c r="H13" s="4154">
        <f t="shared" si="1"/>
        <v>5.9714285714285713E-2</v>
      </c>
      <c r="I13" s="3180">
        <v>6.0584770296613251E-2</v>
      </c>
      <c r="J13" s="3327">
        <v>1.8458042262379255E-3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441.68652836417345</v>
      </c>
      <c r="G14" s="4157">
        <f t="shared" si="0"/>
        <v>1.9007454426639023</v>
      </c>
      <c r="H14" s="4158">
        <f t="shared" si="1"/>
        <v>8.1545029174664233E-2</v>
      </c>
      <c r="I14" s="3199">
        <f>IF(SUM(I15:I19)=0,"NO",SUM(I15:I19))</f>
        <v>0.83953365587424311</v>
      </c>
      <c r="J14" s="3085">
        <f>IF(SUM(J15:J19)=0,"NO",SUM(J15:J19))</f>
        <v>3.6017340841512688E-2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102.206996312897</v>
      </c>
      <c r="G15" s="4159">
        <f t="shared" si="0"/>
        <v>1.8666666666666607</v>
      </c>
      <c r="H15" s="4160">
        <f t="shared" si="1"/>
        <v>9.554285714285686E-2</v>
      </c>
      <c r="I15" s="3328">
        <v>0.19078639311740714</v>
      </c>
      <c r="J15" s="3327">
        <v>9.7651484477236164E-3</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93.680768610393699</v>
      </c>
      <c r="G16" s="4161">
        <f t="shared" si="0"/>
        <v>1.8666666666666678</v>
      </c>
      <c r="H16" s="4162">
        <f t="shared" si="1"/>
        <v>7.1657142857142891E-2</v>
      </c>
      <c r="I16" s="3329">
        <v>0.17487076807273499</v>
      </c>
      <c r="J16" s="3327">
        <v>6.7128962192819289E-3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22.0857317611867</v>
      </c>
      <c r="G17" s="4161">
        <f t="shared" si="0"/>
        <v>1.8666666666666634</v>
      </c>
      <c r="H17" s="4162">
        <f t="shared" si="1"/>
        <v>7.1657142857142725E-2</v>
      </c>
      <c r="I17" s="3329">
        <v>4.1226699287548435E-2</v>
      </c>
      <c r="J17" s="3327">
        <v>1.5826004359158897E-3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161.27288851200001</v>
      </c>
      <c r="G18" s="4161">
        <f t="shared" si="0"/>
        <v>1.9599999999999995</v>
      </c>
      <c r="H18" s="4162">
        <f t="shared" si="1"/>
        <v>8.3599999999999994E-2</v>
      </c>
      <c r="I18" s="3329">
        <v>0.31609486148351995</v>
      </c>
      <c r="J18" s="3327">
        <v>1.34824134796032E-2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62.440143167696</v>
      </c>
      <c r="G19" s="4161">
        <f t="shared" si="0"/>
        <v>1.8666666666666674</v>
      </c>
      <c r="H19" s="4162">
        <f t="shared" si="1"/>
        <v>7.1657142857142891E-2</v>
      </c>
      <c r="I19" s="3329">
        <v>0.11655493391303258</v>
      </c>
      <c r="J19" s="3327">
        <v>4.4742822589880467E-3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163.234486550989</v>
      </c>
      <c r="G20" s="4165">
        <f t="shared" si="0"/>
        <v>1.8666666666666725</v>
      </c>
      <c r="H20" s="4166">
        <f t="shared" si="1"/>
        <v>0.10748571428571459</v>
      </c>
      <c r="I20" s="3220">
        <f>I21</f>
        <v>0.30470437489518043</v>
      </c>
      <c r="J20" s="449">
        <f>J21</f>
        <v>1.7545375382994926E-2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163.234486550989</v>
      </c>
      <c r="G21" s="4168">
        <f t="shared" si="0"/>
        <v>1.8666666666666725</v>
      </c>
      <c r="H21" s="4158">
        <f t="shared" si="1"/>
        <v>0.10748571428571459</v>
      </c>
      <c r="I21" s="3199">
        <f>I22</f>
        <v>0.30470437489518043</v>
      </c>
      <c r="J21" s="3085">
        <f>J22</f>
        <v>1.7545375382994926E-2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163.234486550989</v>
      </c>
      <c r="G22" s="4170">
        <f t="shared" si="0"/>
        <v>1.8666666666666725</v>
      </c>
      <c r="H22" s="4171">
        <f t="shared" si="1"/>
        <v>0.10748571428571459</v>
      </c>
      <c r="I22" s="3330">
        <v>0.30470437489518043</v>
      </c>
      <c r="J22" s="3331">
        <v>1.7545375382994926E-2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452.0121456</v>
      </c>
      <c r="G26" s="4175">
        <f t="shared" si="0"/>
        <v>1.8666666666666665</v>
      </c>
      <c r="H26" s="4176">
        <f t="shared" si="1"/>
        <v>5.9714285714285706E-2</v>
      </c>
      <c r="I26" s="3332">
        <v>0.84375600511999993</v>
      </c>
      <c r="J26" s="3333">
        <v>2.699158240868571E-2</v>
      </c>
      <c r="L26" s="159"/>
    </row>
    <row r="27" spans="2:24" ht="18" customHeight="1" x14ac:dyDescent="0.2">
      <c r="B27" s="446" t="s">
        <v>963</v>
      </c>
      <c r="C27" s="447"/>
      <c r="D27" s="448"/>
      <c r="E27" s="448"/>
      <c r="F27" s="4164">
        <f>IF(SUM(F28:F29)=0,"NO",SUM(F28:F29))</f>
        <v>224.15183226786073</v>
      </c>
      <c r="G27" s="4165">
        <f t="shared" si="0"/>
        <v>1.866961195578045</v>
      </c>
      <c r="H27" s="4166">
        <f t="shared" si="1"/>
        <v>0.1077495280391947</v>
      </c>
      <c r="I27" s="3220">
        <f>IF(SUM(I28:I29)=0,"NO",SUM(I28:I29))</f>
        <v>0.41848277276181467</v>
      </c>
      <c r="J27" s="449">
        <f>IF(SUM(J28:J29)=0,"NO",SUM(J28:J29))</f>
        <v>2.4152254135982727E-2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0.70734851937972998</v>
      </c>
      <c r="G28" s="4161">
        <f t="shared" si="0"/>
        <v>1.959999999999996</v>
      </c>
      <c r="H28" s="4162">
        <f t="shared" si="1"/>
        <v>0.19108571428571391</v>
      </c>
      <c r="I28" s="3329">
        <v>1.3864030979842681E-3</v>
      </c>
      <c r="J28" s="3327">
        <v>1.3516419707461786E-4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223.44448374848099</v>
      </c>
      <c r="G29" s="4161">
        <f t="shared" ref="G29" si="2">IF(SUM($F29)=0,"NA",I29/$F29*1000)</f>
        <v>1.8666666666666631</v>
      </c>
      <c r="H29" s="4162">
        <f t="shared" ref="H29" si="3">IF(SUM($F29)=0,"NA",J29/$F29*1000)</f>
        <v>0.10748571428571407</v>
      </c>
      <c r="I29" s="3329">
        <v>0.4170963696638304</v>
      </c>
      <c r="J29" s="3327">
        <v>2.4017089938908109E-2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1252.8287349164823</v>
      </c>
    </row>
    <row r="11" spans="2:5" s="83" customFormat="1" ht="18" customHeight="1" x14ac:dyDescent="0.2">
      <c r="B11" s="1854" t="s">
        <v>972</v>
      </c>
      <c r="C11" s="4187">
        <v>2921743.03352038</v>
      </c>
      <c r="D11" s="3594">
        <f>IF(SUM(C11)=0,"NA",E11*1000/(44/12)/C11)</f>
        <v>0.10799999999999983</v>
      </c>
      <c r="E11" s="3431">
        <v>1157.0102412740687</v>
      </c>
    </row>
    <row r="12" spans="2:5" s="83" customFormat="1" ht="18" customHeight="1" x14ac:dyDescent="0.2">
      <c r="B12" s="1854" t="s">
        <v>973</v>
      </c>
      <c r="C12" s="4187">
        <v>211597.70403183001</v>
      </c>
      <c r="D12" s="3594">
        <f t="shared" ref="D12:D16" si="0">IF(SUM(C12)=0,"NA",E12*1000/(44/12)/C12)</f>
        <v>0.12349999999999986</v>
      </c>
      <c r="E12" s="3431">
        <v>95.818493642413586</v>
      </c>
    </row>
    <row r="13" spans="2:5" s="83" customFormat="1" ht="18" customHeight="1" x14ac:dyDescent="0.2">
      <c r="B13" s="846" t="s">
        <v>974</v>
      </c>
      <c r="C13" s="4188">
        <v>1276786.4160875301</v>
      </c>
      <c r="D13" s="4189">
        <f t="shared" si="0"/>
        <v>0.19999999999999954</v>
      </c>
      <c r="E13" s="3432">
        <v>936.31003846418662</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41156.259006938919</v>
      </c>
      <c r="D10" s="2989">
        <f t="shared" ref="D10:H10" si="0">IF(SUM(D11,D14,D17,D20,D23,D26,D29:D30)=0,"NO",SUM(D11,D14,D17,D20,D23,D26,D29:D30))</f>
        <v>713.72309577205283</v>
      </c>
      <c r="E10" s="2989">
        <f t="shared" si="0"/>
        <v>18.941080441607788</v>
      </c>
      <c r="F10" s="2989">
        <f t="shared" si="0"/>
        <v>947.97315421127655</v>
      </c>
      <c r="G10" s="2989">
        <f t="shared" si="0"/>
        <v>24884.156094352857</v>
      </c>
      <c r="H10" s="2990">
        <f t="shared" si="0"/>
        <v>673.02198136472259</v>
      </c>
      <c r="I10" s="2991">
        <f>IF(SUM(C10:E10)=0,"NO",SUM(C10)+28*SUM(D10)+265*SUM(E10))</f>
        <v>66159.892005582456</v>
      </c>
    </row>
    <row r="11" spans="2:9" ht="18" customHeight="1" x14ac:dyDescent="0.2">
      <c r="B11" s="473" t="s">
        <v>981</v>
      </c>
      <c r="C11" s="2992">
        <f>IF(SUM(C12:C13)=0,"NO",SUM(C12:C13))</f>
        <v>-27019.47421927566</v>
      </c>
      <c r="D11" s="2992">
        <f t="shared" ref="D11:H11" si="1">IF(SUM(D12:D13)=0,"NO",SUM(D12:D13))</f>
        <v>303.23904347840033</v>
      </c>
      <c r="E11" s="2992">
        <f t="shared" si="1"/>
        <v>6.4809922444469352</v>
      </c>
      <c r="F11" s="2992">
        <f t="shared" si="1"/>
        <v>299.32317168375289</v>
      </c>
      <c r="G11" s="2992">
        <f t="shared" si="1"/>
        <v>8174.0090772648728</v>
      </c>
      <c r="H11" s="2993">
        <f t="shared" si="1"/>
        <v>314.26522737645848</v>
      </c>
      <c r="I11" s="2994">
        <f t="shared" ref="I11:I32" si="2">IF(SUM(C11:E11)=0,"NO",SUM(C11)+28*SUM(D11)+265*SUM(E11))</f>
        <v>-16811.318057102013</v>
      </c>
    </row>
    <row r="12" spans="2:9" ht="18" customHeight="1" x14ac:dyDescent="0.2">
      <c r="B12" s="474" t="s">
        <v>982</v>
      </c>
      <c r="C12" s="2995">
        <f>IF(SUM(Table4.A!U11,'Table4(IV)'!J12)=0,"NO",SUM(Table4.A!U11,'Table4(IV)'!J12))</f>
        <v>2425.7987931373291</v>
      </c>
      <c r="D12" s="2995">
        <f>'Table4(IV)'!K12</f>
        <v>300.36860055928048</v>
      </c>
      <c r="E12" s="2995">
        <f>IF(SUM('Table4(III)'!I12,'Table4(IV)'!L12)=0,"NO",SUM('Table4(III)'!I12,'Table4(IV)'!L12))</f>
        <v>5.7491934409916485</v>
      </c>
      <c r="F12" s="2905">
        <v>297.451286008941</v>
      </c>
      <c r="G12" s="2905">
        <v>8102.657084643688</v>
      </c>
      <c r="H12" s="2906">
        <v>306.01264443362555</v>
      </c>
      <c r="I12" s="2996">
        <f t="shared" si="2"/>
        <v>12359.655870659972</v>
      </c>
    </row>
    <row r="13" spans="2:9" ht="18" customHeight="1" thickBot="1" x14ac:dyDescent="0.25">
      <c r="B13" s="475" t="s">
        <v>983</v>
      </c>
      <c r="C13" s="2997">
        <f>IF(SUM(Table4.A!U16,'Table4(IV)'!J19)=0,"NO",SUM(Table4.A!U16,'Table4(IV)'!J19))</f>
        <v>-29445.273012412988</v>
      </c>
      <c r="D13" s="2997">
        <f>'Table4(IV)'!K19</f>
        <v>2.8704429191198697</v>
      </c>
      <c r="E13" s="2997">
        <f>IF(SUM('Table4(III)'!I13,'Table4(IV)'!L19)=0,"NO",SUM('Table4(III)'!I13,'Table4(IV)'!L19))</f>
        <v>0.73179880345528636</v>
      </c>
      <c r="F13" s="2908">
        <v>1.8718856748119115</v>
      </c>
      <c r="G13" s="2908">
        <v>71.351992621184948</v>
      </c>
      <c r="H13" s="2907">
        <v>8.2525829428329054</v>
      </c>
      <c r="I13" s="2998">
        <f t="shared" si="2"/>
        <v>-29170.973927761981</v>
      </c>
    </row>
    <row r="14" spans="2:9" ht="18" customHeight="1" x14ac:dyDescent="0.2">
      <c r="B14" s="473" t="s">
        <v>984</v>
      </c>
      <c r="C14" s="2992">
        <f>IF(SUM(C15:C16)=0,"NO",SUM(C15:C16))</f>
        <v>5069.6846030701599</v>
      </c>
      <c r="D14" s="2992">
        <f t="shared" ref="D14" si="3">IF(SUM(D15:D16)=0,"NO",SUM(D15:D16))</f>
        <v>2.0539079999999998</v>
      </c>
      <c r="E14" s="2992">
        <f t="shared" ref="E14" si="4">IF(SUM(E15:E16)=0,"NO",SUM(E15:E16))</f>
        <v>0.17767911098095823</v>
      </c>
      <c r="F14" s="2992">
        <f t="shared" ref="F14" si="5">IF(SUM(F15:F16)=0,"NO",SUM(F15:F16))</f>
        <v>1.5465438214285712</v>
      </c>
      <c r="G14" s="2992">
        <f t="shared" ref="G14" si="6">IF(SUM(G15:G16)=0,"NO",SUM(G15:G16))</f>
        <v>60.571268333333336</v>
      </c>
      <c r="H14" s="2993">
        <f t="shared" ref="H14" si="7">IF(SUM(H15:H16)=0,"NO",SUM(H15:H16))</f>
        <v>7.3218016666666665</v>
      </c>
      <c r="I14" s="2999">
        <f t="shared" si="2"/>
        <v>5174.2789914801133</v>
      </c>
    </row>
    <row r="15" spans="2:9" ht="18" customHeight="1" x14ac:dyDescent="0.2">
      <c r="B15" s="474" t="s">
        <v>985</v>
      </c>
      <c r="C15" s="2995">
        <f>IF(SUM(Table4.B!S11,'Table4(IV)'!J26)=0,"NO",SUM(Table4.B!S11,'Table4(IV)'!J26))</f>
        <v>1648.098762928448</v>
      </c>
      <c r="D15" s="2995" t="str">
        <f>'Table4(IV)'!K26</f>
        <v>IE</v>
      </c>
      <c r="E15" s="2995" t="str">
        <f>'Table4(IV)'!L26</f>
        <v>IE</v>
      </c>
      <c r="F15" s="2905" t="s">
        <v>2153</v>
      </c>
      <c r="G15" s="2905" t="s">
        <v>2153</v>
      </c>
      <c r="H15" s="2906" t="s">
        <v>2153</v>
      </c>
      <c r="I15" s="2996">
        <f t="shared" si="2"/>
        <v>1648.098762928448</v>
      </c>
    </row>
    <row r="16" spans="2:9" ht="18" customHeight="1" thickBot="1" x14ac:dyDescent="0.25">
      <c r="B16" s="475" t="s">
        <v>986</v>
      </c>
      <c r="C16" s="2997">
        <f>IF(SUM(Table4.B!S13,'Table4(IV)'!J31)=0,"IE",SUM(Table4.B!S13,'Table4(IV)'!J31))</f>
        <v>3421.5858401417117</v>
      </c>
      <c r="D16" s="2997">
        <f>'Table4(IV)'!K31</f>
        <v>2.0539079999999998</v>
      </c>
      <c r="E16" s="2997">
        <f>IF(SUM('Table4(III)'!I21,'Table4(IV)'!L31)=0,"IE",SUM('Table4(III)'!I21,'Table4(IV)'!L31))</f>
        <v>0.17767911098095823</v>
      </c>
      <c r="F16" s="2908">
        <v>1.5465438214285712</v>
      </c>
      <c r="G16" s="2908">
        <v>60.571268333333336</v>
      </c>
      <c r="H16" s="2907">
        <v>7.3218016666666665</v>
      </c>
      <c r="I16" s="2998">
        <f t="shared" si="2"/>
        <v>3526.1802285516656</v>
      </c>
    </row>
    <row r="17" spans="2:9" ht="18" customHeight="1" x14ac:dyDescent="0.2">
      <c r="B17" s="473" t="s">
        <v>987</v>
      </c>
      <c r="C17" s="2992">
        <f>IF(SUM(C18:C19)=0,"NO",SUM(C18:C19))</f>
        <v>61752.143609332081</v>
      </c>
      <c r="D17" s="2992">
        <f t="shared" ref="D17" si="8">IF(SUM(D18:D19)=0,"NO",SUM(D18:D19))</f>
        <v>314.34671154198963</v>
      </c>
      <c r="E17" s="2992">
        <f t="shared" ref="E17" si="9">IF(SUM(E18:E19)=0,"NO",SUM(E18:E19))</f>
        <v>11.676561444354057</v>
      </c>
      <c r="F17" s="2992">
        <f t="shared" ref="F17" si="10">IF(SUM(F18:F19)=0,"NO",SUM(F18:F19))</f>
        <v>616.73060785954272</v>
      </c>
      <c r="G17" s="2992">
        <f t="shared" ref="G17" si="11">IF(SUM(G18:G19)=0,"NO",SUM(G18:G19))</f>
        <v>15888.964924916374</v>
      </c>
      <c r="H17" s="2993">
        <f t="shared" ref="H17" si="12">IF(SUM(H18:H19)=0,"NO",SUM(H18:H19))</f>
        <v>340.93013576228464</v>
      </c>
      <c r="I17" s="2999">
        <f t="shared" si="2"/>
        <v>73648.140315261611</v>
      </c>
    </row>
    <row r="18" spans="2:9" ht="18" customHeight="1" x14ac:dyDescent="0.2">
      <c r="B18" s="474" t="s">
        <v>988</v>
      </c>
      <c r="C18" s="2995">
        <f>IF(SUM(Table4.C!S11,'Table4(IV)'!J37)=0,"IE",SUM(Table4.C!S11,'Table4(IV)'!J37))</f>
        <v>1883.3901629497682</v>
      </c>
      <c r="D18" s="2995">
        <f>'Table4(IV)'!K37</f>
        <v>252.22736254490061</v>
      </c>
      <c r="E18" s="2995">
        <f>IF(SUM('Table4(III)'!I29,'Table4(IV)'!L37)=0,"NO",SUM('Table4(III)'!I29,'Table4(IV)'!L37))</f>
        <v>9.3755971420691804</v>
      </c>
      <c r="F18" s="2905">
        <v>568.84012397645552</v>
      </c>
      <c r="G18" s="2905">
        <v>14041.84261444117</v>
      </c>
      <c r="H18" s="2906">
        <v>123.06908299036445</v>
      </c>
      <c r="I18" s="2996">
        <f t="shared" si="2"/>
        <v>11430.289556855318</v>
      </c>
    </row>
    <row r="19" spans="2:9" ht="18" customHeight="1" thickBot="1" x14ac:dyDescent="0.25">
      <c r="B19" s="475" t="s">
        <v>989</v>
      </c>
      <c r="C19" s="2997">
        <f>IF(SUM(Table4.C!S15,'Table4(IV)'!J42)=0,"IE",SUM(Table4.C!S15,'Table4(IV)'!J42))</f>
        <v>59868.75344638231</v>
      </c>
      <c r="D19" s="2997">
        <f>'Table4(IV)'!K42</f>
        <v>62.119348997089006</v>
      </c>
      <c r="E19" s="2997">
        <f>IF(SUM('Table4(III)'!I30,'Table4(IV)'!L42)=0,"NO",SUM('Table4(III)'!I30,'Table4(IV)'!L42))</f>
        <v>2.3009643022848758</v>
      </c>
      <c r="F19" s="2908">
        <v>47.89048388308715</v>
      </c>
      <c r="G19" s="2908">
        <v>1847.122310475205</v>
      </c>
      <c r="H19" s="2907">
        <v>217.86105277192016</v>
      </c>
      <c r="I19" s="2998">
        <f t="shared" si="2"/>
        <v>62217.850758406297</v>
      </c>
    </row>
    <row r="20" spans="2:9" ht="18" customHeight="1" x14ac:dyDescent="0.2">
      <c r="B20" s="473" t="s">
        <v>2027</v>
      </c>
      <c r="C20" s="2992">
        <f>IF(SUM(C21:C22)=0,"NO",SUM(C21:C22))</f>
        <v>1008.7166343037356</v>
      </c>
      <c r="D20" s="2992">
        <f t="shared" ref="D20" si="13">IF(SUM(D21:D22)=0,"NO",SUM(D21:D22))</f>
        <v>91.258541551662887</v>
      </c>
      <c r="E20" s="2992">
        <f t="shared" ref="E20" si="14">IF(SUM(E21:E22)=0,"NO",SUM(E21:E22))</f>
        <v>0.37992872291407936</v>
      </c>
      <c r="F20" s="2992">
        <f t="shared" ref="F20" si="15">IF(SUM(F21:F22)=0,"NO",SUM(F21:F22))</f>
        <v>28.245755032266651</v>
      </c>
      <c r="G20" s="2992">
        <f t="shared" ref="G20" si="16">IF(SUM(G21:G22)=0,"NO",SUM(G21:G22))</f>
        <v>677.3026898382783</v>
      </c>
      <c r="H20" s="2993">
        <f t="shared" ref="H20" si="17">IF(SUM(H21:H22)=0,"NO",SUM(H21:H22))</f>
        <v>0.43460255931289526</v>
      </c>
      <c r="I20" s="2999">
        <f t="shared" si="2"/>
        <v>3664.6369093225276</v>
      </c>
    </row>
    <row r="21" spans="2:9" ht="18" customHeight="1" x14ac:dyDescent="0.2">
      <c r="B21" s="474" t="s">
        <v>990</v>
      </c>
      <c r="C21" s="2995">
        <f>IF(SUM(Table4.D!S11,'Table4(IV)'!J49)=0,"IE",SUM(Table4.D!S11,'Table4(IV)'!J49))</f>
        <v>656.7569676370689</v>
      </c>
      <c r="D21" s="2995">
        <f>IF(SUM('Table4(IV)'!K49,'Table4(II)'!J270)=0,"NO",SUM('Table4(IV)'!K49,'Table4(II)'!J270))</f>
        <v>89.052699669371222</v>
      </c>
      <c r="E21" s="2995">
        <f>IF(SUM('Table4(II)'!I270,'Table4(III)'!I38,'Table4(IV)'!L49)=0,"NO",SUM('Table4(II)'!I270,'Table4(III)'!I38,'Table4(IV)'!L49))</f>
        <v>0.37992872291407936</v>
      </c>
      <c r="F21" s="2905">
        <v>28.245755032266651</v>
      </c>
      <c r="G21" s="2905">
        <v>677.3026898382783</v>
      </c>
      <c r="H21" s="2906">
        <v>0.43460255931289526</v>
      </c>
      <c r="I21" s="2996">
        <f t="shared" si="2"/>
        <v>3250.9136699516944</v>
      </c>
    </row>
    <row r="22" spans="2:9" ht="18" customHeight="1" thickBot="1" x14ac:dyDescent="0.25">
      <c r="B22" s="475" t="s">
        <v>991</v>
      </c>
      <c r="C22" s="2997">
        <f>IF(SUM(Table4.D!S23,'Table4(II)'!H320,'Table4(IV)'!J54)=0,"NO",SUM(Table4.D!S23,'Table4(II)'!H320,'Table4(IV)'!J54))</f>
        <v>351.95966666666669</v>
      </c>
      <c r="D22" s="2997">
        <f>IF(SUM('Table4(IV)'!K54,'Table4(II)'!J320)=0,"NO",SUM('Table4(IV)'!K54,'Table4(II)'!J320))</f>
        <v>2.2058418822916663</v>
      </c>
      <c r="E22" s="2997" t="str">
        <f>IF(SUM('Table4(II)'!I320,'Table4(III)'!I39,'Table4(IV)'!L54)=0,"NO",SUM('Table4(II)'!I320,'Table4(III)'!I39,'Table4(IV)'!L54))</f>
        <v>NO</v>
      </c>
      <c r="F22" s="2908" t="s">
        <v>2153</v>
      </c>
      <c r="G22" s="2908" t="s">
        <v>2153</v>
      </c>
      <c r="H22" s="2907" t="s">
        <v>2153</v>
      </c>
      <c r="I22" s="2998">
        <f t="shared" si="2"/>
        <v>413.72323937083337</v>
      </c>
    </row>
    <row r="23" spans="2:9" ht="18" customHeight="1" x14ac:dyDescent="0.2">
      <c r="B23" s="473" t="s">
        <v>992</v>
      </c>
      <c r="C23" s="2992">
        <f>IF(SUM(C24:C25)=0,"NO",SUM(C24:C25))</f>
        <v>4573.2206086710739</v>
      </c>
      <c r="D23" s="2992">
        <f t="shared" ref="D23" si="18">IF(SUM(D24:D25)=0,"NO",SUM(D24:D25))</f>
        <v>2.8248912000000002</v>
      </c>
      <c r="E23" s="2992">
        <f t="shared" ref="E23" si="19">IF(SUM(E24:E25)=0,"NO",SUM(E24:E25))</f>
        <v>9.8030806978341115E-2</v>
      </c>
      <c r="F23" s="2992">
        <f>IF(SUM(F24:F25)=0,"NO",SUM(F24:F25))</f>
        <v>2.127075814285714</v>
      </c>
      <c r="G23" s="2992">
        <f t="shared" ref="G23" si="20">IF(SUM(G24:G25)=0,"NO",SUM(G24:G25))</f>
        <v>83.30813400000001</v>
      </c>
      <c r="H23" s="2993">
        <f t="shared" ref="H23" si="21">IF(SUM(H24:H25)=0,"NO",SUM(H24:H25))</f>
        <v>10.070214</v>
      </c>
      <c r="I23" s="2999">
        <f t="shared" si="2"/>
        <v>4678.2957261203346</v>
      </c>
    </row>
    <row r="24" spans="2:9" ht="18" customHeight="1" x14ac:dyDescent="0.2">
      <c r="B24" s="474" t="s">
        <v>993</v>
      </c>
      <c r="C24" s="2995">
        <f>IF(SUM(Table4.E!S11,'Table4(IV)'!J60)=0,"IE",SUM(Table4.E!S11,'Table4(IV)'!J60))</f>
        <v>20.526001280972306</v>
      </c>
      <c r="D24" s="2995" t="str">
        <f>'Table4(IV)'!K60</f>
        <v>IE</v>
      </c>
      <c r="E24" s="2995">
        <f>IF(SUM('Table4(III)'!I47,'Table4(IV)'!L60)=0,"IE",SUM('Table4(III)'!I47,'Table4(IV)'!L60))</f>
        <v>8.1315388233067342E-4</v>
      </c>
      <c r="F24" s="2905" t="s">
        <v>2154</v>
      </c>
      <c r="G24" s="2905" t="s">
        <v>2154</v>
      </c>
      <c r="H24" s="2906" t="s">
        <v>2154</v>
      </c>
      <c r="I24" s="2996">
        <f t="shared" si="2"/>
        <v>20.741487059789936</v>
      </c>
    </row>
    <row r="25" spans="2:9" ht="18" customHeight="1" thickBot="1" x14ac:dyDescent="0.25">
      <c r="B25" s="475" t="s">
        <v>994</v>
      </c>
      <c r="C25" s="2997">
        <f>IF(SUM(Table4.E!S13,'Table4(IV)'!J65)=0,"IE",SUM(Table4.E!S13,'Table4(IV)'!J65))</f>
        <v>4552.6946073901017</v>
      </c>
      <c r="D25" s="2997">
        <f>'Table4(IV)'!K65</f>
        <v>2.8248912000000002</v>
      </c>
      <c r="E25" s="2997">
        <f>IF(SUM('Table4(III)'!I48,'Table4(IV)'!L65)=0,"NO",SUM('Table4(III)'!I48,'Table4(IV)'!L65))</f>
        <v>9.7217653096010437E-2</v>
      </c>
      <c r="F25" s="2908">
        <v>2.127075814285714</v>
      </c>
      <c r="G25" s="2908">
        <v>83.30813400000001</v>
      </c>
      <c r="H25" s="2907">
        <v>10.070214</v>
      </c>
      <c r="I25" s="2998">
        <f t="shared" si="2"/>
        <v>4657.5542390605451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-4228.4389206935439</v>
      </c>
      <c r="D29" s="3004"/>
      <c r="E29" s="3004"/>
      <c r="F29" s="3004"/>
      <c r="G29" s="3004"/>
      <c r="H29" s="3005"/>
      <c r="I29" s="3006">
        <f t="shared" si="2"/>
        <v>-4228.4389206935439</v>
      </c>
    </row>
    <row r="30" spans="2:9" ht="18" customHeight="1" x14ac:dyDescent="0.2">
      <c r="B30" s="1168" t="s">
        <v>2063</v>
      </c>
      <c r="C30" s="3007">
        <f>IF(SUM(C31:C32)=0,"NO",SUM(C31:C32))</f>
        <v>0.40669153106816663</v>
      </c>
      <c r="D30" s="3007" t="str">
        <f t="shared" ref="D30" si="27">IF(SUM(D31:D32)=0,"NO",SUM(D31:D32))</f>
        <v>NO</v>
      </c>
      <c r="E30" s="3007">
        <f t="shared" ref="E30" si="28">IF(SUM(E31:E32)=0,"NO",SUM(E31:E32))</f>
        <v>0.12788811193341856</v>
      </c>
      <c r="F30" s="3007" t="str">
        <f t="shared" ref="F30" si="29">IF(SUM(F31:F32)=0,"NO",SUM(F31:F32))</f>
        <v>NO</v>
      </c>
      <c r="G30" s="3007" t="str">
        <f t="shared" ref="G30" si="30">IF(SUM(G31:G32)=0,"NO",SUM(G31:G32))</f>
        <v>NO</v>
      </c>
      <c r="H30" s="3008" t="str">
        <f t="shared" ref="H30" si="31">IF(SUM(H31:H32)=0,"NO",SUM(H31:H32))</f>
        <v>NO</v>
      </c>
      <c r="I30" s="3009">
        <f t="shared" si="2"/>
        <v>34.297041193424086</v>
      </c>
    </row>
    <row r="31" spans="2:9" ht="18" customHeight="1" x14ac:dyDescent="0.2">
      <c r="B31" s="2677" t="s">
        <v>2218</v>
      </c>
      <c r="C31" s="3010" t="s">
        <v>2146</v>
      </c>
      <c r="D31" s="3010" t="s">
        <v>2146</v>
      </c>
      <c r="E31" s="3010">
        <v>0.12788811193341856</v>
      </c>
      <c r="F31" s="3010" t="s">
        <v>2146</v>
      </c>
      <c r="G31" s="3010" t="s">
        <v>2146</v>
      </c>
      <c r="H31" s="3011" t="s">
        <v>2146</v>
      </c>
      <c r="I31" s="3012">
        <f t="shared" si="2"/>
        <v>33.890349662355916</v>
      </c>
    </row>
    <row r="32" spans="2:9" ht="18" customHeight="1" thickBot="1" x14ac:dyDescent="0.25">
      <c r="B32" s="2676" t="s">
        <v>2219</v>
      </c>
      <c r="C32" s="3013">
        <v>0.40669153106816663</v>
      </c>
      <c r="D32" s="3013" t="s">
        <v>2146</v>
      </c>
      <c r="E32" s="3013" t="s">
        <v>2146</v>
      </c>
      <c r="F32" s="3014" t="s">
        <v>2146</v>
      </c>
      <c r="G32" s="3014" t="s">
        <v>2146</v>
      </c>
      <c r="H32" s="3014" t="s">
        <v>2146</v>
      </c>
      <c r="I32" s="2998">
        <f t="shared" si="2"/>
        <v>0.40669153106816663</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-24416.253033294728</v>
      </c>
      <c r="D35" s="3013" t="s">
        <v>2146</v>
      </c>
      <c r="E35" s="3013" t="s">
        <v>2146</v>
      </c>
      <c r="F35" s="3013" t="s">
        <v>2146</v>
      </c>
      <c r="G35" s="3013" t="s">
        <v>2146</v>
      </c>
      <c r="H35" s="3013" t="s">
        <v>2146</v>
      </c>
      <c r="I35" s="3018">
        <f t="shared" ref="I35" si="32">IF(SUM(C35:E35)=0,"NO",SUM(C35)+28*SUM(D35)+265*SUM(E35))</f>
        <v>-24416.253033294728</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379886.35301033495</v>
      </c>
      <c r="D10" s="3765">
        <f t="shared" ref="D10:I10" si="0">IF(SUM(D11,D37,D47)=0,"NO",SUM(D11,D37,D47))</f>
        <v>1409.911564227614</v>
      </c>
      <c r="E10" s="3765">
        <f t="shared" si="0"/>
        <v>12.132339439013251</v>
      </c>
      <c r="F10" s="3765">
        <f t="shared" si="0"/>
        <v>2315.7608536176413</v>
      </c>
      <c r="G10" s="3765">
        <f t="shared" si="0"/>
        <v>2702.232366307655</v>
      </c>
      <c r="H10" s="3765">
        <f t="shared" si="0"/>
        <v>716.87506308536081</v>
      </c>
      <c r="I10" s="3766">
        <f t="shared" si="0"/>
        <v>759.30034302183219</v>
      </c>
      <c r="J10" s="3028">
        <f t="shared" ref="J10:J40" si="1">IF(SUM(C10:E10)=0,"NO",SUM(C10,IFERROR(28*D10,0),IFERROR(265*E10,0)))</f>
        <v>422578.94676004665</v>
      </c>
    </row>
    <row r="11" spans="2:10" s="83" customFormat="1" ht="18" customHeight="1" thickBot="1" x14ac:dyDescent="0.25">
      <c r="B11" s="18" t="s">
        <v>75</v>
      </c>
      <c r="C11" s="3029">
        <f>IF(SUM(C12,C16,C24,C30,C34)=0,"NO",SUM(C12,C16,C24,C30,C34))</f>
        <v>371696.57372116938</v>
      </c>
      <c r="D11" s="3029">
        <f t="shared" ref="D11:I11" si="2">IF(SUM(D12,D16,D24,D30,D34)=0,"NO",SUM(D12,D16,D24,D30,D34))</f>
        <v>84.554024651012881</v>
      </c>
      <c r="E11" s="3029">
        <f t="shared" si="2"/>
        <v>12.029501637908735</v>
      </c>
      <c r="F11" s="3029">
        <f t="shared" si="2"/>
        <v>2313.9906022868413</v>
      </c>
      <c r="G11" s="3029">
        <f t="shared" si="2"/>
        <v>2692.1338770192751</v>
      </c>
      <c r="H11" s="3029">
        <f t="shared" si="2"/>
        <v>495.45473214722517</v>
      </c>
      <c r="I11" s="3030">
        <f t="shared" si="2"/>
        <v>759.30034302183219</v>
      </c>
      <c r="J11" s="3031">
        <f t="shared" si="1"/>
        <v>377251.90434544353</v>
      </c>
    </row>
    <row r="12" spans="2:10" s="83" customFormat="1" ht="18" customHeight="1" x14ac:dyDescent="0.2">
      <c r="B12" s="26" t="s">
        <v>76</v>
      </c>
      <c r="C12" s="3029">
        <f>IF(SUM(C13:C15)=0,"NO",SUM(C13:C15))</f>
        <v>225300.59314473628</v>
      </c>
      <c r="D12" s="3029">
        <f t="shared" ref="D12:I12" si="3">IF(SUM(D13:D15)=0,"NO",SUM(D13:D15))</f>
        <v>23.319372409311185</v>
      </c>
      <c r="E12" s="3029">
        <f t="shared" si="3"/>
        <v>3.794300812425687</v>
      </c>
      <c r="F12" s="3029">
        <f t="shared" si="3"/>
        <v>1069.6362386645883</v>
      </c>
      <c r="G12" s="3029">
        <f t="shared" si="3"/>
        <v>184.14223717354585</v>
      </c>
      <c r="H12" s="3029">
        <f>IF(SUM(H13:H15)=0,"NO",SUM(H13:H15))</f>
        <v>51.61371844433441</v>
      </c>
      <c r="I12" s="3030">
        <f t="shared" si="3"/>
        <v>632.93837535196883</v>
      </c>
      <c r="J12" s="3031">
        <f t="shared" si="1"/>
        <v>226959.02528748981</v>
      </c>
    </row>
    <row r="13" spans="2:10" s="83" customFormat="1" ht="18" customHeight="1" x14ac:dyDescent="0.2">
      <c r="B13" s="20" t="s">
        <v>77</v>
      </c>
      <c r="C13" s="3032">
        <f>'Table1.A(a)s1'!H24</f>
        <v>203738.57727862441</v>
      </c>
      <c r="D13" s="3032">
        <f>'Table1.A(a)s1'!I24</f>
        <v>14.273759301300075</v>
      </c>
      <c r="E13" s="3032">
        <f>'Table1.A(a)s1'!J24</f>
        <v>3.3559189703780286</v>
      </c>
      <c r="F13" s="3033">
        <v>755.23997898967309</v>
      </c>
      <c r="G13" s="3033">
        <v>95.91719001560115</v>
      </c>
      <c r="H13" s="3033">
        <v>16.655948805367601</v>
      </c>
      <c r="I13" s="3034">
        <v>610.08038323935671</v>
      </c>
      <c r="J13" s="3035">
        <f t="shared" si="1"/>
        <v>205027.56106621097</v>
      </c>
    </row>
    <row r="14" spans="2:10" s="83" customFormat="1" ht="18" customHeight="1" x14ac:dyDescent="0.2">
      <c r="B14" s="20" t="s">
        <v>78</v>
      </c>
      <c r="C14" s="3032">
        <f>'Table1.A(a)s1'!H53</f>
        <v>5285.2871982659053</v>
      </c>
      <c r="D14" s="3032">
        <f>'Table1.A(a)s1'!I53</f>
        <v>8.1016523450216871E-2</v>
      </c>
      <c r="E14" s="3032">
        <f>'Table1.A(a)s1'!J53</f>
        <v>1.4446146862329333E-2</v>
      </c>
      <c r="F14" s="3033">
        <v>32.349869891536251</v>
      </c>
      <c r="G14" s="3033">
        <v>4.1053419396540125</v>
      </c>
      <c r="H14" s="3033">
        <v>7.740982912465208E-2</v>
      </c>
      <c r="I14" s="3034">
        <v>9.0729993850894779</v>
      </c>
      <c r="J14" s="3035">
        <f t="shared" si="1"/>
        <v>5291.3838898410286</v>
      </c>
    </row>
    <row r="15" spans="2:10" s="83" customFormat="1" ht="18" customHeight="1" thickBot="1" x14ac:dyDescent="0.25">
      <c r="B15" s="21" t="s">
        <v>79</v>
      </c>
      <c r="C15" s="3036">
        <f>'Table1.A(a)s1'!H60</f>
        <v>16276.72866784598</v>
      </c>
      <c r="D15" s="3036">
        <f>'Table1.A(a)s1'!I60</f>
        <v>8.9645965845608941</v>
      </c>
      <c r="E15" s="3036">
        <f>'Table1.A(a)s1'!J60</f>
        <v>0.42393569518532898</v>
      </c>
      <c r="F15" s="3037">
        <v>282.04638978337886</v>
      </c>
      <c r="G15" s="3037">
        <v>84.11970521829069</v>
      </c>
      <c r="H15" s="3037">
        <v>34.880359809842162</v>
      </c>
      <c r="I15" s="3038">
        <v>13.784992727522653</v>
      </c>
      <c r="J15" s="3039">
        <f t="shared" si="1"/>
        <v>16640.080331437799</v>
      </c>
    </row>
    <row r="16" spans="2:10" s="83" customFormat="1" ht="18" customHeight="1" x14ac:dyDescent="0.2">
      <c r="B16" s="25" t="s">
        <v>80</v>
      </c>
      <c r="C16" s="3029">
        <f>IF(SUM(C17:C23)=0,"NO",SUM(C17:C23))</f>
        <v>39306.733886702692</v>
      </c>
      <c r="D16" s="3029">
        <f t="shared" ref="D16:I16" si="4">IF(SUM(D17:D23)=0,"NO",SUM(D17:D23))</f>
        <v>2.2729561877469564</v>
      </c>
      <c r="E16" s="3029">
        <f t="shared" si="4"/>
        <v>1.2717698342144876</v>
      </c>
      <c r="F16" s="3029">
        <f t="shared" si="4"/>
        <v>578.39264704241805</v>
      </c>
      <c r="G16" s="3029">
        <f t="shared" si="4"/>
        <v>186.97662647122652</v>
      </c>
      <c r="H16" s="3029">
        <f t="shared" si="4"/>
        <v>79.395875108994275</v>
      </c>
      <c r="I16" s="3030">
        <f t="shared" si="4"/>
        <v>90.816736835818844</v>
      </c>
      <c r="J16" s="3031">
        <f t="shared" si="1"/>
        <v>39707.395666026445</v>
      </c>
    </row>
    <row r="17" spans="2:10" s="83" customFormat="1" ht="18" customHeight="1" x14ac:dyDescent="0.2">
      <c r="B17" s="20" t="s">
        <v>81</v>
      </c>
      <c r="C17" s="3032">
        <f>'Table1.A(a)s2'!H17</f>
        <v>1732.5027997461846</v>
      </c>
      <c r="D17" s="3032">
        <f>'Table1.A(a)s2'!I17</f>
        <v>3.9420812888970883E-2</v>
      </c>
      <c r="E17" s="3032">
        <f>'Table1.A(a)s2'!J17</f>
        <v>2.1970355390692059E-2</v>
      </c>
      <c r="F17" s="3033">
        <v>19.416698047187708</v>
      </c>
      <c r="G17" s="3033">
        <v>3.1295181053840571</v>
      </c>
      <c r="H17" s="3033">
        <v>0.32349661980116107</v>
      </c>
      <c r="I17" s="3034">
        <v>8.2977027128187153</v>
      </c>
      <c r="J17" s="3035">
        <f t="shared" si="1"/>
        <v>1739.428726685609</v>
      </c>
    </row>
    <row r="18" spans="2:10" s="83" customFormat="1" ht="18" customHeight="1" x14ac:dyDescent="0.2">
      <c r="B18" s="20" t="s">
        <v>82</v>
      </c>
      <c r="C18" s="3032">
        <f>'Table1.A(a)s2'!H24</f>
        <v>12815.707590539963</v>
      </c>
      <c r="D18" s="3032">
        <f>'Table1.A(a)s2'!I24</f>
        <v>0.23817940725615142</v>
      </c>
      <c r="E18" s="3032">
        <f>'Table1.A(a)s2'!J24</f>
        <v>0.13952267884818512</v>
      </c>
      <c r="F18" s="3033">
        <v>88.43702612649156</v>
      </c>
      <c r="G18" s="3033">
        <v>14.716735527286977</v>
      </c>
      <c r="H18" s="3033">
        <v>2.1952335111144525</v>
      </c>
      <c r="I18" s="3034">
        <v>52.766845626675433</v>
      </c>
      <c r="J18" s="3035">
        <f t="shared" si="1"/>
        <v>12859.350123837905</v>
      </c>
    </row>
    <row r="19" spans="2:10" s="83" customFormat="1" ht="18" customHeight="1" x14ac:dyDescent="0.2">
      <c r="B19" s="20" t="s">
        <v>83</v>
      </c>
      <c r="C19" s="3032">
        <f>'Table1.A(a)s2'!H31</f>
        <v>6989.95822335105</v>
      </c>
      <c r="D19" s="3032">
        <f>'Table1.A(a)s2'!I31</f>
        <v>0.26050399548162329</v>
      </c>
      <c r="E19" s="3032">
        <f>'Table1.A(a)s2'!J31</f>
        <v>9.3211959582689366E-2</v>
      </c>
      <c r="F19" s="3033">
        <v>49.869271219147059</v>
      </c>
      <c r="G19" s="3033">
        <v>18.193962613759734</v>
      </c>
      <c r="H19" s="3033">
        <v>11.638515729711482</v>
      </c>
      <c r="I19" s="3034">
        <v>4.261646850882884</v>
      </c>
      <c r="J19" s="3035">
        <f t="shared" si="1"/>
        <v>7021.9535045139482</v>
      </c>
    </row>
    <row r="20" spans="2:10" s="83" customFormat="1" ht="18" customHeight="1" x14ac:dyDescent="0.2">
      <c r="B20" s="20" t="s">
        <v>84</v>
      </c>
      <c r="C20" s="3032">
        <f>'Table1.A(a)s2'!H38</f>
        <v>1286.2234762290598</v>
      </c>
      <c r="D20" s="3032">
        <f>'Table1.A(a)s2'!I38</f>
        <v>0.22474731593951297</v>
      </c>
      <c r="E20" s="3032">
        <f>'Table1.A(a)s2'!J38</f>
        <v>0.14889345535954096</v>
      </c>
      <c r="F20" s="3033">
        <v>7.49370868821737</v>
      </c>
      <c r="G20" s="3033">
        <v>5.8037410436386461</v>
      </c>
      <c r="H20" s="3033">
        <v>0.37806553711964241</v>
      </c>
      <c r="I20" s="3034">
        <v>1.7590712737761287</v>
      </c>
      <c r="J20" s="3035">
        <f t="shared" si="1"/>
        <v>1331.9731667456444</v>
      </c>
    </row>
    <row r="21" spans="2:10" s="83" customFormat="1" ht="18" customHeight="1" x14ac:dyDescent="0.2">
      <c r="B21" s="20" t="s">
        <v>85</v>
      </c>
      <c r="C21" s="3032">
        <f>'Table1.A(a)s2'!H45</f>
        <v>2999.5246135157122</v>
      </c>
      <c r="D21" s="3032">
        <f>'Table1.A(a)s2'!I45</f>
        <v>0.77482009988388745</v>
      </c>
      <c r="E21" s="3032">
        <f>'Table1.A(a)s2'!J45</f>
        <v>0.50344070927169227</v>
      </c>
      <c r="F21" s="3033">
        <v>21.529268860615645</v>
      </c>
      <c r="G21" s="3033">
        <v>20.410950613519805</v>
      </c>
      <c r="H21" s="3033">
        <v>1.192539124959082</v>
      </c>
      <c r="I21" s="3034">
        <v>4.9892553757602371</v>
      </c>
      <c r="J21" s="3035">
        <f t="shared" si="1"/>
        <v>3154.6313642694595</v>
      </c>
    </row>
    <row r="22" spans="2:10" s="83" customFormat="1" ht="18" customHeight="1" x14ac:dyDescent="0.2">
      <c r="B22" s="20" t="s">
        <v>86</v>
      </c>
      <c r="C22" s="3032">
        <f>'Table1.A(a)s2'!H52</f>
        <v>6311.3220776319922</v>
      </c>
      <c r="D22" s="3032">
        <f>'Table1.A(a)s2'!I52</f>
        <v>0.36492270218199113</v>
      </c>
      <c r="E22" s="3032">
        <f>'Table1.A(a)s2'!J52</f>
        <v>6.2276378944083929E-2</v>
      </c>
      <c r="F22" s="3033">
        <v>101.42063563218366</v>
      </c>
      <c r="G22" s="3033">
        <v>31.21219831630912</v>
      </c>
      <c r="H22" s="3033">
        <v>20.13909323717558</v>
      </c>
      <c r="I22" s="3034">
        <v>10.790789938700845</v>
      </c>
      <c r="J22" s="3035">
        <f t="shared" si="1"/>
        <v>6338.0431537132699</v>
      </c>
    </row>
    <row r="23" spans="2:10" s="83" customFormat="1" ht="18" customHeight="1" thickBot="1" x14ac:dyDescent="0.25">
      <c r="B23" s="3060" t="s">
        <v>2115</v>
      </c>
      <c r="C23" s="3032">
        <f>'Table1.A(a)s2'!H59</f>
        <v>7171.4951056887312</v>
      </c>
      <c r="D23" s="3032">
        <f>'Table1.A(a)s2'!I59</f>
        <v>0.37036185411481926</v>
      </c>
      <c r="E23" s="3032">
        <f>'Table1.A(a)s2'!J59</f>
        <v>0.302454296817604</v>
      </c>
      <c r="F23" s="3033">
        <v>290.2260384685751</v>
      </c>
      <c r="G23" s="3033">
        <v>93.509520251328183</v>
      </c>
      <c r="H23" s="3033">
        <v>43.528931349112874</v>
      </c>
      <c r="I23" s="3034">
        <v>7.9514250572046041</v>
      </c>
      <c r="J23" s="3035">
        <f t="shared" si="1"/>
        <v>7262.0156262606115</v>
      </c>
    </row>
    <row r="24" spans="2:10" s="83" customFormat="1" ht="18" customHeight="1" x14ac:dyDescent="0.2">
      <c r="B24" s="25" t="s">
        <v>87</v>
      </c>
      <c r="C24" s="3029">
        <f>IF(SUM(C25:C29)=0,"NO",SUM(C25:C29))</f>
        <v>86489.532786197247</v>
      </c>
      <c r="D24" s="3029">
        <f t="shared" ref="D24:I24" si="5">IF(SUM(D25:D29)=0,"NO",SUM(D25:D29))</f>
        <v>17.768473944052396</v>
      </c>
      <c r="E24" s="3029">
        <f t="shared" si="5"/>
        <v>6.2856682531525365</v>
      </c>
      <c r="F24" s="3029">
        <f t="shared" si="5"/>
        <v>308.82474351869206</v>
      </c>
      <c r="G24" s="3029">
        <f t="shared" si="5"/>
        <v>1624.4883974106983</v>
      </c>
      <c r="H24" s="3029">
        <f t="shared" si="5"/>
        <v>247.96764339596419</v>
      </c>
      <c r="I24" s="3030">
        <f t="shared" si="5"/>
        <v>27.82975833362508</v>
      </c>
      <c r="J24" s="3031">
        <f t="shared" si="1"/>
        <v>88652.752143716134</v>
      </c>
    </row>
    <row r="25" spans="2:10" s="83" customFormat="1" ht="18" customHeight="1" x14ac:dyDescent="0.2">
      <c r="B25" s="20" t="s">
        <v>88</v>
      </c>
      <c r="C25" s="1878">
        <f>'Table1.A(a)s3'!H16</f>
        <v>6766.948729775464</v>
      </c>
      <c r="D25" s="1878">
        <f>'Table1.A(a)s3'!I16</f>
        <v>3.4153911227974648E-2</v>
      </c>
      <c r="E25" s="1878">
        <f>'Table1.A(a)s3'!J16</f>
        <v>5.2132648498314671E-2</v>
      </c>
      <c r="F25" s="3033">
        <v>22.81635100714087</v>
      </c>
      <c r="G25" s="3033">
        <v>15.286045592528879</v>
      </c>
      <c r="H25" s="3033">
        <v>1.5028000369737395</v>
      </c>
      <c r="I25" s="3034">
        <v>0.79806479656641449</v>
      </c>
      <c r="J25" s="3035">
        <f t="shared" si="1"/>
        <v>6781.7201911419006</v>
      </c>
    </row>
    <row r="26" spans="2:10" s="83" customFormat="1" ht="18" customHeight="1" x14ac:dyDescent="0.2">
      <c r="B26" s="20" t="s">
        <v>89</v>
      </c>
      <c r="C26" s="1878">
        <f>'Table1.A(a)s3'!H20</f>
        <v>74400.878664963151</v>
      </c>
      <c r="D26" s="1878">
        <f>'Table1.A(a)s3'!I20</f>
        <v>13.071834335495243</v>
      </c>
      <c r="E26" s="1878">
        <f>'Table1.A(a)s3'!J20</f>
        <v>5.1653914697219392</v>
      </c>
      <c r="F26" s="3033">
        <v>204.03809954259125</v>
      </c>
      <c r="G26" s="3033">
        <v>1360.5922262318413</v>
      </c>
      <c r="H26" s="3033">
        <v>204.25299736523769</v>
      </c>
      <c r="I26" s="3034">
        <v>14.621554953836943</v>
      </c>
      <c r="J26" s="3035">
        <f t="shared" si="1"/>
        <v>76135.718765833342</v>
      </c>
    </row>
    <row r="27" spans="2:10" s="83" customFormat="1" ht="18" customHeight="1" x14ac:dyDescent="0.2">
      <c r="B27" s="20" t="s">
        <v>90</v>
      </c>
      <c r="C27" s="1878">
        <f>'Table1.A(a)s3'!H81</f>
        <v>2376.1107000000006</v>
      </c>
      <c r="D27" s="1878">
        <f>'Table1.A(a)s3'!I81</f>
        <v>0.13597199999999998</v>
      </c>
      <c r="E27" s="1878">
        <f>'Table1.A(a)s3'!J81</f>
        <v>1.0197899999999998</v>
      </c>
      <c r="F27" s="3033">
        <v>52.009289999999993</v>
      </c>
      <c r="G27" s="3033">
        <v>6.8665859999999999</v>
      </c>
      <c r="H27" s="3033">
        <v>2.4135029999999995</v>
      </c>
      <c r="I27" s="3034">
        <v>1.9381973684210521</v>
      </c>
      <c r="J27" s="3035">
        <f t="shared" si="1"/>
        <v>2650.1622660000007</v>
      </c>
    </row>
    <row r="28" spans="2:10" s="83" customFormat="1" ht="18" customHeight="1" x14ac:dyDescent="0.2">
      <c r="B28" s="20" t="s">
        <v>91</v>
      </c>
      <c r="C28" s="1878">
        <f>'Table1.A(a)s3'!H88</f>
        <v>2302.6737591966926</v>
      </c>
      <c r="D28" s="1878">
        <f>'Table1.A(a)s3'!I88</f>
        <v>4.4003430200147902</v>
      </c>
      <c r="E28" s="1878">
        <f>'Table1.A(a)s3'!J88</f>
        <v>4.7054748520671028E-2</v>
      </c>
      <c r="F28" s="3033">
        <v>27.532264227849215</v>
      </c>
      <c r="G28" s="3033">
        <v>236.48817577437651</v>
      </c>
      <c r="H28" s="3033">
        <v>39.063816331492418</v>
      </c>
      <c r="I28" s="3034">
        <v>10.466568938559419</v>
      </c>
      <c r="J28" s="3035">
        <f t="shared" si="1"/>
        <v>2438.3528721150842</v>
      </c>
    </row>
    <row r="29" spans="2:10" s="83" customFormat="1" ht="18" customHeight="1" thickBot="1" x14ac:dyDescent="0.25">
      <c r="B29" s="22" t="s">
        <v>92</v>
      </c>
      <c r="C29" s="1881">
        <f>'Table1.A(a)s3'!H99</f>
        <v>642.9209322619281</v>
      </c>
      <c r="D29" s="1881">
        <f>'Table1.A(a)s3'!I99</f>
        <v>0.1261706773143875</v>
      </c>
      <c r="E29" s="1881">
        <f>'Table1.A(a)s3'!J99</f>
        <v>1.2993864116114108E-3</v>
      </c>
      <c r="F29" s="3040">
        <v>2.42873874111068</v>
      </c>
      <c r="G29" s="3040">
        <v>5.2553638119517041</v>
      </c>
      <c r="H29" s="3040">
        <v>0.73452666226033436</v>
      </c>
      <c r="I29" s="3041">
        <v>5.3722762412504819E-3</v>
      </c>
      <c r="J29" s="3042">
        <f t="shared" si="1"/>
        <v>646.79804862580806</v>
      </c>
    </row>
    <row r="30" spans="2:10" ht="18" customHeight="1" x14ac:dyDescent="0.2">
      <c r="B30" s="26" t="s">
        <v>93</v>
      </c>
      <c r="C30" s="3029">
        <f>IF(SUM(C31:C33)=0,"NO",SUM(C31:C33))</f>
        <v>19718.537468055074</v>
      </c>
      <c r="D30" s="3029">
        <f t="shared" ref="D30" si="6">IF(SUM(D31:D33)=0,"NO",SUM(D31:D33))</f>
        <v>41.162161193649624</v>
      </c>
      <c r="E30" s="3029">
        <f t="shared" ref="E30" si="7">IF(SUM(E31:E33)=0,"NO",SUM(E31:E33))</f>
        <v>0.65301319071314512</v>
      </c>
      <c r="F30" s="3029">
        <f t="shared" ref="F30" si="8">IF(SUM(F31:F33)=0,"NO",SUM(F31:F33))</f>
        <v>350.16258416248456</v>
      </c>
      <c r="G30" s="3029">
        <f t="shared" ref="G30" si="9">IF(SUM(G31:G33)=0,"NO",SUM(G31:G33))</f>
        <v>692.72521757489358</v>
      </c>
      <c r="H30" s="3029">
        <f t="shared" ref="H30" si="10">IF(SUM(H31:H33)=0,"NO",SUM(H31:H33))</f>
        <v>115.97820020366851</v>
      </c>
      <c r="I30" s="3030">
        <f t="shared" ref="I30" si="11">IF(SUM(I31:I33)=0,"NO",SUM(I31:I33))</f>
        <v>7.4521498554759047</v>
      </c>
      <c r="J30" s="3043">
        <f t="shared" si="1"/>
        <v>21044.126477016249</v>
      </c>
    </row>
    <row r="31" spans="2:10" ht="18" customHeight="1" x14ac:dyDescent="0.2">
      <c r="B31" s="20" t="s">
        <v>94</v>
      </c>
      <c r="C31" s="3032">
        <f>'Table1.A(a)s4'!H17</f>
        <v>4953.8418319650409</v>
      </c>
      <c r="D31" s="3032">
        <f>'Table1.A(a)s4'!I17</f>
        <v>0.10970445242820934</v>
      </c>
      <c r="E31" s="3032">
        <f>'Table1.A(a)s4'!J17</f>
        <v>9.0786247520286967E-2</v>
      </c>
      <c r="F31" s="3033">
        <v>25.602917771882225</v>
      </c>
      <c r="G31" s="3033">
        <v>10.359964507470899</v>
      </c>
      <c r="H31" s="3033">
        <v>3.3731055882979648</v>
      </c>
      <c r="I31" s="3034">
        <v>2.2833709160323759</v>
      </c>
      <c r="J31" s="3035">
        <f t="shared" si="1"/>
        <v>4980.9719122259066</v>
      </c>
    </row>
    <row r="32" spans="2:10" ht="18" customHeight="1" x14ac:dyDescent="0.2">
      <c r="B32" s="20" t="s">
        <v>95</v>
      </c>
      <c r="C32" s="3032">
        <f>'Table1.A(a)s4'!H38</f>
        <v>8667.1531637098051</v>
      </c>
      <c r="D32" s="3032">
        <f>'Table1.A(a)s4'!I38</f>
        <v>40.503549329100203</v>
      </c>
      <c r="E32" s="3032">
        <f>'Table1.A(a)s4'!J38</f>
        <v>0.24615568345259839</v>
      </c>
      <c r="F32" s="3033">
        <v>11.927364758567681</v>
      </c>
      <c r="G32" s="3033">
        <v>551.03524494621058</v>
      </c>
      <c r="H32" s="3033">
        <v>64.555498232253669</v>
      </c>
      <c r="I32" s="3034">
        <v>0.52818174277686292</v>
      </c>
      <c r="J32" s="3035">
        <f t="shared" si="1"/>
        <v>9866.4838010395506</v>
      </c>
    </row>
    <row r="33" spans="2:10" ht="18" customHeight="1" thickBot="1" x14ac:dyDescent="0.25">
      <c r="B33" s="20" t="s">
        <v>96</v>
      </c>
      <c r="C33" s="3032">
        <f>'Table1.A(a)s4'!H59</f>
        <v>6097.5424723802289</v>
      </c>
      <c r="D33" s="3032">
        <f>'Table1.A(a)s4'!I59</f>
        <v>0.54890741212121208</v>
      </c>
      <c r="E33" s="3032">
        <f>'Table1.A(a)s4'!J59</f>
        <v>0.31607125974025968</v>
      </c>
      <c r="F33" s="3033">
        <v>312.63230163203463</v>
      </c>
      <c r="G33" s="3033">
        <v>131.33000812121207</v>
      </c>
      <c r="H33" s="3033">
        <v>48.049596383116871</v>
      </c>
      <c r="I33" s="3034">
        <v>4.6405971966666657</v>
      </c>
      <c r="J33" s="3035">
        <f t="shared" si="1"/>
        <v>6196.6707637507916</v>
      </c>
    </row>
    <row r="34" spans="2:10" ht="18" customHeight="1" x14ac:dyDescent="0.2">
      <c r="B34" s="25" t="s">
        <v>2116</v>
      </c>
      <c r="C34" s="3029">
        <f>IF(SUM(C35:C36)=0,"NO",SUM(C35:C36))</f>
        <v>881.17643547805289</v>
      </c>
      <c r="D34" s="3029">
        <f t="shared" ref="D34:E34" si="12">IF(SUM(D35:D36)=0,"NO",SUM(D35:D36))</f>
        <v>3.1060916252709372E-2</v>
      </c>
      <c r="E34" s="3029">
        <f t="shared" si="12"/>
        <v>2.4749547402879473E-2</v>
      </c>
      <c r="F34" s="3029">
        <f t="shared" ref="F34:I34" si="13">IF(SUM(F35:F36)=0,"NO",SUM(F35:F36))</f>
        <v>6.9743888986579421</v>
      </c>
      <c r="G34" s="3029">
        <f t="shared" si="13"/>
        <v>3.8013983889110778</v>
      </c>
      <c r="H34" s="3029">
        <f t="shared" si="13"/>
        <v>0.49929499426376872</v>
      </c>
      <c r="I34" s="3030">
        <f t="shared" si="13"/>
        <v>0.26332264494345781</v>
      </c>
      <c r="J34" s="3031">
        <f t="shared" si="1"/>
        <v>888.6047711948919</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881.17643547805289</v>
      </c>
      <c r="D36" s="3044">
        <f>'Table1.A(a)s4'!I108</f>
        <v>3.1060916252709372E-2</v>
      </c>
      <c r="E36" s="3044">
        <f>'Table1.A(a)s4'!J108</f>
        <v>2.4749547402879473E-2</v>
      </c>
      <c r="F36" s="3040">
        <v>6.9743888986579421</v>
      </c>
      <c r="G36" s="3040">
        <v>3.8013983889110778</v>
      </c>
      <c r="H36" s="3040">
        <v>0.49929499426376872</v>
      </c>
      <c r="I36" s="3041">
        <v>0.26332264494345781</v>
      </c>
      <c r="J36" s="3042">
        <f t="shared" si="1"/>
        <v>888.6047711948919</v>
      </c>
    </row>
    <row r="37" spans="2:10" ht="18" customHeight="1" thickBot="1" x14ac:dyDescent="0.25">
      <c r="B37" s="18" t="s">
        <v>99</v>
      </c>
      <c r="C37" s="3029">
        <f>IF(SUM(C38,C42)=0,"NO",SUM(C38,C42))</f>
        <v>8189.7792891655736</v>
      </c>
      <c r="D37" s="3029">
        <f t="shared" ref="D37:I37" si="14">IF(SUM(D38,D42)=0,"NO",SUM(D38,D42))</f>
        <v>1325.3575395766011</v>
      </c>
      <c r="E37" s="3029">
        <f t="shared" si="14"/>
        <v>0.10283780110451514</v>
      </c>
      <c r="F37" s="3029">
        <f t="shared" si="14"/>
        <v>1.7702513308000001</v>
      </c>
      <c r="G37" s="3029">
        <f t="shared" si="14"/>
        <v>10.098489288379998</v>
      </c>
      <c r="H37" s="3029">
        <f t="shared" si="14"/>
        <v>221.42033093813566</v>
      </c>
      <c r="I37" s="3030" t="str">
        <f t="shared" si="14"/>
        <v>NO</v>
      </c>
      <c r="J37" s="3031">
        <f t="shared" si="1"/>
        <v>45327.042414603093</v>
      </c>
    </row>
    <row r="38" spans="2:10" ht="18" customHeight="1" x14ac:dyDescent="0.2">
      <c r="B38" s="26" t="s">
        <v>100</v>
      </c>
      <c r="C38" s="3029">
        <f>IF(SUM(C39:C41)=0,"NO",SUM(C39:C41))</f>
        <v>1292.1040585003002</v>
      </c>
      <c r="D38" s="3029">
        <f t="shared" ref="D38" si="15">IF(SUM(D39:D41)=0,"NO",SUM(D39:D41))</f>
        <v>1101.9535441721314</v>
      </c>
      <c r="E38" s="3029">
        <f t="shared" ref="E38" si="16">IF(SUM(E39:E41)=0,"NO",SUM(E39:E41))</f>
        <v>4.5988490439254325E-4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32146.925164819644</v>
      </c>
    </row>
    <row r="39" spans="2:10" ht="18" customHeight="1" x14ac:dyDescent="0.2">
      <c r="B39" s="20" t="s">
        <v>101</v>
      </c>
      <c r="C39" s="3032">
        <f>'Table1.B.1'!G10</f>
        <v>1292.1040585003002</v>
      </c>
      <c r="D39" s="3032">
        <f>SUM('Table1.B.1'!F10,'Table1.B.1'!H10)</f>
        <v>1101.9535441721314</v>
      </c>
      <c r="E39" s="3033">
        <v>4.5988490439254325E-4</v>
      </c>
      <c r="F39" s="3033" t="s">
        <v>2146</v>
      </c>
      <c r="G39" s="3033" t="s">
        <v>2146</v>
      </c>
      <c r="H39" s="3033" t="s">
        <v>2146</v>
      </c>
      <c r="I39" s="2931"/>
      <c r="J39" s="3035">
        <f t="shared" si="1"/>
        <v>32146.925164819644</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6897.6752306652734</v>
      </c>
      <c r="D42" s="3029">
        <f t="shared" ref="D42:I42" si="21">IF(SUM(D43:D46)=0,"NO",SUM(D43:D46))</f>
        <v>223.4039954044697</v>
      </c>
      <c r="E42" s="3029">
        <f t="shared" si="21"/>
        <v>0.1023779162001226</v>
      </c>
      <c r="F42" s="3029">
        <f t="shared" si="21"/>
        <v>1.7702513308000001</v>
      </c>
      <c r="G42" s="3029">
        <f t="shared" si="21"/>
        <v>10.098489288379998</v>
      </c>
      <c r="H42" s="3029">
        <f t="shared" si="21"/>
        <v>221.42033093813566</v>
      </c>
      <c r="I42" s="3030" t="str">
        <f t="shared" si="21"/>
        <v>NO</v>
      </c>
      <c r="J42" s="3031">
        <f t="shared" ref="J42:J59" si="22">IF(SUM(C42:E42)=0,"NO",SUM(C42,IFERROR(28*D42,0),IFERROR(265*E42,0)))</f>
        <v>13180.117249783456</v>
      </c>
    </row>
    <row r="43" spans="2:10" ht="18" customHeight="1" x14ac:dyDescent="0.2">
      <c r="B43" s="20" t="s">
        <v>103</v>
      </c>
      <c r="C43" s="3032">
        <f>'Table1.B.2'!I10</f>
        <v>261.19332863</v>
      </c>
      <c r="D43" s="3032">
        <f>'Table1.B.2'!J10</f>
        <v>4.7300845059291259</v>
      </c>
      <c r="E43" s="3032">
        <f>'Table1.B.2'!K10</f>
        <v>7.9831830140000004E-3</v>
      </c>
      <c r="F43" s="3033">
        <v>0.14760196070000001</v>
      </c>
      <c r="G43" s="3033">
        <v>0.85391994179999997</v>
      </c>
      <c r="H43" s="3033">
        <v>121.23122324801774</v>
      </c>
      <c r="I43" s="3034" t="s">
        <v>2146</v>
      </c>
      <c r="J43" s="3035">
        <f t="shared" si="22"/>
        <v>395.75123829472551</v>
      </c>
    </row>
    <row r="44" spans="2:10" ht="18" customHeight="1" x14ac:dyDescent="0.2">
      <c r="B44" s="20" t="s">
        <v>104</v>
      </c>
      <c r="C44" s="3032">
        <f>SUM('Table1.B.2'!I21,'Table1.B.2'!L21)</f>
        <v>86.234518996231515</v>
      </c>
      <c r="D44" s="3032">
        <f>'Table1.B.2'!J21</f>
        <v>150.7799985588195</v>
      </c>
      <c r="E44" s="3032">
        <f>'Table1.B.2'!K21</f>
        <v>2.2666915746000003E-3</v>
      </c>
      <c r="F44" s="3033">
        <v>4.1975769900000001E-2</v>
      </c>
      <c r="G44" s="3033">
        <v>0.24345946541999999</v>
      </c>
      <c r="H44" s="3033">
        <v>84.683252788117912</v>
      </c>
      <c r="I44" s="3034" t="s">
        <v>2146</v>
      </c>
      <c r="J44" s="3035">
        <f t="shared" si="22"/>
        <v>4308.6751519104464</v>
      </c>
    </row>
    <row r="45" spans="2:10" ht="18" customHeight="1" x14ac:dyDescent="0.2">
      <c r="B45" s="20" t="s">
        <v>105</v>
      </c>
      <c r="C45" s="3032">
        <f>'Table1.B.2'!I35</f>
        <v>6550.2473830390418</v>
      </c>
      <c r="D45" s="3032">
        <f>'Table1.B.2'!J35</f>
        <v>67.893912339721098</v>
      </c>
      <c r="E45" s="3032">
        <f>'Table1.B.2'!K35</f>
        <v>9.212804161152259E-2</v>
      </c>
      <c r="F45" s="3033">
        <v>1.5806736002000001</v>
      </c>
      <c r="G45" s="3033">
        <v>9.0011098811599979</v>
      </c>
      <c r="H45" s="3033">
        <v>15.505854902000001</v>
      </c>
      <c r="I45" s="3034" t="s">
        <v>2146</v>
      </c>
      <c r="J45" s="3035">
        <f t="shared" si="22"/>
        <v>8475.6908595782861</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12442.13430304</v>
      </c>
      <c r="D52" s="3032">
        <f t="shared" ref="D52:I52" si="23">IF(SUM(D53:D54)=0,"NO",SUM(D53:D54))</f>
        <v>0.21737169390243902</v>
      </c>
      <c r="E52" s="3032">
        <f t="shared" si="23"/>
        <v>0.1090583331049037</v>
      </c>
      <c r="F52" s="3032">
        <f t="shared" si="23"/>
        <v>109.07285995077535</v>
      </c>
      <c r="G52" s="3032">
        <f t="shared" si="23"/>
        <v>17.764182225622594</v>
      </c>
      <c r="H52" s="3032">
        <f t="shared" si="23"/>
        <v>9.6823598771044939</v>
      </c>
      <c r="I52" s="3055">
        <f t="shared" si="23"/>
        <v>36.044240662989047</v>
      </c>
      <c r="J52" s="3035">
        <f t="shared" si="22"/>
        <v>12477.121168742067</v>
      </c>
    </row>
    <row r="53" spans="2:10" ht="18" customHeight="1" x14ac:dyDescent="0.2">
      <c r="B53" s="164" t="s">
        <v>111</v>
      </c>
      <c r="C53" s="3032">
        <f>Table1.D!G10</f>
        <v>10347.61730304</v>
      </c>
      <c r="D53" s="3032">
        <f>Table1.D!H10</f>
        <v>1.7661693902439025E-2</v>
      </c>
      <c r="E53" s="3032">
        <f>Table1.D!I10</f>
        <v>5.1998333104903711E-2</v>
      </c>
      <c r="F53" s="3033">
        <v>52.613459950775351</v>
      </c>
      <c r="G53" s="3033">
        <v>16.338692225622594</v>
      </c>
      <c r="H53" s="3033">
        <v>7.9092798771044937</v>
      </c>
      <c r="I53" s="3034">
        <v>1.2191158316800002</v>
      </c>
      <c r="J53" s="3035">
        <f t="shared" si="22"/>
        <v>10361.891388742068</v>
      </c>
    </row>
    <row r="54" spans="2:10" ht="18" customHeight="1" x14ac:dyDescent="0.2">
      <c r="B54" s="164" t="s">
        <v>112</v>
      </c>
      <c r="C54" s="3032">
        <f>Table1.D!G14</f>
        <v>2094.5169999999998</v>
      </c>
      <c r="D54" s="3032">
        <f>Table1.D!H14</f>
        <v>0.19971</v>
      </c>
      <c r="E54" s="3032">
        <f>Table1.D!I14</f>
        <v>5.706E-2</v>
      </c>
      <c r="F54" s="3033">
        <v>56.459400000000002</v>
      </c>
      <c r="G54" s="3033">
        <v>1.4254899999999999</v>
      </c>
      <c r="H54" s="3033">
        <v>1.77308</v>
      </c>
      <c r="I54" s="3034">
        <v>34.825124831309047</v>
      </c>
      <c r="J54" s="3035">
        <f t="shared" si="22"/>
        <v>2115.2297799999997</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17225.562430001581</v>
      </c>
      <c r="D56" s="3056"/>
      <c r="E56" s="3056"/>
      <c r="F56" s="3056"/>
      <c r="G56" s="3056"/>
      <c r="H56" s="3056"/>
      <c r="I56" s="2971"/>
      <c r="J56" s="3039">
        <f t="shared" si="22"/>
        <v>17225.562430001581</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130744.662039729</v>
      </c>
      <c r="D10" s="3549" t="s">
        <v>2146</v>
      </c>
      <c r="E10" s="3549">
        <v>18.285873384999999</v>
      </c>
      <c r="F10" s="3549">
        <v>398.83236954199998</v>
      </c>
      <c r="G10" s="3549" t="s">
        <v>2146</v>
      </c>
      <c r="H10" s="3549">
        <v>1.5632968890000001</v>
      </c>
      <c r="I10" s="3549" t="s">
        <v>2146</v>
      </c>
      <c r="J10" s="3549">
        <v>23.261909288999998</v>
      </c>
      <c r="K10" s="3549" t="s">
        <v>2146</v>
      </c>
      <c r="L10" s="3549" t="s">
        <v>2146</v>
      </c>
      <c r="M10" s="3550">
        <f>IF(SUM(C10:L10)=0,"NO",SUM(C10:L10))</f>
        <v>131186.605488834</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18.692054388999999</v>
      </c>
      <c r="D12" s="3549" t="s">
        <v>2146</v>
      </c>
      <c r="E12" s="3549">
        <v>39952.303525852003</v>
      </c>
      <c r="F12" s="3549" t="s">
        <v>2153</v>
      </c>
      <c r="G12" s="3549" t="s">
        <v>2146</v>
      </c>
      <c r="H12" s="3549" t="s">
        <v>2153</v>
      </c>
      <c r="I12" s="3549" t="s">
        <v>2146</v>
      </c>
      <c r="J12" s="3549" t="s">
        <v>2153</v>
      </c>
      <c r="K12" s="3549" t="s">
        <v>2146</v>
      </c>
      <c r="L12" s="3549" t="s">
        <v>2146</v>
      </c>
      <c r="M12" s="3550">
        <f t="shared" si="0"/>
        <v>39970.995580241004</v>
      </c>
    </row>
    <row r="13" spans="2:13" ht="18" customHeight="1" x14ac:dyDescent="0.2">
      <c r="B13" s="2277" t="s">
        <v>1961</v>
      </c>
      <c r="C13" s="3549">
        <v>660.95517097899994</v>
      </c>
      <c r="D13" s="3549" t="s">
        <v>2146</v>
      </c>
      <c r="E13" s="3549" t="s">
        <v>2153</v>
      </c>
      <c r="F13" s="3549">
        <v>521610.74180732103</v>
      </c>
      <c r="G13" s="3549" t="s">
        <v>2146</v>
      </c>
      <c r="H13" s="3549" t="s">
        <v>2153</v>
      </c>
      <c r="I13" s="3549" t="s">
        <v>2146</v>
      </c>
      <c r="J13" s="3549" t="s">
        <v>2153</v>
      </c>
      <c r="K13" s="3549" t="s">
        <v>2146</v>
      </c>
      <c r="L13" s="3549" t="s">
        <v>2146</v>
      </c>
      <c r="M13" s="3550">
        <f t="shared" si="0"/>
        <v>522271.69697830005</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6.5243962440000001</v>
      </c>
      <c r="D15" s="3549" t="s">
        <v>2146</v>
      </c>
      <c r="E15" s="3549">
        <v>0.63304705100000003</v>
      </c>
      <c r="F15" s="3549">
        <v>2.443871627</v>
      </c>
      <c r="G15" s="3549" t="s">
        <v>2146</v>
      </c>
      <c r="H15" s="3549">
        <v>13215.164119232</v>
      </c>
      <c r="I15" s="3549" t="s">
        <v>2146</v>
      </c>
      <c r="J15" s="3549" t="s">
        <v>2146</v>
      </c>
      <c r="K15" s="3549" t="s">
        <v>2146</v>
      </c>
      <c r="L15" s="3549" t="s">
        <v>2146</v>
      </c>
      <c r="M15" s="3550">
        <f t="shared" si="0"/>
        <v>13224.765434154</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11.088575415999999</v>
      </c>
      <c r="D17" s="3549" t="s">
        <v>2146</v>
      </c>
      <c r="E17" s="3549" t="s">
        <v>2146</v>
      </c>
      <c r="F17" s="3549" t="s">
        <v>2146</v>
      </c>
      <c r="G17" s="3549" t="s">
        <v>2146</v>
      </c>
      <c r="H17" s="3549" t="s">
        <v>2146</v>
      </c>
      <c r="I17" s="3549" t="s">
        <v>2146</v>
      </c>
      <c r="J17" s="3549">
        <v>1471.2190972349999</v>
      </c>
      <c r="K17" s="3549" t="s">
        <v>2146</v>
      </c>
      <c r="L17" s="3549" t="s">
        <v>2146</v>
      </c>
      <c r="M17" s="3550">
        <f t="shared" si="0"/>
        <v>1482.3076726509998</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131441.922236757</v>
      </c>
      <c r="D20" s="3551" t="str">
        <f t="shared" ref="D20:L20" si="1">IF(SUM(D10:D19)=0,"NO",SUM(D10:D19))</f>
        <v>NO</v>
      </c>
      <c r="E20" s="3551">
        <f t="shared" si="1"/>
        <v>39971.222446288004</v>
      </c>
      <c r="F20" s="3551">
        <f t="shared" si="1"/>
        <v>522012.01804848999</v>
      </c>
      <c r="G20" s="3551" t="str">
        <f t="shared" si="1"/>
        <v>NO</v>
      </c>
      <c r="H20" s="3551">
        <f t="shared" si="1"/>
        <v>13216.727416121001</v>
      </c>
      <c r="I20" s="3551" t="str">
        <f t="shared" si="1"/>
        <v>NO</v>
      </c>
      <c r="J20" s="3551">
        <f t="shared" si="1"/>
        <v>1494.4810065239999</v>
      </c>
      <c r="K20" s="3551">
        <f t="shared" si="1"/>
        <v>60692.328845821001</v>
      </c>
      <c r="L20" s="3551" t="str">
        <f t="shared" si="1"/>
        <v>NO</v>
      </c>
      <c r="M20" s="3550">
        <f t="shared" si="0"/>
        <v>768828.700000001</v>
      </c>
    </row>
    <row r="21" spans="2:13" ht="18" customHeight="1" thickBot="1" x14ac:dyDescent="0.25">
      <c r="B21" s="2279" t="s">
        <v>1968</v>
      </c>
      <c r="C21" s="3552">
        <f>IF(SUM(C20)=0,"NO",C20-M10)</f>
        <v>255.31674792300328</v>
      </c>
      <c r="D21" s="3552" t="str">
        <f>IF(SUM(D20)=0,"NO",D20-M11)</f>
        <v>NO</v>
      </c>
      <c r="E21" s="3552">
        <f>IF(SUM(E20)=0,"NO",E20-M12)</f>
        <v>0.2268660469999304</v>
      </c>
      <c r="F21" s="3552">
        <f>IF(SUM(F20)=0,"NO",F20-M13)</f>
        <v>-259.67892981006298</v>
      </c>
      <c r="G21" s="3552" t="str">
        <f>IF(SUM(G20)=0,"NO",G20-M14)</f>
        <v>NO</v>
      </c>
      <c r="H21" s="3552">
        <f>IF(SUM(H20)=0,"NO",H20-M15)</f>
        <v>-8.0380180329993891</v>
      </c>
      <c r="I21" s="3552" t="str">
        <f>IF(SUM(I20)=0,"NO",I20-M16)</f>
        <v>NO</v>
      </c>
      <c r="J21" s="3552">
        <f>IF(SUM(J20)=0,"NO",J20-M17)</f>
        <v>12.173333873000047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131592.02918309052</v>
      </c>
      <c r="E10" s="3556">
        <f t="shared" ref="E10:U10" si="0">IF(SUM(E11,E16)=0,"IE",SUM(E11,E16))</f>
        <v>131441.92223675665</v>
      </c>
      <c r="F10" s="3557">
        <f t="shared" si="0"/>
        <v>150.10694633385884</v>
      </c>
      <c r="G10" s="3558">
        <f t="shared" ref="G10:K11" si="1">IFERROR(IF(SUM($D10)=0,"NA",N10/$D10),"NA")</f>
        <v>0.11083080507994576</v>
      </c>
      <c r="H10" s="3078">
        <f t="shared" si="1"/>
        <v>-2.0820313450384188E-2</v>
      </c>
      <c r="I10" s="3078">
        <f t="shared" si="1"/>
        <v>9.0010491629561568E-2</v>
      </c>
      <c r="J10" s="3078">
        <f t="shared" si="1"/>
        <v>-2.0712625769169733E-3</v>
      </c>
      <c r="K10" s="3078">
        <f t="shared" si="1"/>
        <v>7.3049597220471597E-3</v>
      </c>
      <c r="L10" s="3078">
        <f>IFERROR(IF(SUM(E10)=0,"NA",S10/E10),"NA")</f>
        <v>-3.8805858660518645E-2</v>
      </c>
      <c r="M10" s="3128">
        <f>IFERROR(IF(SUM(F10)=0,"NA",T10/F10),"NA")</f>
        <v>-0.4244433690826579</v>
      </c>
      <c r="N10" s="3559">
        <f t="shared" si="0"/>
        <v>14584.45053646564</v>
      </c>
      <c r="O10" s="3560">
        <f t="shared" si="0"/>
        <v>-2739.7872951640484</v>
      </c>
      <c r="P10" s="3560">
        <f t="shared" si="0"/>
        <v>11844.66324130159</v>
      </c>
      <c r="Q10" s="3560">
        <f t="shared" si="0"/>
        <v>-272.56164546750165</v>
      </c>
      <c r="R10" s="3560">
        <f t="shared" si="0"/>
        <v>961.27447292493059</v>
      </c>
      <c r="S10" s="3560">
        <f t="shared" si="0"/>
        <v>-5100.7166563864612</v>
      </c>
      <c r="T10" s="3561">
        <f t="shared" si="0"/>
        <v>-63.711898024652768</v>
      </c>
      <c r="U10" s="3562">
        <f t="shared" si="0"/>
        <v>-27019.47421927566</v>
      </c>
      <c r="W10" s="2396"/>
    </row>
    <row r="11" spans="2:23" ht="18" customHeight="1" x14ac:dyDescent="0.2">
      <c r="B11" s="502" t="s">
        <v>982</v>
      </c>
      <c r="C11" s="2256"/>
      <c r="D11" s="3563">
        <f>IF(SUM(D12:D15)=0,"IE",SUM(D12:D15))</f>
        <v>121311.431980769</v>
      </c>
      <c r="E11" s="3564">
        <f t="shared" ref="E11:U11" si="2">IF(SUM(E12:E15)=0,"IE",SUM(E12:E15))</f>
        <v>121311.431980769</v>
      </c>
      <c r="F11" s="3565" t="str">
        <f t="shared" si="2"/>
        <v>IE</v>
      </c>
      <c r="G11" s="3558">
        <f t="shared" si="1"/>
        <v>4.5036103829660896E-2</v>
      </c>
      <c r="H11" s="3078">
        <f t="shared" si="1"/>
        <v>-2.2584741194039942E-2</v>
      </c>
      <c r="I11" s="3078">
        <f t="shared" si="1"/>
        <v>2.2451362635620954E-2</v>
      </c>
      <c r="J11" s="3078">
        <f t="shared" si="1"/>
        <v>-7.3408342903491051E-3</v>
      </c>
      <c r="K11" s="3078">
        <f t="shared" si="1"/>
        <v>2.3287321631141993E-3</v>
      </c>
      <c r="L11" s="3078">
        <f t="shared" ref="L11:L28" si="3">IFERROR(IF(SUM(E11)=0,"NA",S11/E11),"NA")</f>
        <v>-2.2892839600110324E-2</v>
      </c>
      <c r="M11" s="3128" t="str">
        <f t="shared" ref="M11:M28" si="4">IFERROR(IF(SUM(F11)=0,"NA",T11/F11),"NA")</f>
        <v>NA</v>
      </c>
      <c r="N11" s="3109">
        <f t="shared" si="2"/>
        <v>5463.3942464107586</v>
      </c>
      <c r="O11" s="3109">
        <f t="shared" si="2"/>
        <v>-2739.7872951640484</v>
      </c>
      <c r="P11" s="3109">
        <f t="shared" si="2"/>
        <v>2723.6069512467102</v>
      </c>
      <c r="Q11" s="3109">
        <f t="shared" si="2"/>
        <v>-890.52711969578218</v>
      </c>
      <c r="R11" s="3566">
        <f t="shared" si="2"/>
        <v>282.50183340705723</v>
      </c>
      <c r="S11" s="3566">
        <f t="shared" si="2"/>
        <v>-2777.1631539954387</v>
      </c>
      <c r="T11" s="3566" t="str">
        <f t="shared" si="2"/>
        <v>IE</v>
      </c>
      <c r="U11" s="3567">
        <f t="shared" si="2"/>
        <v>2425.7987931373291</v>
      </c>
      <c r="W11" s="2397"/>
    </row>
    <row r="12" spans="2:23" ht="18" customHeight="1" x14ac:dyDescent="0.2">
      <c r="B12" s="500"/>
      <c r="C12" s="508" t="s">
        <v>2220</v>
      </c>
      <c r="D12" s="3568">
        <f>IF(SUM(E12:F12)=0,E12,SUM(E12:F12))</f>
        <v>12271.622612455763</v>
      </c>
      <c r="E12" s="3569">
        <v>12271.622612455763</v>
      </c>
      <c r="F12" s="3554" t="s">
        <v>2153</v>
      </c>
      <c r="G12" s="3558">
        <f>IFERROR(IF(SUM($D12)=0,"NA",N12/$D12),"NA")</f>
        <v>0.44520552977773159</v>
      </c>
      <c r="H12" s="3078" t="str">
        <f>IFERROR(IF(SUM($D12)=0,"NA",O12/$D12),"NA")</f>
        <v>NA</v>
      </c>
      <c r="I12" s="3078">
        <f>IFERROR(IF(SUM($D12)=0,"NA",P12/$D12),"NA")</f>
        <v>0.44520552977773159</v>
      </c>
      <c r="J12" s="3078">
        <f>IFERROR(IF(SUM($D12)=0,"NA",Q12/$D12),"NA")</f>
        <v>-2.8480879097521148E-2</v>
      </c>
      <c r="K12" s="3078">
        <f>IFERROR(IF(SUM($D12)=0,"NA",R12/$D12),"NA")</f>
        <v>3.1336082422219844E-2</v>
      </c>
      <c r="L12" s="3078">
        <f t="shared" si="3"/>
        <v>-0.27357231296738582</v>
      </c>
      <c r="M12" s="3128" t="str">
        <f t="shared" si="4"/>
        <v>NA</v>
      </c>
      <c r="N12" s="2905">
        <v>5463.3942464107586</v>
      </c>
      <c r="O12" s="2905" t="s">
        <v>2153</v>
      </c>
      <c r="P12" s="3109">
        <f>IF(SUM(N12:O12)=0,N12,SUM(N12:O12))</f>
        <v>5463.3942464107586</v>
      </c>
      <c r="Q12" s="2905">
        <v>-349.50659995575921</v>
      </c>
      <c r="R12" s="2906">
        <v>384.5445776382906</v>
      </c>
      <c r="S12" s="2906">
        <v>-3357.1761819523972</v>
      </c>
      <c r="T12" s="2906" t="s">
        <v>2153</v>
      </c>
      <c r="U12" s="3570">
        <f>IF(SUM(P12:T12)=0,P12,SUM(P12:T12)*-44/12)</f>
        <v>-7851.272154516606</v>
      </c>
      <c r="W12" s="2398"/>
    </row>
    <row r="13" spans="2:23" ht="18" customHeight="1" x14ac:dyDescent="0.2">
      <c r="B13" s="500"/>
      <c r="C13" s="508" t="s">
        <v>2221</v>
      </c>
      <c r="D13" s="3568">
        <f t="shared" ref="D13:D15" si="5">IF(SUM(E13:F13)=0,E13,SUM(E13:F13))</f>
        <v>682.24894237664353</v>
      </c>
      <c r="E13" s="3569">
        <v>682.24894237664353</v>
      </c>
      <c r="F13" s="3554" t="s">
        <v>2153</v>
      </c>
      <c r="G13" s="3558" t="str">
        <f t="shared" ref="G13:K28" si="6">IFERROR(IF(SUM($D13)=0,"NA",N13/$D13),"NA")</f>
        <v>NA</v>
      </c>
      <c r="H13" s="3078">
        <f t="shared" si="6"/>
        <v>-2.3989526840435795</v>
      </c>
      <c r="I13" s="3078">
        <f t="shared" si="6"/>
        <v>-2.3989526840435795</v>
      </c>
      <c r="J13" s="3078">
        <f t="shared" si="6"/>
        <v>8.72070560307074E-2</v>
      </c>
      <c r="K13" s="3078">
        <f t="shared" si="6"/>
        <v>9.2846728726207042E-2</v>
      </c>
      <c r="L13" s="3078">
        <f t="shared" si="3"/>
        <v>0.85014866558306146</v>
      </c>
      <c r="M13" s="3128" t="str">
        <f t="shared" si="4"/>
        <v>NA</v>
      </c>
      <c r="N13" s="2905" t="s">
        <v>2153</v>
      </c>
      <c r="O13" s="2905">
        <v>-1636.6829315003424</v>
      </c>
      <c r="P13" s="3109">
        <f t="shared" ref="P13:P15" si="7">IF(SUM(N13:O13)=0,N13,SUM(N13:O13))</f>
        <v>-1636.6829315003424</v>
      </c>
      <c r="Q13" s="2905">
        <v>59.49692174473082</v>
      </c>
      <c r="R13" s="2906">
        <v>63.344582476585877</v>
      </c>
      <c r="S13" s="2906">
        <v>580.01302795695847</v>
      </c>
      <c r="T13" s="2906" t="s">
        <v>2153</v>
      </c>
      <c r="U13" s="3570">
        <f t="shared" ref="U13:U15" si="8">IF(SUM(P13:T13)=0,P13,SUM(P13:T13)*-44/12)</f>
        <v>3424.0374641809135</v>
      </c>
      <c r="W13" s="2398"/>
    </row>
    <row r="14" spans="2:23" ht="18" customHeight="1" x14ac:dyDescent="0.2">
      <c r="B14" s="500"/>
      <c r="C14" s="508" t="s">
        <v>2222</v>
      </c>
      <c r="D14" s="3568">
        <f t="shared" si="5"/>
        <v>108357.56042593659</v>
      </c>
      <c r="E14" s="3569">
        <v>108357.56042593659</v>
      </c>
      <c r="F14" s="3554" t="s">
        <v>2153</v>
      </c>
      <c r="G14" s="3558" t="str">
        <f t="shared" si="6"/>
        <v>NA</v>
      </c>
      <c r="H14" s="3078">
        <f t="shared" si="6"/>
        <v>-4.2285475146277103E-3</v>
      </c>
      <c r="I14" s="3078">
        <f t="shared" si="6"/>
        <v>-4.2285475146277103E-3</v>
      </c>
      <c r="J14" s="3078">
        <f t="shared" si="6"/>
        <v>-5.0219299509282906E-3</v>
      </c>
      <c r="K14" s="3078">
        <f t="shared" si="6"/>
        <v>-1.5263109104496962E-3</v>
      </c>
      <c r="L14" s="3078" t="str">
        <f t="shared" si="3"/>
        <v>NA</v>
      </c>
      <c r="M14" s="3128" t="str">
        <f t="shared" si="4"/>
        <v>NA</v>
      </c>
      <c r="N14" s="2905" t="s">
        <v>2153</v>
      </c>
      <c r="O14" s="2905">
        <v>-458.19509283021614</v>
      </c>
      <c r="P14" s="3109">
        <f t="shared" si="7"/>
        <v>-458.19509283021614</v>
      </c>
      <c r="Q14" s="2905">
        <v>-544.16407811253305</v>
      </c>
      <c r="R14" s="2906">
        <v>-165.38732670781926</v>
      </c>
      <c r="S14" s="2906" t="s">
        <v>2147</v>
      </c>
      <c r="T14" s="2906" t="s">
        <v>2147</v>
      </c>
      <c r="U14" s="3570">
        <f t="shared" si="8"/>
        <v>4281.7371580520839</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-644.90927083348947</v>
      </c>
      <c r="P15" s="3109">
        <f t="shared" si="7"/>
        <v>-644.90927083348947</v>
      </c>
      <c r="Q15" s="2905">
        <v>-56.353363372220599</v>
      </c>
      <c r="R15" s="2906" t="s">
        <v>2147</v>
      </c>
      <c r="S15" s="2906" t="s">
        <v>2147</v>
      </c>
      <c r="T15" s="2906" t="s">
        <v>2147</v>
      </c>
      <c r="U15" s="3570">
        <f t="shared" si="8"/>
        <v>2571.2963254209371</v>
      </c>
      <c r="W15" s="2398"/>
    </row>
    <row r="16" spans="2:23" ht="18" customHeight="1" x14ac:dyDescent="0.2">
      <c r="B16" s="485" t="s">
        <v>1041</v>
      </c>
      <c r="C16" s="504"/>
      <c r="D16" s="3568">
        <f>IF(SUM(D17,D19,D23,D25,D27)=0,"IE",SUM(D17,D19,D23,D25,D27))</f>
        <v>10280.597202321524</v>
      </c>
      <c r="E16" s="3571">
        <f t="shared" ref="E16:T16" si="9">IF(SUM(E17,E19,E23,E25,E27)=0,"IE",SUM(E17,E19,E23,E25,E27))</f>
        <v>10130.490255987665</v>
      </c>
      <c r="F16" s="3572">
        <f t="shared" si="9"/>
        <v>150.10694633385884</v>
      </c>
      <c r="G16" s="3558">
        <f t="shared" si="6"/>
        <v>0.88721074374893327</v>
      </c>
      <c r="H16" s="3078" t="str">
        <f t="shared" si="6"/>
        <v>NA</v>
      </c>
      <c r="I16" s="3078">
        <f t="shared" si="6"/>
        <v>0.88721074374893327</v>
      </c>
      <c r="J16" s="3078">
        <f t="shared" si="6"/>
        <v>6.0109880979359258E-2</v>
      </c>
      <c r="K16" s="3078">
        <f t="shared" si="6"/>
        <v>6.6024631269922293E-2</v>
      </c>
      <c r="L16" s="3078">
        <f t="shared" si="3"/>
        <v>-0.22936239448211085</v>
      </c>
      <c r="M16" s="3128">
        <f t="shared" si="4"/>
        <v>-0.4244433690826579</v>
      </c>
      <c r="N16" s="3078">
        <f t="shared" si="9"/>
        <v>9121.0562900548812</v>
      </c>
      <c r="O16" s="3078" t="str">
        <f t="shared" si="9"/>
        <v>IE</v>
      </c>
      <c r="P16" s="3078">
        <f t="shared" si="9"/>
        <v>9121.0562900548812</v>
      </c>
      <c r="Q16" s="3078">
        <f t="shared" si="9"/>
        <v>617.96547422828053</v>
      </c>
      <c r="R16" s="3573">
        <f t="shared" si="9"/>
        <v>678.77263951787336</v>
      </c>
      <c r="S16" s="3573">
        <f t="shared" si="9"/>
        <v>-2323.5535023910229</v>
      </c>
      <c r="T16" s="3573">
        <f t="shared" si="9"/>
        <v>-63.711898024652768</v>
      </c>
      <c r="U16" s="3570">
        <f>IF(SUM(U17,U19,U23,U25,U27)=0,"IE",SUM(U17,U19,U23,U25,U27))</f>
        <v>-29445.273012412988</v>
      </c>
      <c r="W16" s="2019"/>
    </row>
    <row r="17" spans="2:23" ht="18" customHeight="1" x14ac:dyDescent="0.2">
      <c r="B17" s="487" t="s">
        <v>1042</v>
      </c>
      <c r="C17" s="504"/>
      <c r="D17" s="3568">
        <f>D18</f>
        <v>63.988999999999997</v>
      </c>
      <c r="E17" s="3571">
        <f t="shared" ref="E17:U17" si="10">E18</f>
        <v>63.988999999999997</v>
      </c>
      <c r="F17" s="3572" t="str">
        <f t="shared" si="10"/>
        <v>NO</v>
      </c>
      <c r="G17" s="3558">
        <f t="shared" si="6"/>
        <v>1.2442138492553405</v>
      </c>
      <c r="H17" s="3078" t="str">
        <f t="shared" si="6"/>
        <v>NA</v>
      </c>
      <c r="I17" s="3078">
        <f t="shared" si="6"/>
        <v>1.2442138492553405</v>
      </c>
      <c r="J17" s="3078">
        <f t="shared" si="6"/>
        <v>2.6207629436309367E-2</v>
      </c>
      <c r="K17" s="3078">
        <f t="shared" si="6"/>
        <v>1.6393442622950821E-2</v>
      </c>
      <c r="L17" s="3078">
        <f t="shared" si="3"/>
        <v>-0.37057931832033636</v>
      </c>
      <c r="M17" s="3128" t="str">
        <f t="shared" si="4"/>
        <v>NA</v>
      </c>
      <c r="N17" s="3078">
        <f t="shared" si="10"/>
        <v>79.615999999999985</v>
      </c>
      <c r="O17" s="3078" t="str">
        <f t="shared" si="10"/>
        <v>IE</v>
      </c>
      <c r="P17" s="3078">
        <f t="shared" si="10"/>
        <v>79.615999999999985</v>
      </c>
      <c r="Q17" s="3078">
        <f t="shared" si="10"/>
        <v>1.677</v>
      </c>
      <c r="R17" s="3573">
        <f t="shared" si="10"/>
        <v>1.0489999999999999</v>
      </c>
      <c r="S17" s="3573">
        <f t="shared" si="10"/>
        <v>-23.713000000000001</v>
      </c>
      <c r="T17" s="3573" t="str">
        <f t="shared" si="10"/>
        <v>NO</v>
      </c>
      <c r="U17" s="3570">
        <f t="shared" si="10"/>
        <v>-214.97299999999998</v>
      </c>
      <c r="W17" s="2019"/>
    </row>
    <row r="18" spans="2:23" ht="18" customHeight="1" x14ac:dyDescent="0.2">
      <c r="B18" s="488"/>
      <c r="C18" s="508" t="s">
        <v>278</v>
      </c>
      <c r="D18" s="3568">
        <f>IF(SUM(E18:F18)=0,E18,SUM(E18:F18))</f>
        <v>63.988999999999997</v>
      </c>
      <c r="E18" s="3569">
        <v>63.988999999999997</v>
      </c>
      <c r="F18" s="3554" t="s">
        <v>2146</v>
      </c>
      <c r="G18" s="3558">
        <f t="shared" si="6"/>
        <v>1.2442138492553405</v>
      </c>
      <c r="H18" s="3078" t="str">
        <f t="shared" si="6"/>
        <v>NA</v>
      </c>
      <c r="I18" s="3078">
        <f t="shared" si="6"/>
        <v>1.2442138492553405</v>
      </c>
      <c r="J18" s="3078">
        <f t="shared" si="6"/>
        <v>2.6207629436309367E-2</v>
      </c>
      <c r="K18" s="3078">
        <f t="shared" si="6"/>
        <v>1.6393442622950821E-2</v>
      </c>
      <c r="L18" s="3078">
        <f t="shared" si="3"/>
        <v>-0.37057931832033636</v>
      </c>
      <c r="M18" s="3128" t="str">
        <f t="shared" si="4"/>
        <v>NA</v>
      </c>
      <c r="N18" s="2905">
        <v>79.615999999999985</v>
      </c>
      <c r="O18" s="2905" t="s">
        <v>2153</v>
      </c>
      <c r="P18" s="3109">
        <f>IF(SUM(N18:O18)=0,N18,SUM(N18:O18))</f>
        <v>79.615999999999985</v>
      </c>
      <c r="Q18" s="2905">
        <v>1.677</v>
      </c>
      <c r="R18" s="2906">
        <v>1.0489999999999999</v>
      </c>
      <c r="S18" s="2906">
        <v>-23.713000000000001</v>
      </c>
      <c r="T18" s="2906" t="s">
        <v>2146</v>
      </c>
      <c r="U18" s="3570">
        <f t="shared" ref="U18" si="11">IF(SUM(P18:T18)=0,P18,SUM(P18:T18)*-44/12)</f>
        <v>-214.97299999999998</v>
      </c>
      <c r="W18" s="2398"/>
    </row>
    <row r="19" spans="2:23" ht="18" customHeight="1" x14ac:dyDescent="0.2">
      <c r="B19" s="487" t="s">
        <v>1043</v>
      </c>
      <c r="C19" s="504"/>
      <c r="D19" s="3563">
        <f>IF(SUM(D20:D22)=0,"IE",SUM(D20:D22))</f>
        <v>10016.677255987664</v>
      </c>
      <c r="E19" s="3571">
        <f t="shared" ref="E19:U19" si="12">IF(SUM(E20:E22)=0,"IE",SUM(E20:E22))</f>
        <v>10016.677255987664</v>
      </c>
      <c r="F19" s="3572" t="str">
        <f t="shared" si="12"/>
        <v>IE</v>
      </c>
      <c r="G19" s="3558">
        <f t="shared" si="6"/>
        <v>0.77071780694371894</v>
      </c>
      <c r="H19" s="3078" t="str">
        <f t="shared" si="6"/>
        <v>NA</v>
      </c>
      <c r="I19" s="3078">
        <f t="shared" si="6"/>
        <v>0.77071780694371894</v>
      </c>
      <c r="J19" s="3078">
        <f t="shared" si="6"/>
        <v>7.1705726626454025E-2</v>
      </c>
      <c r="K19" s="3078">
        <f t="shared" si="6"/>
        <v>6.2710143565758353E-2</v>
      </c>
      <c r="L19" s="3078">
        <f t="shared" si="3"/>
        <v>-0.22625891245884558</v>
      </c>
      <c r="M19" s="3128" t="str">
        <f t="shared" si="4"/>
        <v>NA</v>
      </c>
      <c r="N19" s="3078">
        <f t="shared" si="12"/>
        <v>7720.031527597841</v>
      </c>
      <c r="O19" s="3078" t="str">
        <f t="shared" si="12"/>
        <v>IE</v>
      </c>
      <c r="P19" s="3078">
        <f t="shared" si="12"/>
        <v>7720.031527597841</v>
      </c>
      <c r="Q19" s="3078">
        <f t="shared" si="12"/>
        <v>718.25312102327109</v>
      </c>
      <c r="R19" s="3573">
        <f t="shared" si="12"/>
        <v>628.14726877485282</v>
      </c>
      <c r="S19" s="3573">
        <f t="shared" si="12"/>
        <v>-2266.3625023910226</v>
      </c>
      <c r="T19" s="3573" t="str">
        <f t="shared" si="12"/>
        <v>IE</v>
      </c>
      <c r="U19" s="3570">
        <f t="shared" si="12"/>
        <v>-24933.587855018122</v>
      </c>
      <c r="W19" s="2019"/>
    </row>
    <row r="20" spans="2:23" ht="18" customHeight="1" x14ac:dyDescent="0.2">
      <c r="B20" s="496"/>
      <c r="C20" s="508" t="s">
        <v>2223</v>
      </c>
      <c r="D20" s="3568">
        <f>IF(SUM(E20:F20)=0,E20,SUM(E20:F20))</f>
        <v>2450.6459999999997</v>
      </c>
      <c r="E20" s="3569">
        <v>2450.6459999999997</v>
      </c>
      <c r="F20" s="3554" t="s">
        <v>2146</v>
      </c>
      <c r="G20" s="3558">
        <f t="shared" si="6"/>
        <v>1.4162547344659333</v>
      </c>
      <c r="H20" s="3078" t="str">
        <f t="shared" si="6"/>
        <v>NA</v>
      </c>
      <c r="I20" s="3078">
        <f t="shared" si="6"/>
        <v>1.4162547344659333</v>
      </c>
      <c r="J20" s="3078">
        <f t="shared" si="6"/>
        <v>3.2677506257533857E-2</v>
      </c>
      <c r="K20" s="3078">
        <f t="shared" si="6"/>
        <v>2.3449327238613794E-2</v>
      </c>
      <c r="L20" s="3078">
        <f t="shared" si="3"/>
        <v>-0.50386551137944824</v>
      </c>
      <c r="M20" s="3128" t="str">
        <f t="shared" si="4"/>
        <v>NA</v>
      </c>
      <c r="N20" s="2905">
        <v>3470.7390000000009</v>
      </c>
      <c r="O20" s="2905" t="s">
        <v>2153</v>
      </c>
      <c r="P20" s="3109">
        <f>IF(SUM(N20:O20)=0,N20,SUM(N20:O20))</f>
        <v>3470.7390000000009</v>
      </c>
      <c r="Q20" s="2905">
        <v>80.081000000000301</v>
      </c>
      <c r="R20" s="2906">
        <v>57.465999999999937</v>
      </c>
      <c r="S20" s="2906">
        <v>-1234.7959999999991</v>
      </c>
      <c r="T20" s="2906" t="s">
        <v>2146</v>
      </c>
      <c r="U20" s="3570">
        <f t="shared" ref="U20:U22" si="13">IF(SUM(P20:T20)=0,P20,SUM(P20:T20)*-44/12)</f>
        <v>-8702.7966666666725</v>
      </c>
      <c r="W20" s="2398"/>
    </row>
    <row r="21" spans="2:23" ht="18" customHeight="1" x14ac:dyDescent="0.2">
      <c r="B21" s="500"/>
      <c r="C21" s="508" t="s">
        <v>2291</v>
      </c>
      <c r="D21" s="3568">
        <f>IF(SUM(E21:F21)=0,E21,SUM(E21:F21))</f>
        <v>7566.0312559876647</v>
      </c>
      <c r="E21" s="3569">
        <v>7566.0312559876647</v>
      </c>
      <c r="F21" s="3554" t="s">
        <v>2146</v>
      </c>
      <c r="G21" s="3558">
        <f t="shared" si="6"/>
        <v>0.56148906065760995</v>
      </c>
      <c r="H21" s="3078" t="str">
        <f t="shared" si="6"/>
        <v>NA</v>
      </c>
      <c r="I21" s="3078">
        <f t="shared" si="6"/>
        <v>0.56148906065760995</v>
      </c>
      <c r="J21" s="3078">
        <f t="shared" si="6"/>
        <v>8.4346012921107855E-2</v>
      </c>
      <c r="K21" s="3078">
        <f t="shared" si="6"/>
        <v>7.5426765957809477E-2</v>
      </c>
      <c r="L21" s="3078">
        <f t="shared" si="3"/>
        <v>-0.1363418240672287</v>
      </c>
      <c r="M21" s="3128" t="str">
        <f t="shared" si="4"/>
        <v>NA</v>
      </c>
      <c r="N21" s="2905">
        <v>4248.2437828306311</v>
      </c>
      <c r="O21" s="2905" t="s">
        <v>2153</v>
      </c>
      <c r="P21" s="3109">
        <f t="shared" ref="P21:P28" si="14">IF(SUM(N21:O21)=0,N21,SUM(N21:O21))</f>
        <v>4248.2437828306311</v>
      </c>
      <c r="Q21" s="2905">
        <v>638.16457007904148</v>
      </c>
      <c r="R21" s="2906">
        <v>570.68126877485292</v>
      </c>
      <c r="S21" s="2906">
        <v>-1031.5665023910235</v>
      </c>
      <c r="T21" s="2906" t="s">
        <v>2146</v>
      </c>
      <c r="U21" s="3570">
        <f t="shared" si="13"/>
        <v>-16226.918104076174</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1.0487447672096675</v>
      </c>
      <c r="O22" s="2905" t="s">
        <v>2153</v>
      </c>
      <c r="P22" s="3109">
        <f t="shared" si="14"/>
        <v>1.0487447672096675</v>
      </c>
      <c r="Q22" s="2905">
        <v>7.5509442293879708E-3</v>
      </c>
      <c r="R22" s="2906" t="s">
        <v>2147</v>
      </c>
      <c r="S22" s="2906" t="s">
        <v>2147</v>
      </c>
      <c r="T22" s="2906" t="s">
        <v>2147</v>
      </c>
      <c r="U22" s="3570">
        <f t="shared" si="13"/>
        <v>-3.8730842752765366</v>
      </c>
      <c r="W22" s="2398"/>
    </row>
    <row r="23" spans="2:23" ht="18" customHeight="1" x14ac:dyDescent="0.2">
      <c r="B23" s="487" t="s">
        <v>1044</v>
      </c>
      <c r="C23" s="504"/>
      <c r="D23" s="3568">
        <f>D24</f>
        <v>150.10694633385884</v>
      </c>
      <c r="E23" s="3571" t="str">
        <f t="shared" ref="E23" si="15">E24</f>
        <v>NO</v>
      </c>
      <c r="F23" s="3572">
        <f t="shared" ref="F23" si="16">F24</f>
        <v>150.10694633385884</v>
      </c>
      <c r="G23" s="3558">
        <f t="shared" si="6"/>
        <v>8.2541334209898896</v>
      </c>
      <c r="H23" s="3078" t="str">
        <f t="shared" si="6"/>
        <v>NA</v>
      </c>
      <c r="I23" s="3078">
        <f t="shared" si="6"/>
        <v>8.2541334209898896</v>
      </c>
      <c r="J23" s="3078">
        <f t="shared" si="6"/>
        <v>-0.69786008811346933</v>
      </c>
      <c r="K23" s="3078">
        <f t="shared" si="6"/>
        <v>0.31732289481846893</v>
      </c>
      <c r="L23" s="3078" t="str">
        <f t="shared" si="3"/>
        <v>NA</v>
      </c>
      <c r="M23" s="3128">
        <f t="shared" si="4"/>
        <v>-0.4244433690826579</v>
      </c>
      <c r="N23" s="3078">
        <f t="shared" ref="N23" si="17">N24</f>
        <v>1239.00276245704</v>
      </c>
      <c r="O23" s="3078" t="str">
        <f t="shared" ref="O23" si="18">O24</f>
        <v>IE</v>
      </c>
      <c r="P23" s="3078">
        <f t="shared" ref="P23" si="19">P24</f>
        <v>1239.00276245704</v>
      </c>
      <c r="Q23" s="3078">
        <f t="shared" ref="Q23" si="20">Q24</f>
        <v>-104.75364679499054</v>
      </c>
      <c r="R23" s="3573">
        <f t="shared" ref="R23" si="21">R24</f>
        <v>47.632370743020651</v>
      </c>
      <c r="S23" s="3573" t="str">
        <f t="shared" ref="S23" si="22">S24</f>
        <v>NO</v>
      </c>
      <c r="T23" s="3573">
        <f t="shared" ref="T23" si="23">T24</f>
        <v>-63.711898024652768</v>
      </c>
      <c r="U23" s="3570">
        <f t="shared" ref="U23" si="24">U24</f>
        <v>-4099.9551573948638</v>
      </c>
      <c r="W23" s="2019"/>
    </row>
    <row r="24" spans="2:23" ht="18" customHeight="1" x14ac:dyDescent="0.2">
      <c r="B24" s="488"/>
      <c r="C24" s="508" t="s">
        <v>278</v>
      </c>
      <c r="D24" s="3568">
        <f>IF(SUM(E24:F24)=0,E24,SUM(E24:F24))</f>
        <v>150.10694633385884</v>
      </c>
      <c r="E24" s="3569" t="s">
        <v>2146</v>
      </c>
      <c r="F24" s="3554">
        <v>150.10694633385884</v>
      </c>
      <c r="G24" s="3558">
        <f t="shared" si="6"/>
        <v>8.2541334209898896</v>
      </c>
      <c r="H24" s="3078" t="str">
        <f t="shared" si="6"/>
        <v>NA</v>
      </c>
      <c r="I24" s="3078">
        <f t="shared" si="6"/>
        <v>8.2541334209898896</v>
      </c>
      <c r="J24" s="3078">
        <f t="shared" si="6"/>
        <v>-0.69786008811346933</v>
      </c>
      <c r="K24" s="3078">
        <f t="shared" si="6"/>
        <v>0.31732289481846893</v>
      </c>
      <c r="L24" s="3078" t="str">
        <f t="shared" si="3"/>
        <v>NA</v>
      </c>
      <c r="M24" s="3128">
        <f t="shared" si="4"/>
        <v>-0.4244433690826579</v>
      </c>
      <c r="N24" s="2905">
        <v>1239.00276245704</v>
      </c>
      <c r="O24" s="2905" t="s">
        <v>2153</v>
      </c>
      <c r="P24" s="3109">
        <f t="shared" si="14"/>
        <v>1239.00276245704</v>
      </c>
      <c r="Q24" s="2905">
        <v>-104.75364679499054</v>
      </c>
      <c r="R24" s="2906">
        <v>47.632370743020651</v>
      </c>
      <c r="S24" s="2906" t="s">
        <v>2146</v>
      </c>
      <c r="T24" s="2906">
        <v>-63.711898024652768</v>
      </c>
      <c r="U24" s="3570">
        <f t="shared" ref="U24" si="25">IF(SUM(P24:T24)=0,P24,SUM(P24:T24)*-44/12)</f>
        <v>-4099.9551573948638</v>
      </c>
      <c r="W24" s="2398"/>
    </row>
    <row r="25" spans="2:23" ht="18" customHeight="1" x14ac:dyDescent="0.2">
      <c r="B25" s="487" t="s">
        <v>1045</v>
      </c>
      <c r="C25" s="504"/>
      <c r="D25" s="3568">
        <f>D26</f>
        <v>49.823999999999998</v>
      </c>
      <c r="E25" s="3571">
        <f t="shared" ref="E25" si="26">E26</f>
        <v>49.823999999999998</v>
      </c>
      <c r="F25" s="3572" t="str">
        <f t="shared" ref="F25" si="27">F26</f>
        <v>NO</v>
      </c>
      <c r="G25" s="3558">
        <f t="shared" si="6"/>
        <v>1.6539418754014128</v>
      </c>
      <c r="H25" s="3078" t="str">
        <f t="shared" si="6"/>
        <v>NA</v>
      </c>
      <c r="I25" s="3078">
        <f t="shared" si="6"/>
        <v>1.6539418754014128</v>
      </c>
      <c r="J25" s="3078">
        <f t="shared" si="6"/>
        <v>5.5977039177906224E-2</v>
      </c>
      <c r="K25" s="3078">
        <f t="shared" si="6"/>
        <v>3.9017341040462436E-2</v>
      </c>
      <c r="L25" s="3078">
        <f t="shared" si="3"/>
        <v>-0.67192517662170848</v>
      </c>
      <c r="M25" s="3128" t="str">
        <f t="shared" si="4"/>
        <v>NA</v>
      </c>
      <c r="N25" s="3078">
        <f t="shared" ref="N25" si="28">N26</f>
        <v>82.405999999999992</v>
      </c>
      <c r="O25" s="3078" t="str">
        <f t="shared" ref="O25" si="29">O26</f>
        <v>IE</v>
      </c>
      <c r="P25" s="3078">
        <f t="shared" ref="P25" si="30">P26</f>
        <v>82.405999999999992</v>
      </c>
      <c r="Q25" s="3078">
        <f t="shared" ref="Q25" si="31">Q26</f>
        <v>2.7889999999999997</v>
      </c>
      <c r="R25" s="3573">
        <f t="shared" ref="R25" si="32">R26</f>
        <v>1.9440000000000002</v>
      </c>
      <c r="S25" s="3573">
        <f t="shared" ref="S25" si="33">S26</f>
        <v>-33.478000000000002</v>
      </c>
      <c r="T25" s="3573" t="str">
        <f t="shared" ref="T25" si="34">T26</f>
        <v>NO</v>
      </c>
      <c r="U25" s="3570">
        <f t="shared" ref="U25" si="35">U26</f>
        <v>-196.75699999999998</v>
      </c>
      <c r="W25" s="2019"/>
    </row>
    <row r="26" spans="2:23" ht="18" customHeight="1" x14ac:dyDescent="0.2">
      <c r="B26" s="488"/>
      <c r="C26" s="508" t="s">
        <v>278</v>
      </c>
      <c r="D26" s="3568">
        <f>IF(SUM(E26:F26)=0,E26,SUM(E26:F26))</f>
        <v>49.823999999999998</v>
      </c>
      <c r="E26" s="3569">
        <v>49.823999999999998</v>
      </c>
      <c r="F26" s="3554" t="s">
        <v>2146</v>
      </c>
      <c r="G26" s="3558">
        <f t="shared" si="6"/>
        <v>1.6539418754014128</v>
      </c>
      <c r="H26" s="3078" t="str">
        <f t="shared" si="6"/>
        <v>NA</v>
      </c>
      <c r="I26" s="3078">
        <f t="shared" si="6"/>
        <v>1.6539418754014128</v>
      </c>
      <c r="J26" s="3078">
        <f t="shared" si="6"/>
        <v>5.5977039177906224E-2</v>
      </c>
      <c r="K26" s="3078">
        <f t="shared" si="6"/>
        <v>3.9017341040462436E-2</v>
      </c>
      <c r="L26" s="3078">
        <f t="shared" si="3"/>
        <v>-0.67192517662170848</v>
      </c>
      <c r="M26" s="3128" t="str">
        <f t="shared" si="4"/>
        <v>NA</v>
      </c>
      <c r="N26" s="2905">
        <v>82.405999999999992</v>
      </c>
      <c r="O26" s="2905" t="s">
        <v>2153</v>
      </c>
      <c r="P26" s="3109">
        <f t="shared" si="14"/>
        <v>82.405999999999992</v>
      </c>
      <c r="Q26" s="2905">
        <v>2.7889999999999997</v>
      </c>
      <c r="R26" s="2906">
        <v>1.9440000000000002</v>
      </c>
      <c r="S26" s="2906">
        <v>-33.478000000000002</v>
      </c>
      <c r="T26" s="2906" t="s">
        <v>2146</v>
      </c>
      <c r="U26" s="3570">
        <f t="shared" ref="U26" si="36">IF(SUM(P26:T26)=0,P26,SUM(P26:T26)*-44/12)</f>
        <v>-196.75699999999998</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39971.222446288812</v>
      </c>
      <c r="E10" s="3583">
        <f t="shared" ref="E10:F10" si="0">IF(SUM(E11,E13)=0,"IE",SUM(E11,E13))</f>
        <v>39968.222446288812</v>
      </c>
      <c r="F10" s="3584">
        <f t="shared" si="0"/>
        <v>3</v>
      </c>
      <c r="G10" s="3558">
        <f>IFERROR(IF(SUM($D10)=0,"NA",M10/$D10),"NA")</f>
        <v>1.8902714454417486E-3</v>
      </c>
      <c r="H10" s="3583">
        <f t="shared" ref="H10:J10" si="1">IFERROR(IF(SUM($D10)=0,"NA",N10/$D10),"NA")</f>
        <v>-3.3800567441125144E-3</v>
      </c>
      <c r="I10" s="3583">
        <f t="shared" si="1"/>
        <v>-1.4897852986707658E-3</v>
      </c>
      <c r="J10" s="3583">
        <f t="shared" si="1"/>
        <v>-4.0184410225590477E-3</v>
      </c>
      <c r="K10" s="3585">
        <f>IFERROR(IF(SUM(E10)=0,"NA",Q10/E10),"NA")</f>
        <v>-2.8148505161175997E-2</v>
      </c>
      <c r="L10" s="3584">
        <f>IFERROR(IF(SUM(F10)=0,"NA",R10/F10),"NA")</f>
        <v>-12.475</v>
      </c>
      <c r="M10" s="3586">
        <f>IF(SUM(M11,M13)=0,"IE",SUM(M11,M13))</f>
        <v>75.556460429620017</v>
      </c>
      <c r="N10" s="3583">
        <f t="shared" ref="N10:S10" si="2">IF(SUM(N11,N13)=0,"IE",SUM(N11,N13))</f>
        <v>-135.10500000000002</v>
      </c>
      <c r="O10" s="3587">
        <f t="shared" si="2"/>
        <v>-59.548539570380001</v>
      </c>
      <c r="P10" s="3583">
        <f t="shared" si="2"/>
        <v>-160.62199999999999</v>
      </c>
      <c r="Q10" s="3585">
        <f t="shared" si="2"/>
        <v>-1125.0457158123909</v>
      </c>
      <c r="R10" s="3585">
        <f t="shared" si="2"/>
        <v>-37.424999999999997</v>
      </c>
      <c r="S10" s="3588">
        <f t="shared" si="2"/>
        <v>5069.6846030701599</v>
      </c>
      <c r="U10" s="2261"/>
    </row>
    <row r="11" spans="2:21" ht="18" customHeight="1" x14ac:dyDescent="0.2">
      <c r="B11" s="499" t="s">
        <v>985</v>
      </c>
      <c r="C11" s="2256"/>
      <c r="D11" s="3589">
        <f>D12</f>
        <v>37673.511505260998</v>
      </c>
      <c r="E11" s="3078">
        <f t="shared" ref="E11" si="3">E12</f>
        <v>37673.511505260998</v>
      </c>
      <c r="F11" s="3078" t="str">
        <f t="shared" ref="F11" si="4">F12</f>
        <v>IE</v>
      </c>
      <c r="G11" s="3558">
        <f t="shared" ref="G11:G23" si="5">IFERROR(IF(SUM($D11)=0,"NA",M11/$D11),"NA")</f>
        <v>2.0055592752236217E-3</v>
      </c>
      <c r="H11" s="3078" t="str">
        <f t="shared" ref="H11:H23" si="6">IFERROR(IF(SUM($D11)=0,"NA",N11/$D11),"NA")</f>
        <v>NA</v>
      </c>
      <c r="I11" s="3078">
        <f t="shared" ref="I11:I23" si="7">IFERROR(IF(SUM($D11)=0,"NA",O11/$D11),"NA")</f>
        <v>2.0055592752236217E-3</v>
      </c>
      <c r="J11" s="3078" t="str">
        <f t="shared" ref="J11:J23" si="8">IFERROR(IF(SUM($D11)=0,"NA",P11/$D11),"NA")</f>
        <v>NA</v>
      </c>
      <c r="K11" s="3573">
        <f t="shared" ref="K11:K23" si="9">IFERROR(IF(SUM(E11)=0,"NA",Q11/E11),"NA")</f>
        <v>-1.3936527821542932E-2</v>
      </c>
      <c r="L11" s="3128" t="str">
        <f t="shared" ref="L11:L23" si="10">IFERROR(IF(SUM(F11)=0,"NA",R11/F11),"NA")</f>
        <v>NA</v>
      </c>
      <c r="M11" s="3590">
        <f t="shared" ref="M11" si="11">M12</f>
        <v>75.556460429620017</v>
      </c>
      <c r="N11" s="3591" t="str">
        <f t="shared" ref="N11" si="12">N12</f>
        <v>IE</v>
      </c>
      <c r="O11" s="3592">
        <f t="shared" ref="O11" si="13">O12</f>
        <v>75.556460429620017</v>
      </c>
      <c r="P11" s="3591" t="str">
        <f t="shared" ref="P11" si="14">P12</f>
        <v>NA</v>
      </c>
      <c r="Q11" s="3593">
        <f t="shared" ref="Q11" si="15">Q12</f>
        <v>-525.03794122828765</v>
      </c>
      <c r="R11" s="3593" t="str">
        <f t="shared" ref="R11" si="16">R12</f>
        <v>IE</v>
      </c>
      <c r="S11" s="3594">
        <f t="shared" ref="S11" si="17">S12</f>
        <v>1648.098762928448</v>
      </c>
      <c r="U11" s="2258"/>
    </row>
    <row r="12" spans="2:21" ht="18" customHeight="1" x14ac:dyDescent="0.2">
      <c r="B12" s="501"/>
      <c r="C12" s="508" t="s">
        <v>278</v>
      </c>
      <c r="D12" s="3568">
        <f>IF(SUM(E12:F12)=0,E12,SUM(E12:F12))</f>
        <v>37673.511505260998</v>
      </c>
      <c r="E12" s="3569">
        <v>37673.511505260998</v>
      </c>
      <c r="F12" s="3554" t="s">
        <v>2153</v>
      </c>
      <c r="G12" s="3558">
        <f t="shared" si="5"/>
        <v>2.0055592752236217E-3</v>
      </c>
      <c r="H12" s="3078" t="str">
        <f t="shared" si="6"/>
        <v>NA</v>
      </c>
      <c r="I12" s="3078">
        <f t="shared" si="7"/>
        <v>2.0055592752236217E-3</v>
      </c>
      <c r="J12" s="3078" t="str">
        <f t="shared" si="8"/>
        <v>NA</v>
      </c>
      <c r="K12" s="3573">
        <f t="shared" si="9"/>
        <v>-1.3936527821542932E-2</v>
      </c>
      <c r="L12" s="3128" t="str">
        <f t="shared" si="10"/>
        <v>NA</v>
      </c>
      <c r="M12" s="2905">
        <v>75.556460429620017</v>
      </c>
      <c r="N12" s="2905" t="s">
        <v>2153</v>
      </c>
      <c r="O12" s="3109">
        <f>IF(SUM(M12:N12)=0,M12,SUM(M12:N12))</f>
        <v>75.556460429620017</v>
      </c>
      <c r="P12" s="2905" t="s">
        <v>2147</v>
      </c>
      <c r="Q12" s="2906">
        <v>-525.03794122828765</v>
      </c>
      <c r="R12" s="2906" t="s">
        <v>2153</v>
      </c>
      <c r="S12" s="3594">
        <f>IF(SUM(O12:R12)=0,Q12,SUM(O12:R12)*-44/12)</f>
        <v>1648.098762928448</v>
      </c>
      <c r="U12" s="2398"/>
    </row>
    <row r="13" spans="2:21" ht="18" customHeight="1" x14ac:dyDescent="0.2">
      <c r="B13" s="485" t="s">
        <v>1054</v>
      </c>
      <c r="C13" s="504"/>
      <c r="D13" s="3589">
        <f>IF(SUM(D14,D16,D18,D20,D22)=0,"IE",SUM(D14,D16,D18,D20,D22))</f>
        <v>2297.7109410278122</v>
      </c>
      <c r="E13" s="3591">
        <f t="shared" ref="E13:F13" si="18">IF(SUM(E14,E16,E18,E20,E22)=0,"IE",SUM(E14,E16,E18,E20,E22))</f>
        <v>2294.7109410278122</v>
      </c>
      <c r="F13" s="3595">
        <f t="shared" si="18"/>
        <v>3</v>
      </c>
      <c r="G13" s="3558" t="str">
        <f t="shared" si="5"/>
        <v>NA</v>
      </c>
      <c r="H13" s="3078">
        <f t="shared" si="6"/>
        <v>-5.8799824463369982E-2</v>
      </c>
      <c r="I13" s="3078">
        <f t="shared" si="7"/>
        <v>-5.8799824463369982E-2</v>
      </c>
      <c r="J13" s="3078">
        <f t="shared" si="8"/>
        <v>-6.9905224861814233E-2</v>
      </c>
      <c r="K13" s="3573">
        <f t="shared" si="9"/>
        <v>-0.26147422921832453</v>
      </c>
      <c r="L13" s="3128">
        <f t="shared" si="10"/>
        <v>-12.475</v>
      </c>
      <c r="M13" s="3590" t="str">
        <f>IF(SUM(M14,M16,M18,M20,M22)=0,"IE",SUM(M14,M16,M18,M20,M22))</f>
        <v>IE</v>
      </c>
      <c r="N13" s="3591">
        <f t="shared" ref="N13" si="19">IF(SUM(N14,N16,N18,N20,N22)=0,"IE",SUM(N14,N16,N18,N20,N22))</f>
        <v>-135.10500000000002</v>
      </c>
      <c r="O13" s="3592">
        <f t="shared" ref="O13" si="20">IF(SUM(O14,O16,O18,O20,O22)=0,"IE",SUM(O14,O16,O18,O20,O22))</f>
        <v>-135.10500000000002</v>
      </c>
      <c r="P13" s="3592">
        <f t="shared" ref="P13" si="21">IF(SUM(P14,P16,P18,P20,P22)=0,"IE",SUM(P14,P16,P18,P20,P22))</f>
        <v>-160.62199999999999</v>
      </c>
      <c r="Q13" s="3592">
        <f t="shared" ref="Q13" si="22">IF(SUM(Q14,Q16,Q18,Q20,Q22)=0,"IE",SUM(Q14,Q16,Q18,Q20,Q22))</f>
        <v>-600.00777458410334</v>
      </c>
      <c r="R13" s="3592">
        <f t="shared" ref="R13" si="23">IF(SUM(R14,R16,R18,R20,R22)=0,"IE",SUM(R14,R16,R18,R20,R22))</f>
        <v>-37.424999999999997</v>
      </c>
      <c r="S13" s="3594">
        <f t="shared" ref="S13" si="24">IF(SUM(S14,S16,S18,S20,S22)=0,"IE",SUM(S14,S16,S18,S20,S22))</f>
        <v>3421.5858401417117</v>
      </c>
      <c r="U13" s="503"/>
    </row>
    <row r="14" spans="2:21" ht="18" customHeight="1" x14ac:dyDescent="0.2">
      <c r="B14" s="487" t="s">
        <v>1055</v>
      </c>
      <c r="C14" s="504"/>
      <c r="D14" s="3589">
        <f>D15</f>
        <v>2285.0500000000002</v>
      </c>
      <c r="E14" s="3078">
        <f t="shared" ref="E14" si="25">E15</f>
        <v>2285.0500000000002</v>
      </c>
      <c r="F14" s="3078" t="str">
        <f t="shared" ref="F14" si="26">F15</f>
        <v>IE</v>
      </c>
      <c r="G14" s="3558" t="str">
        <f t="shared" si="5"/>
        <v>NA</v>
      </c>
      <c r="H14" s="3078">
        <f t="shared" si="6"/>
        <v>-5.9125620883569291E-2</v>
      </c>
      <c r="I14" s="3078">
        <f t="shared" si="7"/>
        <v>-5.9125620883569291E-2</v>
      </c>
      <c r="J14" s="3078">
        <f t="shared" si="8"/>
        <v>-7.0292553773440389E-2</v>
      </c>
      <c r="K14" s="3573">
        <f t="shared" si="9"/>
        <v>-0.25022822257718647</v>
      </c>
      <c r="L14" s="3128" t="str">
        <f t="shared" si="10"/>
        <v>NA</v>
      </c>
      <c r="M14" s="3590" t="str">
        <f t="shared" ref="M14" si="27">M15</f>
        <v>IE</v>
      </c>
      <c r="N14" s="3591">
        <f t="shared" ref="N14" si="28">N15</f>
        <v>-135.10500000000002</v>
      </c>
      <c r="O14" s="3592">
        <f t="shared" ref="O14" si="29">O15</f>
        <v>-135.10500000000002</v>
      </c>
      <c r="P14" s="3591">
        <f t="shared" ref="P14" si="30">P15</f>
        <v>-160.62199999999999</v>
      </c>
      <c r="Q14" s="3593">
        <f t="shared" ref="Q14" si="31">Q15</f>
        <v>-571.78399999999999</v>
      </c>
      <c r="R14" s="3593" t="str">
        <f t="shared" ref="R14" si="32">R15</f>
        <v>IE</v>
      </c>
      <c r="S14" s="3594">
        <f t="shared" ref="S14" si="33">S15</f>
        <v>3180.8736666666664</v>
      </c>
      <c r="U14" s="503"/>
    </row>
    <row r="15" spans="2:21" ht="18" customHeight="1" x14ac:dyDescent="0.2">
      <c r="B15" s="501"/>
      <c r="C15" s="508" t="s">
        <v>278</v>
      </c>
      <c r="D15" s="3568">
        <f>IF(SUM(E15:F15)=0,E15,SUM(E15:F15))</f>
        <v>2285.0500000000002</v>
      </c>
      <c r="E15" s="3569">
        <v>2285.0500000000002</v>
      </c>
      <c r="F15" s="3554" t="s">
        <v>2153</v>
      </c>
      <c r="G15" s="3558" t="str">
        <f t="shared" si="5"/>
        <v>NA</v>
      </c>
      <c r="H15" s="3078">
        <f t="shared" si="6"/>
        <v>-5.9125620883569291E-2</v>
      </c>
      <c r="I15" s="3078">
        <f t="shared" si="7"/>
        <v>-5.9125620883569291E-2</v>
      </c>
      <c r="J15" s="3078">
        <f t="shared" si="8"/>
        <v>-7.0292553773440389E-2</v>
      </c>
      <c r="K15" s="3573">
        <f t="shared" si="9"/>
        <v>-0.25022822257718647</v>
      </c>
      <c r="L15" s="3128" t="str">
        <f t="shared" si="10"/>
        <v>NA</v>
      </c>
      <c r="M15" s="2905" t="s">
        <v>2153</v>
      </c>
      <c r="N15" s="2905">
        <v>-135.10500000000002</v>
      </c>
      <c r="O15" s="3109">
        <f>IF(SUM(M15:N15)=0,M15,SUM(M15:N15))</f>
        <v>-135.10500000000002</v>
      </c>
      <c r="P15" s="2905">
        <v>-160.62199999999999</v>
      </c>
      <c r="Q15" s="2906">
        <v>-571.78399999999999</v>
      </c>
      <c r="R15" s="2906" t="s">
        <v>2153</v>
      </c>
      <c r="S15" s="3594">
        <f>IF(SUM(O15:R15)=0,Q15,SUM(O15:R15)*-44/12)</f>
        <v>3180.8736666666664</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522012.01804849016</v>
      </c>
      <c r="E10" s="3583">
        <f t="shared" ref="E10:F10" si="0">IF(SUM(E11,E15)=0,"IE",SUM(E11,E15))</f>
        <v>522011.01804849016</v>
      </c>
      <c r="F10" s="3584">
        <f t="shared" si="0"/>
        <v>1</v>
      </c>
      <c r="G10" s="3558">
        <f>IFERROR(IF(SUM($D10)=0,"NA",M10/$D10),"NA")</f>
        <v>2.8694202000168071E-3</v>
      </c>
      <c r="H10" s="3583">
        <f t="shared" ref="H10:J10" si="1">IFERROR(IF(SUM($D10)=0,"NA",N10/$D10),"NA")</f>
        <v>-1.5437651450210971E-2</v>
      </c>
      <c r="I10" s="3583">
        <f t="shared" si="1"/>
        <v>-1.2568231250194165E-2</v>
      </c>
      <c r="J10" s="3583">
        <f t="shared" si="1"/>
        <v>-5.7344775537802482E-3</v>
      </c>
      <c r="K10" s="3585">
        <f>IFERROR(IF(SUM(E10)=0,"NA",Q10/E10),"NA")</f>
        <v>-1.3943258861335678E-2</v>
      </c>
      <c r="L10" s="3584">
        <f>IFERROR(IF(SUM(F10)=0,"NA",R10/F10),"NA")</f>
        <v>-8.7249999999999996</v>
      </c>
      <c r="M10" s="3586">
        <f>IF(SUM(M11,M15)=0,"IE",SUM(M11,M15))</f>
        <v>1497.8718292398758</v>
      </c>
      <c r="N10" s="3583">
        <f t="shared" ref="N10:S10" si="2">IF(SUM(N11,N15)=0,"IE",SUM(N11,N15))</f>
        <v>-8058.6395874538302</v>
      </c>
      <c r="O10" s="3587">
        <f t="shared" si="2"/>
        <v>-6560.7677582139549</v>
      </c>
      <c r="P10" s="3583">
        <f t="shared" si="2"/>
        <v>-2993.4662003025965</v>
      </c>
      <c r="Q10" s="3585">
        <f t="shared" si="2"/>
        <v>-7278.5347531194693</v>
      </c>
      <c r="R10" s="3585">
        <f t="shared" si="2"/>
        <v>-8.7249999999999996</v>
      </c>
      <c r="S10" s="3588">
        <f t="shared" si="2"/>
        <v>61752.143609332081</v>
      </c>
      <c r="U10" s="2261"/>
    </row>
    <row r="11" spans="2:21" ht="18" customHeight="1" x14ac:dyDescent="0.2">
      <c r="B11" s="493" t="s">
        <v>988</v>
      </c>
      <c r="C11" s="483"/>
      <c r="D11" s="3599">
        <f>IF(SUM(D12:D14)=0,"IE",SUM(D12:D14))</f>
        <v>508357.27269331599</v>
      </c>
      <c r="E11" s="3564">
        <f t="shared" ref="E11:F11" si="3">IF(SUM(E12:E14)=0,"IE",SUM(E12:E14))</f>
        <v>508357.27269331599</v>
      </c>
      <c r="F11" s="3565" t="str">
        <f t="shared" si="3"/>
        <v>IE</v>
      </c>
      <c r="G11" s="3599">
        <f t="shared" ref="G11:G26" si="4">IFERROR(IF(SUM($D11)=0,"NA",M11/$D11),"NA")</f>
        <v>2.9464943450184856E-3</v>
      </c>
      <c r="H11" s="3109" t="str">
        <f t="shared" ref="H11:H26" si="5">IFERROR(IF(SUM($D11)=0,"NA",N11/$D11),"NA")</f>
        <v>NA</v>
      </c>
      <c r="I11" s="3109">
        <f t="shared" ref="I11:I26" si="6">IFERROR(IF(SUM($D11)=0,"NA",O11/$D11),"NA")</f>
        <v>2.9464943450184856E-3</v>
      </c>
      <c r="J11" s="3109">
        <f t="shared" ref="J11:J26" si="7">IFERROR(IF(SUM($D11)=0,"NA",P11/$D11),"NA")</f>
        <v>-1.1185043018959084E-4</v>
      </c>
      <c r="K11" s="3566">
        <f t="shared" ref="K11:K26" si="8">IFERROR(IF(SUM(E11)=0,"NA",Q11/E11),"NA")</f>
        <v>-3.8450590110884531E-3</v>
      </c>
      <c r="L11" s="3249" t="str">
        <f t="shared" ref="L11:L26" si="9">IFERROR(IF(SUM(F11)=0,"NA",R11/F11),"NA")</f>
        <v>NA</v>
      </c>
      <c r="M11" s="3109">
        <f>IF(SUM(M12:M14)=0,"IE",SUM(M12:M14))</f>
        <v>1497.8718292398758</v>
      </c>
      <c r="N11" s="3109" t="str">
        <f t="shared" ref="N11:O11" si="10">IF(SUM(N12:N14)=0,"IE",SUM(N12:N14))</f>
        <v>IE</v>
      </c>
      <c r="O11" s="3109">
        <f t="shared" si="10"/>
        <v>1497.8718292398758</v>
      </c>
      <c r="P11" s="3109">
        <f t="shared" ref="P11" si="11">IF(SUM(P12:P14)=0,"IE",SUM(P12:P14))</f>
        <v>-56.859979640754531</v>
      </c>
      <c r="Q11" s="3566">
        <f t="shared" ref="Q11" si="12">IF(SUM(Q12:Q14)=0,"IE",SUM(Q12:Q14))</f>
        <v>-1954.6637122217846</v>
      </c>
      <c r="R11" s="3566" t="str">
        <f t="shared" ref="R11" si="13">IF(SUM(R12:R14)=0,"IE",SUM(R12:R14))</f>
        <v>IE</v>
      </c>
      <c r="S11" s="3567">
        <f t="shared" ref="S11" si="14">IF(SUM(S12:S14)=0,"IE",SUM(S12:S14))</f>
        <v>1883.3901629497682</v>
      </c>
      <c r="U11" s="2397"/>
    </row>
    <row r="12" spans="2:21" ht="18" customHeight="1" x14ac:dyDescent="0.2">
      <c r="B12" s="499"/>
      <c r="C12" s="484" t="s">
        <v>2226</v>
      </c>
      <c r="D12" s="3600">
        <f>IF(SUM(E12:F12)=0,E12,SUM(E12:F12))</f>
        <v>70456.100045431172</v>
      </c>
      <c r="E12" s="3569">
        <v>70456.100045431172</v>
      </c>
      <c r="F12" s="3554" t="s">
        <v>2153</v>
      </c>
      <c r="G12" s="3558">
        <f t="shared" si="4"/>
        <v>5.6574487783854592E-3</v>
      </c>
      <c r="H12" s="3078" t="str">
        <f t="shared" si="5"/>
        <v>NA</v>
      </c>
      <c r="I12" s="3078">
        <f t="shared" si="6"/>
        <v>5.6574487783854592E-3</v>
      </c>
      <c r="J12" s="3078">
        <f t="shared" si="7"/>
        <v>1.1314897556770915E-3</v>
      </c>
      <c r="K12" s="3573">
        <f t="shared" si="8"/>
        <v>4.525959022708366E-3</v>
      </c>
      <c r="L12" s="3128" t="str">
        <f t="shared" si="9"/>
        <v>NA</v>
      </c>
      <c r="M12" s="2905">
        <v>398.60177713182827</v>
      </c>
      <c r="N12" s="2905" t="s">
        <v>2153</v>
      </c>
      <c r="O12" s="3109">
        <f>IF(SUM(M12:N12)=0,M12,SUM(M12:N12))</f>
        <v>398.60177713182827</v>
      </c>
      <c r="P12" s="2905">
        <v>79.720355426365629</v>
      </c>
      <c r="Q12" s="2906">
        <v>318.88142170546251</v>
      </c>
      <c r="R12" s="2906" t="s">
        <v>2153</v>
      </c>
      <c r="S12" s="3570">
        <f>IF(SUM(O12:R12)=0,Q12,SUM(O12:R12)*-44/12)</f>
        <v>-2923.0796989667401</v>
      </c>
      <c r="U12" s="2398"/>
    </row>
    <row r="13" spans="2:21" ht="18" customHeight="1" x14ac:dyDescent="0.2">
      <c r="B13" s="499"/>
      <c r="C13" s="484" t="s">
        <v>2227</v>
      </c>
      <c r="D13" s="3600">
        <f>IF(SUM(E13:F13)=0,E13,SUM(E13:F13))</f>
        <v>437901.17264788481</v>
      </c>
      <c r="E13" s="3569">
        <v>437901.17264788481</v>
      </c>
      <c r="F13" s="3554" t="s">
        <v>2153</v>
      </c>
      <c r="G13" s="3558" t="str">
        <f t="shared" si="4"/>
        <v>NA</v>
      </c>
      <c r="H13" s="3078" t="str">
        <f t="shared" si="5"/>
        <v>NA</v>
      </c>
      <c r="I13" s="3078" t="str">
        <f t="shared" si="6"/>
        <v>NA</v>
      </c>
      <c r="J13" s="3078" t="str">
        <f t="shared" si="7"/>
        <v>NA</v>
      </c>
      <c r="K13" s="3573">
        <f t="shared" si="8"/>
        <v>-5.1919137831480501E-3</v>
      </c>
      <c r="L13" s="3128" t="str">
        <f t="shared" si="9"/>
        <v>NA</v>
      </c>
      <c r="M13" s="2905" t="s">
        <v>2147</v>
      </c>
      <c r="N13" s="2905" t="s">
        <v>2147</v>
      </c>
      <c r="O13" s="3109" t="str">
        <f>IF(SUM(M13:N13)=0,M13,SUM(M13:N13))</f>
        <v>NA</v>
      </c>
      <c r="P13" s="2905" t="s">
        <v>2147</v>
      </c>
      <c r="Q13" s="2906">
        <v>-2273.5451339272472</v>
      </c>
      <c r="R13" s="2906" t="s">
        <v>2153</v>
      </c>
      <c r="S13" s="3570">
        <f>IF(SUM(O13:R13)=0,Q13,SUM(O13:R13)*-44/12)</f>
        <v>8336.3321577332408</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1099.2700521080474</v>
      </c>
      <c r="N14" s="2905" t="s">
        <v>2153</v>
      </c>
      <c r="O14" s="3109">
        <f>IF(SUM(M14:N14)=0,M14,SUM(M14:N14))</f>
        <v>1099.2700521080474</v>
      </c>
      <c r="P14" s="2905">
        <v>-136.58033506712016</v>
      </c>
      <c r="Q14" s="2906" t="s">
        <v>2147</v>
      </c>
      <c r="R14" s="2906" t="s">
        <v>2147</v>
      </c>
      <c r="S14" s="3570">
        <f>IF(SUM(O14:R14)=0,Q14,SUM(O14:R14)*-44/12)</f>
        <v>-3529.862295816733</v>
      </c>
      <c r="U14" s="2398"/>
    </row>
    <row r="15" spans="2:21" ht="18" customHeight="1" x14ac:dyDescent="0.2">
      <c r="B15" s="485" t="s">
        <v>1066</v>
      </c>
      <c r="C15" s="486"/>
      <c r="D15" s="3589">
        <f>IF(SUM(D16,D19,D21,D23,D25)=0,"IE",SUM(D16,D19,D21,D23,D25))</f>
        <v>13654.745355174156</v>
      </c>
      <c r="E15" s="3591">
        <f t="shared" ref="E15:F15" si="15">IF(SUM(E16,E19,E21,E23,E25)=0,"IE",SUM(E16,E19,E21,E23,E25))</f>
        <v>13653.745355174156</v>
      </c>
      <c r="F15" s="3595">
        <f t="shared" si="15"/>
        <v>1</v>
      </c>
      <c r="G15" s="3558" t="str">
        <f t="shared" si="4"/>
        <v>NA</v>
      </c>
      <c r="H15" s="3078">
        <f t="shared" si="5"/>
        <v>-0.59017135639224438</v>
      </c>
      <c r="I15" s="3078">
        <f t="shared" si="6"/>
        <v>-0.59017135639224438</v>
      </c>
      <c r="J15" s="3078">
        <f t="shared" si="7"/>
        <v>-0.2150612218886295</v>
      </c>
      <c r="K15" s="3573">
        <f t="shared" si="8"/>
        <v>-0.38992019423301877</v>
      </c>
      <c r="L15" s="3128">
        <f t="shared" si="9"/>
        <v>-8.7249999999999996</v>
      </c>
      <c r="M15" s="3590" t="str">
        <f>IF(SUM(M16,M19,M21,M23,M25)=0,"IE",SUM(M16,M19,M21,M23,M25))</f>
        <v>IE</v>
      </c>
      <c r="N15" s="3591">
        <f t="shared" ref="N15:S15" si="16">IF(SUM(N16,N19,N21,N23,N25)=0,"IE",SUM(N16,N19,N21,N23,N25))</f>
        <v>-8058.6395874538302</v>
      </c>
      <c r="O15" s="3592">
        <f t="shared" si="16"/>
        <v>-8058.6395874538302</v>
      </c>
      <c r="P15" s="3592">
        <f t="shared" si="16"/>
        <v>-2936.6062206618421</v>
      </c>
      <c r="Q15" s="3592">
        <f t="shared" si="16"/>
        <v>-5323.8710408976849</v>
      </c>
      <c r="R15" s="3592">
        <f t="shared" si="16"/>
        <v>-8.7249999999999996</v>
      </c>
      <c r="S15" s="3594">
        <f t="shared" si="16"/>
        <v>59868.75344638231</v>
      </c>
      <c r="U15" s="2019"/>
    </row>
    <row r="16" spans="2:21" ht="18" customHeight="1" x14ac:dyDescent="0.2">
      <c r="B16" s="500" t="s">
        <v>1067</v>
      </c>
      <c r="C16" s="486"/>
      <c r="D16" s="3599">
        <f>IF(SUM(D17:D18)=0,"IE",SUM(D17:D18))</f>
        <v>13605.86792263761</v>
      </c>
      <c r="E16" s="3564">
        <f t="shared" ref="E16:F16" si="17">IF(SUM(E17:E18)=0,"IE",SUM(E17:E18))</f>
        <v>13605.86792263761</v>
      </c>
      <c r="F16" s="3565" t="str">
        <f t="shared" si="17"/>
        <v>IE</v>
      </c>
      <c r="G16" s="3558" t="str">
        <f t="shared" si="4"/>
        <v>NA</v>
      </c>
      <c r="H16" s="3078">
        <f t="shared" si="5"/>
        <v>-0.59229147550710581</v>
      </c>
      <c r="I16" s="3078">
        <f t="shared" si="6"/>
        <v>-0.59229147550710581</v>
      </c>
      <c r="J16" s="3078">
        <f t="shared" si="7"/>
        <v>-0.21583380327953064</v>
      </c>
      <c r="K16" s="3573">
        <f t="shared" si="8"/>
        <v>-0.3825906052797084</v>
      </c>
      <c r="L16" s="3128" t="str">
        <f t="shared" si="9"/>
        <v>NA</v>
      </c>
      <c r="M16" s="3506" t="str">
        <f>IF(SUM(M17:M18)=0,"IE",SUM(M17:M18))</f>
        <v>IE</v>
      </c>
      <c r="N16" s="3506">
        <f t="shared" ref="N16:O16" si="18">IF(SUM(N17:N18)=0,"IE",SUM(N17:N18))</f>
        <v>-8058.6395874538302</v>
      </c>
      <c r="O16" s="3506">
        <f t="shared" si="18"/>
        <v>-8058.6395874538302</v>
      </c>
      <c r="P16" s="3506">
        <f t="shared" ref="P16" si="19">IF(SUM(P17:P18)=0,"IE",SUM(P17:P18))</f>
        <v>-2936.6062206618421</v>
      </c>
      <c r="Q16" s="3601">
        <f t="shared" ref="Q16" si="20">IF(SUM(Q17:Q18)=0,"IE",SUM(Q17:Q18))</f>
        <v>-5205.4772438776918</v>
      </c>
      <c r="R16" s="3601" t="str">
        <f t="shared" ref="R16" si="21">IF(SUM(R17:R18)=0,"IE",SUM(R17:R18))</f>
        <v>IE</v>
      </c>
      <c r="S16" s="3287">
        <f t="shared" ref="S16" si="22">IF(SUM(S17:S18)=0,"IE",SUM(S17:S18))</f>
        <v>59402.651190642333</v>
      </c>
      <c r="U16" s="2400"/>
    </row>
    <row r="17" spans="2:21" ht="18" customHeight="1" x14ac:dyDescent="0.2">
      <c r="B17" s="500"/>
      <c r="C17" s="484" t="s">
        <v>2228</v>
      </c>
      <c r="D17" s="3600">
        <f>IF(SUM(E17:F17)=0,E17,SUM(E17:F17))</f>
        <v>13605.86792263761</v>
      </c>
      <c r="E17" s="3569">
        <v>13605.86792263761</v>
      </c>
      <c r="F17" s="3554" t="s">
        <v>2153</v>
      </c>
      <c r="G17" s="3558" t="str">
        <f t="shared" si="4"/>
        <v>NA</v>
      </c>
      <c r="H17" s="3078">
        <f t="shared" si="5"/>
        <v>-0.59178186416586853</v>
      </c>
      <c r="I17" s="3078">
        <f t="shared" si="6"/>
        <v>-0.59178186416586853</v>
      </c>
      <c r="J17" s="3078">
        <f t="shared" si="7"/>
        <v>-0.21592548228987876</v>
      </c>
      <c r="K17" s="3573">
        <f t="shared" si="8"/>
        <v>-0.3825906052797084</v>
      </c>
      <c r="L17" s="3128" t="str">
        <f t="shared" si="9"/>
        <v>NA</v>
      </c>
      <c r="M17" s="2905" t="s">
        <v>2153</v>
      </c>
      <c r="N17" s="2905">
        <v>-8051.7058828530771</v>
      </c>
      <c r="O17" s="3109">
        <f>IF(SUM(M17:N17)=0,M17,SUM(M17:N17))</f>
        <v>-8051.7058828530771</v>
      </c>
      <c r="P17" s="2905">
        <v>-2937.8535931679166</v>
      </c>
      <c r="Q17" s="2906">
        <v>-5205.4772438776918</v>
      </c>
      <c r="R17" s="2906" t="s">
        <v>2153</v>
      </c>
      <c r="S17" s="3570">
        <f>IF(SUM(O17:R17)=0,Q17,SUM(O17:R17)*-44/12)</f>
        <v>59381.80130629518</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-6.9337046007526721</v>
      </c>
      <c r="O18" s="3109">
        <f>IF(SUM(M18:N18)=0,M18,SUM(M18:N18))</f>
        <v>-6.9337046007526721</v>
      </c>
      <c r="P18" s="2905">
        <v>1.2473725060742971</v>
      </c>
      <c r="Q18" s="2906" t="s">
        <v>2147</v>
      </c>
      <c r="R18" s="2906" t="s">
        <v>2147</v>
      </c>
      <c r="S18" s="3570">
        <f>IF(SUM(O18:R18)=0,Q18,SUM(O18:R18)*-44/12)</f>
        <v>20.849884347154042</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13216.727416120999</v>
      </c>
      <c r="E10" s="3583">
        <f>IF(SUM(E11,E23)=0,"IE",SUM(E11,E23))</f>
        <v>13164.936146184175</v>
      </c>
      <c r="F10" s="3584">
        <f>IF(SUM(F11,F23)=0,"IE",SUM(F11,F23))</f>
        <v>51.791269936825159</v>
      </c>
      <c r="G10" s="3608" t="str">
        <f>IFERROR(IF(SUM($D10)=0,"NA",M10/$D10),"NA")</f>
        <v>NA</v>
      </c>
      <c r="H10" s="3609">
        <f t="shared" ref="H10:J10" si="0">IFERROR(IF(SUM($D10)=0,"NA",N10/$D10),"NA")</f>
        <v>-1.7176878864695513E-2</v>
      </c>
      <c r="I10" s="3610">
        <f t="shared" si="0"/>
        <v>-1.7176878864695513E-2</v>
      </c>
      <c r="J10" s="3609">
        <f t="shared" si="0"/>
        <v>-1.5786061540006395E-3</v>
      </c>
      <c r="K10" s="3609">
        <f>IFERROR(IF(SUM(E10)=0,"NA",Q10/E10),"NA")</f>
        <v>-2.0674922594996867E-3</v>
      </c>
      <c r="L10" s="3611" t="str">
        <f>IFERROR(IF(SUM(F10)=0,"NA",R10/F10),"NA")</f>
        <v>NA</v>
      </c>
      <c r="M10" s="3610" t="str">
        <f t="shared" ref="M10:S10" si="1">IF(SUM(M11,M23)=0,"IE",SUM(M11,M23))</f>
        <v>IE</v>
      </c>
      <c r="N10" s="3609">
        <f t="shared" si="1"/>
        <v>-227.02212581441054</v>
      </c>
      <c r="O10" s="3610">
        <f t="shared" si="1"/>
        <v>-227.02212581441054</v>
      </c>
      <c r="P10" s="3609">
        <f t="shared" si="1"/>
        <v>-20.86400723483758</v>
      </c>
      <c r="Q10" s="3612">
        <f t="shared" si="1"/>
        <v>-27.218403579043414</v>
      </c>
      <c r="R10" s="3612" t="str">
        <f t="shared" si="1"/>
        <v>IE</v>
      </c>
      <c r="S10" s="3588">
        <f t="shared" si="1"/>
        <v>1008.7166343037356</v>
      </c>
      <c r="U10" s="2401"/>
    </row>
    <row r="11" spans="1:23" ht="18" customHeight="1" x14ac:dyDescent="0.2">
      <c r="B11" s="501" t="s">
        <v>990</v>
      </c>
      <c r="C11" s="483"/>
      <c r="D11" s="3613">
        <f>IF(SUM(D12,D14,D17)=0,"IE",SUM(D12,D14,D17))</f>
        <v>13176.256416120999</v>
      </c>
      <c r="E11" s="3614">
        <f t="shared" ref="E11:S11" si="2">IF(SUM(E12,E14,E17)=0,"IE",SUM(E12,E14,E17))</f>
        <v>13124.465146184175</v>
      </c>
      <c r="F11" s="3615">
        <f t="shared" si="2"/>
        <v>51.791269936825159</v>
      </c>
      <c r="G11" s="3616" t="str">
        <f t="shared" ref="G11:G56" si="3">IFERROR(IF(SUM($D11)=0,"NA",M11/$D11),"NA")</f>
        <v>NA</v>
      </c>
      <c r="H11" s="3617">
        <f t="shared" ref="H11:H56" si="4">IFERROR(IF(SUM($D11)=0,"NA",N11/$D11),"NA")</f>
        <v>-9.9446399399220099E-3</v>
      </c>
      <c r="I11" s="3618">
        <f t="shared" ref="I11:I56" si="5">IFERROR(IF(SUM($D11)=0,"NA",O11/$D11),"NA")</f>
        <v>-9.9446399399220099E-3</v>
      </c>
      <c r="J11" s="3617">
        <f t="shared" ref="J11:J56" si="6">IFERROR(IF(SUM($D11)=0,"NA",P11/$D11),"NA")</f>
        <v>-1.5834548581879983E-3</v>
      </c>
      <c r="K11" s="3617">
        <f t="shared" ref="K11:K56" si="7">IFERROR(IF(SUM(E11)=0,"NA",Q11/E11),"NA")</f>
        <v>-2.073867641528762E-3</v>
      </c>
      <c r="L11" s="3619" t="str">
        <f t="shared" ref="L11:L56" si="8">IFERROR(IF(SUM(F11)=0,"NA",R11/F11),"NA")</f>
        <v>NA</v>
      </c>
      <c r="M11" s="3618" t="str">
        <f t="shared" si="2"/>
        <v>IE</v>
      </c>
      <c r="N11" s="3617">
        <f t="shared" si="2"/>
        <v>-131.03312581441054</v>
      </c>
      <c r="O11" s="3618">
        <f t="shared" si="2"/>
        <v>-131.03312581441054</v>
      </c>
      <c r="P11" s="3617">
        <f t="shared" si="2"/>
        <v>-20.86400723483758</v>
      </c>
      <c r="Q11" s="3620">
        <f t="shared" si="2"/>
        <v>-27.218403579043414</v>
      </c>
      <c r="R11" s="3620" t="str">
        <f t="shared" si="2"/>
        <v>IE</v>
      </c>
      <c r="S11" s="3621">
        <f t="shared" si="2"/>
        <v>656.7569676370689</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868.71849347714033</v>
      </c>
      <c r="E14" s="3564">
        <f>IF(SUM(E15:E16)=0,"IE",SUM(E15:E16))</f>
        <v>868.71849347714033</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535.92840000000001</v>
      </c>
      <c r="E15" s="3569">
        <v>535.92840000000001</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12307.537922643858</v>
      </c>
      <c r="E17" s="3564">
        <f>IF(SUM(E18:E21)=0,"IE",SUM(E18:E21))</f>
        <v>12255.746652707034</v>
      </c>
      <c r="F17" s="3565">
        <f>IF(SUM(F18:F21)=0,"IE",SUM(F18:F21))</f>
        <v>51.791269936825159</v>
      </c>
      <c r="G17" s="3622" t="str">
        <f t="shared" si="3"/>
        <v>NA</v>
      </c>
      <c r="H17" s="3591">
        <f t="shared" si="4"/>
        <v>-1.0646575020770889E-2</v>
      </c>
      <c r="I17" s="3623">
        <f t="shared" si="5"/>
        <v>-1.0646575020770889E-2</v>
      </c>
      <c r="J17" s="3591">
        <f t="shared" si="6"/>
        <v>-1.6952218523293124E-3</v>
      </c>
      <c r="K17" s="3591">
        <f t="shared" si="7"/>
        <v>-2.2208686545451268E-3</v>
      </c>
      <c r="L17" s="3595" t="str">
        <f t="shared" si="8"/>
        <v>NA</v>
      </c>
      <c r="M17" s="3564" t="str">
        <f t="shared" ref="M17:S17" si="16">IF(SUM(M18:M21)=0,"IE",SUM(M18:M21))</f>
        <v>IE</v>
      </c>
      <c r="N17" s="3617">
        <f t="shared" si="16"/>
        <v>-131.03312581441054</v>
      </c>
      <c r="O17" s="3618">
        <f t="shared" si="16"/>
        <v>-131.03312581441054</v>
      </c>
      <c r="P17" s="3617">
        <f t="shared" si="16"/>
        <v>-20.86400723483758</v>
      </c>
      <c r="Q17" s="3620">
        <f t="shared" si="16"/>
        <v>-27.218403579043414</v>
      </c>
      <c r="R17" s="3620" t="str">
        <f t="shared" si="16"/>
        <v>IE</v>
      </c>
      <c r="S17" s="3634">
        <f t="shared" si="16"/>
        <v>656.7569676370689</v>
      </c>
      <c r="U17" s="2402"/>
    </row>
    <row r="18" spans="1:23" ht="18" customHeight="1" x14ac:dyDescent="0.2">
      <c r="A18" s="2502"/>
      <c r="B18" s="2682"/>
      <c r="C18" s="2503" t="s">
        <v>2231</v>
      </c>
      <c r="D18" s="3600">
        <f>IF(SUM(E18:F18)=0,E18,SUM(E18:F18))</f>
        <v>1716.6986404464237</v>
      </c>
      <c r="E18" s="3569">
        <v>1716.6986404464237</v>
      </c>
      <c r="F18" s="3635" t="s">
        <v>2153</v>
      </c>
      <c r="G18" s="3630" t="str">
        <f t="shared" si="3"/>
        <v>NA</v>
      </c>
      <c r="H18" s="3631">
        <f t="shared" si="4"/>
        <v>-1.981885677089874E-2</v>
      </c>
      <c r="I18" s="3632">
        <f t="shared" si="5"/>
        <v>-1.981885677089874E-2</v>
      </c>
      <c r="J18" s="3631">
        <f t="shared" si="6"/>
        <v>-3.9637713541797485E-3</v>
      </c>
      <c r="K18" s="3631">
        <f t="shared" si="7"/>
        <v>-1.5855085416718994E-2</v>
      </c>
      <c r="L18" s="3633" t="str">
        <f t="shared" si="8"/>
        <v>NA</v>
      </c>
      <c r="M18" s="3624" t="s">
        <v>2153</v>
      </c>
      <c r="N18" s="3625">
        <v>-34.023004473804264</v>
      </c>
      <c r="O18" s="3109">
        <f>IF(SUM(M18:N18)=0,M18,SUM(M18:N18))</f>
        <v>-34.023004473804264</v>
      </c>
      <c r="P18" s="3625">
        <v>-6.8046008947608536</v>
      </c>
      <c r="Q18" s="3626">
        <v>-27.218403579043414</v>
      </c>
      <c r="R18" s="3636" t="s">
        <v>2153</v>
      </c>
      <c r="S18" s="3570">
        <f>IF(SUM(O18:R18)=0,Q18,SUM(O18:R18)*-44/12)</f>
        <v>249.50203280789796</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-97.010121340606261</v>
      </c>
      <c r="O19" s="3109">
        <f t="shared" ref="O19:O22" si="18">IF(SUM(M19:N19)=0,M19,SUM(M19:N19))</f>
        <v>-97.010121340606261</v>
      </c>
      <c r="P19" s="3625">
        <v>-14.059406340076727</v>
      </c>
      <c r="Q19" s="3628" t="s">
        <v>2147</v>
      </c>
      <c r="R19" s="3627" t="s">
        <v>2147</v>
      </c>
      <c r="S19" s="3570">
        <f t="shared" ref="S19:S22" si="19">IF(SUM(O19:R19)=0,Q19,SUM(O19:R19)*-44/12)</f>
        <v>407.25493482917096</v>
      </c>
      <c r="T19" s="2502"/>
      <c r="U19" s="2684"/>
      <c r="V19" s="2502"/>
      <c r="W19" s="2502"/>
    </row>
    <row r="20" spans="1:23" ht="18" customHeight="1" x14ac:dyDescent="0.2">
      <c r="A20" s="2502"/>
      <c r="B20" s="2682"/>
      <c r="C20" s="2683" t="s">
        <v>2234</v>
      </c>
      <c r="D20" s="3600">
        <f t="shared" si="17"/>
        <v>10539.04801226061</v>
      </c>
      <c r="E20" s="3607">
        <v>10539.04801226061</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51.791269936825159</v>
      </c>
      <c r="E21" s="3564" t="str">
        <f t="shared" ref="E21:F21" si="20">E22</f>
        <v>IE</v>
      </c>
      <c r="F21" s="3565">
        <f t="shared" si="20"/>
        <v>51.791269936825159</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51.791269936825159</v>
      </c>
      <c r="E22" s="3569" t="s">
        <v>2153</v>
      </c>
      <c r="F22" s="3554">
        <v>51.791269936825159</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40.470999999999997</v>
      </c>
      <c r="E23" s="3591">
        <f t="shared" ref="E23:F23" si="22">IF(SUM(E24,E35,E46)=0,"IE",SUM(E24,E35,E46))</f>
        <v>40.470999999999997</v>
      </c>
      <c r="F23" s="3595" t="str">
        <f t="shared" si="22"/>
        <v>IE</v>
      </c>
      <c r="G23" s="3622" t="str">
        <f t="shared" si="3"/>
        <v>NA</v>
      </c>
      <c r="H23" s="3591">
        <f t="shared" si="4"/>
        <v>-2.3717970892738012</v>
      </c>
      <c r="I23" s="3623">
        <f t="shared" si="5"/>
        <v>-2.3717970892738012</v>
      </c>
      <c r="J23" s="3591" t="str">
        <f t="shared" si="6"/>
        <v>NA</v>
      </c>
      <c r="K23" s="3591" t="str">
        <f t="shared" si="7"/>
        <v>NA</v>
      </c>
      <c r="L23" s="3595" t="str">
        <f t="shared" si="8"/>
        <v>NA</v>
      </c>
      <c r="M23" s="3591" t="str">
        <f t="shared" ref="M23" si="23">IF(SUM(M24,M35,M46)=0,"IE",SUM(M24,M35,M46))</f>
        <v>IE</v>
      </c>
      <c r="N23" s="3591">
        <f t="shared" ref="N23" si="24">IF(SUM(N24,N35,N46)=0,"IE",SUM(N24,N35,N46))</f>
        <v>-95.989000000000004</v>
      </c>
      <c r="O23" s="3623">
        <f t="shared" ref="O23" si="25">IF(SUM(O24,O35,O46)=0,"IE",SUM(O24,O35,O46))</f>
        <v>-95.989000000000004</v>
      </c>
      <c r="P23" s="3591" t="str">
        <f>IF(SUM(P24,P35,P46)=0,"NO",SUM(P24,P35,P46))</f>
        <v>NO</v>
      </c>
      <c r="Q23" s="3590" t="str">
        <f>IF(SUM(Q24,Q35,Q46)=0,"NO",SUM(Q24,Q35,Q46))</f>
        <v>NO</v>
      </c>
      <c r="R23" s="3590" t="str">
        <f>IF(SUM(R24,R35,R46)=0,"NO",SUM(R24,R35,R46))</f>
        <v>NO</v>
      </c>
      <c r="S23" s="3594">
        <f t="shared" ref="S23" si="26">IF(SUM(S24,S35,S46)=0,"IE",SUM(S24,S35,S46))</f>
        <v>351.95966666666669</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40.470999999999997</v>
      </c>
      <c r="E35" s="3591">
        <f>IF(SUM(E36,E38,E40,E42,E44)=0,"IE",SUM(E36,E38,E40,E42,E44))</f>
        <v>40.470999999999997</v>
      </c>
      <c r="F35" s="3595" t="str">
        <f>IF(SUM(F36,F38,F40,F42,F44)=0,"IE",SUM(F36,F38,F40,F42,F44))</f>
        <v>IE</v>
      </c>
      <c r="G35" s="3622" t="str">
        <f t="shared" si="3"/>
        <v>NA</v>
      </c>
      <c r="H35" s="3591">
        <f t="shared" si="4"/>
        <v>-2.3717970892738012</v>
      </c>
      <c r="I35" s="3623">
        <f t="shared" si="5"/>
        <v>-2.3717970892738012</v>
      </c>
      <c r="J35" s="3591" t="str">
        <f t="shared" si="6"/>
        <v>NA</v>
      </c>
      <c r="K35" s="3591" t="str">
        <f t="shared" si="7"/>
        <v>NA</v>
      </c>
      <c r="L35" s="3595" t="str">
        <f t="shared" si="8"/>
        <v>NA</v>
      </c>
      <c r="M35" s="3591" t="str">
        <f t="shared" ref="M35:S35" si="48">IF(SUM(M36,M38,M40,M42,M44)=0,"IE",SUM(M36,M38,M40,M42,M44))</f>
        <v>IE</v>
      </c>
      <c r="N35" s="3591">
        <f t="shared" si="48"/>
        <v>-95.989000000000004</v>
      </c>
      <c r="O35" s="3623">
        <f t="shared" si="48"/>
        <v>-95.989000000000004</v>
      </c>
      <c r="P35" s="3591" t="str">
        <f>IF(SUM(P36,P38,P40,P42,P44)=0,"NO",SUM(P36,P38,P40,P42,P44))</f>
        <v>NO</v>
      </c>
      <c r="Q35" s="3590" t="str">
        <f>IF(SUM(Q36,Q38,Q40,Q42,Q44)=0,"NO",SUM(Q36,Q38,Q40,Q42,Q44))</f>
        <v>NO</v>
      </c>
      <c r="R35" s="3590" t="str">
        <f>IF(SUM(R36,R38,R40,R42,R44)=0,"NO",SUM(R36,R38,R40,R42,R44))</f>
        <v>NO</v>
      </c>
      <c r="S35" s="3594">
        <f t="shared" si="48"/>
        <v>351.95966666666669</v>
      </c>
      <c r="U35" s="503"/>
    </row>
    <row r="36" spans="2:21" ht="18" customHeight="1" x14ac:dyDescent="0.2">
      <c r="B36" s="505" t="s">
        <v>1087</v>
      </c>
      <c r="C36" s="486"/>
      <c r="D36" s="3600">
        <f>D37</f>
        <v>40.470999999999997</v>
      </c>
      <c r="E36" s="3564">
        <f t="shared" ref="E36:F36" si="49">E37</f>
        <v>40.470999999999997</v>
      </c>
      <c r="F36" s="3565" t="str">
        <f t="shared" si="49"/>
        <v>IE</v>
      </c>
      <c r="G36" s="3558" t="str">
        <f t="shared" si="3"/>
        <v>NA</v>
      </c>
      <c r="H36" s="3078">
        <f t="shared" si="4"/>
        <v>-2.3717970892738012</v>
      </c>
      <c r="I36" s="3078">
        <f t="shared" si="5"/>
        <v>-2.3717970892738012</v>
      </c>
      <c r="J36" s="3078" t="str">
        <f t="shared" si="6"/>
        <v>NA</v>
      </c>
      <c r="K36" s="3573" t="str">
        <f t="shared" si="7"/>
        <v>NA</v>
      </c>
      <c r="L36" s="3128" t="str">
        <f t="shared" si="8"/>
        <v>NA</v>
      </c>
      <c r="M36" s="3505" t="str">
        <f t="shared" ref="M36:S36" si="50">M37</f>
        <v>IE</v>
      </c>
      <c r="N36" s="3506">
        <f t="shared" si="50"/>
        <v>-95.989000000000004</v>
      </c>
      <c r="O36" s="3506">
        <f t="shared" si="50"/>
        <v>-95.989000000000004</v>
      </c>
      <c r="P36" s="3506" t="str">
        <f t="shared" si="50"/>
        <v>NA</v>
      </c>
      <c r="Q36" s="3601" t="str">
        <f t="shared" si="50"/>
        <v>NA</v>
      </c>
      <c r="R36" s="3601" t="str">
        <f t="shared" si="50"/>
        <v>NA</v>
      </c>
      <c r="S36" s="3287">
        <f t="shared" si="50"/>
        <v>351.95966666666669</v>
      </c>
      <c r="U36" s="2402"/>
    </row>
    <row r="37" spans="2:21" ht="18" customHeight="1" x14ac:dyDescent="0.2">
      <c r="B37" s="1479"/>
      <c r="C37" s="885" t="s">
        <v>278</v>
      </c>
      <c r="D37" s="3600">
        <f>IF(SUM(E37:F37)=0,E37,SUM(E37:F37))</f>
        <v>40.470999999999997</v>
      </c>
      <c r="E37" s="3569">
        <v>40.470999999999997</v>
      </c>
      <c r="F37" s="3554" t="s">
        <v>2153</v>
      </c>
      <c r="G37" s="3622" t="str">
        <f t="shared" si="3"/>
        <v>NA</v>
      </c>
      <c r="H37" s="3591">
        <f t="shared" si="4"/>
        <v>-2.3717970892738012</v>
      </c>
      <c r="I37" s="3623">
        <f t="shared" si="5"/>
        <v>-2.3717970892738012</v>
      </c>
      <c r="J37" s="3591" t="str">
        <f t="shared" si="6"/>
        <v>NA</v>
      </c>
      <c r="K37" s="3591" t="str">
        <f t="shared" si="7"/>
        <v>NA</v>
      </c>
      <c r="L37" s="3595" t="str">
        <f t="shared" si="8"/>
        <v>NA</v>
      </c>
      <c r="M37" s="3624" t="s">
        <v>2153</v>
      </c>
      <c r="N37" s="3625">
        <v>-95.989000000000004</v>
      </c>
      <c r="O37" s="3109">
        <f t="shared" ref="O37" si="51">IF(SUM(M37:N37)=0,M37,SUM(M37:N37))</f>
        <v>-95.989000000000004</v>
      </c>
      <c r="P37" s="3625" t="s">
        <v>2147</v>
      </c>
      <c r="Q37" s="3626" t="s">
        <v>2147</v>
      </c>
      <c r="R37" s="3626" t="s">
        <v>2147</v>
      </c>
      <c r="S37" s="3570">
        <f t="shared" ref="S37" si="52">IF(SUM(O37:R37)=0,Q37,SUM(O37:R37)*-44/12)</f>
        <v>351.95966666666669</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1494.4810065234624</v>
      </c>
      <c r="E10" s="3583">
        <f t="shared" ref="E10:F10" si="0">IF(SUM(E11,E13)=0,"IE",SUM(E11,E13))</f>
        <v>1409.7592657960001</v>
      </c>
      <c r="F10" s="3584">
        <f t="shared" si="0"/>
        <v>84.721740727462191</v>
      </c>
      <c r="G10" s="3582" t="str">
        <f>IFERROR(IF(SUM($D10)=0,"NA",M10/$D10),"NA")</f>
        <v>NA</v>
      </c>
      <c r="H10" s="3583">
        <f t="shared" ref="H10:J10" si="1">IFERROR(IF(SUM($D10)=0,"NA",N10/$D10),"NA")</f>
        <v>-0.77878240712725677</v>
      </c>
      <c r="I10" s="3583">
        <f t="shared" si="1"/>
        <v>-0.77878240712725677</v>
      </c>
      <c r="J10" s="3583">
        <f t="shared" si="1"/>
        <v>7.2725515957197187E-2</v>
      </c>
      <c r="K10" s="3585">
        <f>IFERROR(IF(SUM(E10)=0,"NA",Q10/E10),"NA")</f>
        <v>-0.13546795170869824</v>
      </c>
      <c r="L10" s="3584">
        <f>IFERROR(IF(SUM(F10)=0,"NA",R10/F10),"NA")</f>
        <v>-1.2702414461503138E-2</v>
      </c>
      <c r="M10" s="3586" t="str">
        <f>IF(SUM(M11,M13)=0,"IE",SUM(M11,M13))</f>
        <v>IE</v>
      </c>
      <c r="N10" s="3583">
        <f t="shared" ref="N10:S10" si="2">IF(SUM(N11,N13)=0,"IE",SUM(N11,N13))</f>
        <v>-1163.8755156663076</v>
      </c>
      <c r="O10" s="3587">
        <f t="shared" si="2"/>
        <v>-1163.8755156663076</v>
      </c>
      <c r="P10" s="3583">
        <f t="shared" si="2"/>
        <v>108.68690228765017</v>
      </c>
      <c r="Q10" s="3585">
        <f t="shared" si="2"/>
        <v>-190.97720013974242</v>
      </c>
      <c r="R10" s="3585">
        <f t="shared" si="2"/>
        <v>-1.0761706646202351</v>
      </c>
      <c r="S10" s="3588">
        <f t="shared" si="2"/>
        <v>4573.2206086710739</v>
      </c>
      <c r="U10" s="2261"/>
    </row>
    <row r="11" spans="2:21" ht="18" customHeight="1" x14ac:dyDescent="0.2">
      <c r="B11" s="493" t="s">
        <v>993</v>
      </c>
      <c r="C11" s="2256"/>
      <c r="D11" s="3589">
        <f>D12</f>
        <v>1001.5512657960001</v>
      </c>
      <c r="E11" s="3078">
        <f t="shared" ref="E11:F11" si="3">E12</f>
        <v>1001.5512657960001</v>
      </c>
      <c r="F11" s="3078" t="str">
        <f t="shared" si="3"/>
        <v>IE</v>
      </c>
      <c r="G11" s="3558" t="str">
        <f t="shared" ref="G11:G24" si="4">IFERROR(IF(SUM($D11)=0,"NA",M11/$D11),"NA")</f>
        <v>NA</v>
      </c>
      <c r="H11" s="3078">
        <f t="shared" ref="H11:H24" si="5">IFERROR(IF(SUM($D11)=0,"NA",N11/$D11),"NA")</f>
        <v>-2.7946649065971551E-3</v>
      </c>
      <c r="I11" s="3078">
        <f t="shared" ref="I11:I24" si="6">IFERROR(IF(SUM($D11)=0,"NA",O11/$D11),"NA")</f>
        <v>-2.7946649065971551E-3</v>
      </c>
      <c r="J11" s="3078">
        <f t="shared" ref="J11:J24" si="7">IFERROR(IF(SUM($D11)=0,"NA",P11/$D11),"NA")</f>
        <v>-5.5893298131943136E-4</v>
      </c>
      <c r="K11" s="3573">
        <f t="shared" ref="K11:K24" si="8">IFERROR(IF(SUM(E11)=0,"NA",Q11/E11),"NA")</f>
        <v>-2.2357319252777254E-3</v>
      </c>
      <c r="L11" s="3128" t="str">
        <f t="shared" ref="L11:L24" si="9">IFERROR(IF(SUM(F11)=0,"NA",R11/F11),"NA")</f>
        <v>NA</v>
      </c>
      <c r="M11" s="3590" t="str">
        <f t="shared" ref="M11:S11" si="10">M12</f>
        <v>IE</v>
      </c>
      <c r="N11" s="3591">
        <f t="shared" si="10"/>
        <v>-2.7990001746780409</v>
      </c>
      <c r="O11" s="3592">
        <f t="shared" si="10"/>
        <v>-2.7990001746780409</v>
      </c>
      <c r="P11" s="3591">
        <f t="shared" si="10"/>
        <v>-0.55980003493560848</v>
      </c>
      <c r="Q11" s="3593">
        <f t="shared" si="10"/>
        <v>-2.2392001397424339</v>
      </c>
      <c r="R11" s="3593" t="str">
        <f t="shared" si="10"/>
        <v>IE</v>
      </c>
      <c r="S11" s="3594">
        <f t="shared" si="10"/>
        <v>20.526001280972306</v>
      </c>
      <c r="U11" s="2397"/>
    </row>
    <row r="12" spans="2:21" ht="18" customHeight="1" x14ac:dyDescent="0.2">
      <c r="B12" s="501"/>
      <c r="C12" s="885" t="s">
        <v>278</v>
      </c>
      <c r="D12" s="3600">
        <f>IF(SUM(E12:F12)=0,E12,SUM(E12:F12))</f>
        <v>1001.5512657960001</v>
      </c>
      <c r="E12" s="3569">
        <v>1001.5512657960001</v>
      </c>
      <c r="F12" s="3554" t="s">
        <v>2153</v>
      </c>
      <c r="G12" s="3558" t="str">
        <f t="shared" si="4"/>
        <v>NA</v>
      </c>
      <c r="H12" s="3078">
        <f t="shared" si="5"/>
        <v>-2.7946649065971551E-3</v>
      </c>
      <c r="I12" s="3078">
        <f t="shared" si="6"/>
        <v>-2.7946649065971551E-3</v>
      </c>
      <c r="J12" s="3078">
        <f t="shared" si="7"/>
        <v>-5.5893298131943136E-4</v>
      </c>
      <c r="K12" s="3573">
        <f t="shared" si="8"/>
        <v>-2.2357319252777254E-3</v>
      </c>
      <c r="L12" s="3128" t="str">
        <f t="shared" si="9"/>
        <v>NA</v>
      </c>
      <c r="M12" s="2905" t="s">
        <v>2153</v>
      </c>
      <c r="N12" s="2905">
        <v>-2.7990001746780409</v>
      </c>
      <c r="O12" s="3109">
        <f>IF(SUM(M12:N12)=0,M12,SUM(M12:N12))</f>
        <v>-2.7990001746780409</v>
      </c>
      <c r="P12" s="2905">
        <v>-0.55980003493560848</v>
      </c>
      <c r="Q12" s="2906">
        <v>-2.2392001397424339</v>
      </c>
      <c r="R12" s="2906" t="s">
        <v>2153</v>
      </c>
      <c r="S12" s="3570">
        <f>IF(SUM(O12:R12)=0,Q12,SUM(O12:R12)*-44/12)</f>
        <v>20.526001280972306</v>
      </c>
      <c r="U12" s="2398"/>
    </row>
    <row r="13" spans="2:21" ht="18" customHeight="1" x14ac:dyDescent="0.2">
      <c r="B13" s="493" t="s">
        <v>994</v>
      </c>
      <c r="C13" s="504"/>
      <c r="D13" s="3589">
        <f>IF(SUM(D14,D17,D19,D21,D23)=0,"IE",SUM(D14,D17,D19,D21,D23))</f>
        <v>492.92974072746222</v>
      </c>
      <c r="E13" s="3591">
        <f t="shared" ref="E13:S13" si="11">IF(SUM(E14,E17,E19,E21,E23)=0,"IE",SUM(E14,E17,E19,E21,E23))</f>
        <v>408.20800000000003</v>
      </c>
      <c r="F13" s="3595">
        <f t="shared" si="11"/>
        <v>84.721740727462191</v>
      </c>
      <c r="G13" s="3558" t="str">
        <f t="shared" si="4"/>
        <v>NA</v>
      </c>
      <c r="H13" s="3078">
        <f t="shared" si="5"/>
        <v>-2.3554604633474154</v>
      </c>
      <c r="I13" s="3078">
        <f t="shared" si="6"/>
        <v>-2.3554604633474154</v>
      </c>
      <c r="J13" s="3078">
        <f t="shared" si="7"/>
        <v>0.22162733001534918</v>
      </c>
      <c r="K13" s="3573">
        <f t="shared" si="8"/>
        <v>-0.46235742562615134</v>
      </c>
      <c r="L13" s="3128">
        <f t="shared" si="9"/>
        <v>-1.2702414461503138E-2</v>
      </c>
      <c r="M13" s="3078" t="str">
        <f t="shared" si="11"/>
        <v>IE</v>
      </c>
      <c r="N13" s="3078">
        <f t="shared" si="11"/>
        <v>-1161.0765154916296</v>
      </c>
      <c r="O13" s="3078">
        <f t="shared" si="11"/>
        <v>-1161.0765154916296</v>
      </c>
      <c r="P13" s="3078">
        <f t="shared" si="11"/>
        <v>109.24670232258578</v>
      </c>
      <c r="Q13" s="3573">
        <f t="shared" si="11"/>
        <v>-188.738</v>
      </c>
      <c r="R13" s="3573">
        <f t="shared" si="11"/>
        <v>-1.0761706646202351</v>
      </c>
      <c r="S13" s="3570">
        <f t="shared" si="11"/>
        <v>4552.6946073901017</v>
      </c>
      <c r="U13" s="2019"/>
    </row>
    <row r="14" spans="2:21" ht="18" customHeight="1" x14ac:dyDescent="0.2">
      <c r="B14" s="495" t="s">
        <v>1101</v>
      </c>
      <c r="C14" s="504"/>
      <c r="D14" s="3599">
        <f>IF(SUM(D15:D16)=0,"IE",SUM(D15:D16))</f>
        <v>492.92974072746222</v>
      </c>
      <c r="E14" s="3564">
        <f t="shared" ref="E14:F14" si="12">IF(SUM(E15:E16)=0,"IE",SUM(E15:E16))</f>
        <v>408.20800000000003</v>
      </c>
      <c r="F14" s="3565">
        <f t="shared" si="12"/>
        <v>84.721740727462191</v>
      </c>
      <c r="G14" s="3558" t="str">
        <f t="shared" si="4"/>
        <v>NA</v>
      </c>
      <c r="H14" s="3078">
        <f t="shared" si="5"/>
        <v>-2.3554604633474154</v>
      </c>
      <c r="I14" s="3078">
        <f t="shared" si="6"/>
        <v>-2.3554604633474154</v>
      </c>
      <c r="J14" s="3078">
        <f t="shared" si="7"/>
        <v>0.22162733001534918</v>
      </c>
      <c r="K14" s="3573">
        <f t="shared" si="8"/>
        <v>-0.46235742562615134</v>
      </c>
      <c r="L14" s="3128">
        <f t="shared" si="9"/>
        <v>-1.2702414461503138E-2</v>
      </c>
      <c r="M14" s="3506" t="str">
        <f>IF(SUM(M15:M16)=0,"IE",SUM(M15:M16))</f>
        <v>IE</v>
      </c>
      <c r="N14" s="3506">
        <f t="shared" ref="N14:S14" si="13">IF(SUM(N15:N16)=0,"IE",SUM(N15:N16))</f>
        <v>-1161.0765154916296</v>
      </c>
      <c r="O14" s="3506">
        <f t="shared" si="13"/>
        <v>-1161.0765154916296</v>
      </c>
      <c r="P14" s="3506">
        <f t="shared" si="13"/>
        <v>109.24670232258578</v>
      </c>
      <c r="Q14" s="3601">
        <f t="shared" si="13"/>
        <v>-188.738</v>
      </c>
      <c r="R14" s="3601">
        <f t="shared" si="13"/>
        <v>-1.0761706646202351</v>
      </c>
      <c r="S14" s="3287">
        <f t="shared" si="13"/>
        <v>4552.6946073901017</v>
      </c>
      <c r="U14" s="2019"/>
    </row>
    <row r="15" spans="2:21" ht="18" customHeight="1" x14ac:dyDescent="0.2">
      <c r="B15" s="496"/>
      <c r="C15" s="508" t="s">
        <v>2235</v>
      </c>
      <c r="D15" s="3600">
        <f>IF(SUM(E15:F15)=0,E15,SUM(E15:F15))</f>
        <v>84.721740727462191</v>
      </c>
      <c r="E15" s="3569" t="s">
        <v>2146</v>
      </c>
      <c r="F15" s="3554">
        <v>84.721740727462191</v>
      </c>
      <c r="G15" s="3558" t="str">
        <f t="shared" si="4"/>
        <v>NA</v>
      </c>
      <c r="H15" s="3078">
        <f t="shared" si="5"/>
        <v>-9.1396790108755877</v>
      </c>
      <c r="I15" s="3078">
        <f t="shared" si="6"/>
        <v>-9.1396790108755877</v>
      </c>
      <c r="J15" s="3078">
        <f t="shared" si="7"/>
        <v>2.5014087352656529</v>
      </c>
      <c r="K15" s="3573" t="str">
        <f t="shared" si="8"/>
        <v>NA</v>
      </c>
      <c r="L15" s="3128">
        <f t="shared" si="9"/>
        <v>-1.2702414461503138E-2</v>
      </c>
      <c r="M15" s="2905" t="s">
        <v>2153</v>
      </c>
      <c r="N15" s="2905">
        <v>-774.32951549162965</v>
      </c>
      <c r="O15" s="3109">
        <f>IF(SUM(M15:N15)=0,M15,SUM(M15:N15))</f>
        <v>-774.32951549162965</v>
      </c>
      <c r="P15" s="2905">
        <v>211.92370232258577</v>
      </c>
      <c r="Q15" s="2906" t="s">
        <v>2146</v>
      </c>
      <c r="R15" s="2906">
        <v>-1.0761706646202351</v>
      </c>
      <c r="S15" s="3570">
        <f>IF(SUM(O15:R15)=0,Q15,SUM(O15:R15)*-44/12)</f>
        <v>2066.1006073901017</v>
      </c>
      <c r="U15" s="2019"/>
    </row>
    <row r="16" spans="2:21" ht="18" customHeight="1" x14ac:dyDescent="0.2">
      <c r="B16" s="494"/>
      <c r="C16" s="508" t="s">
        <v>2236</v>
      </c>
      <c r="D16" s="3600">
        <f>IF(SUM(E16:F16)=0,E16,SUM(E16:F16))</f>
        <v>408.20800000000003</v>
      </c>
      <c r="E16" s="3569">
        <v>408.20800000000003</v>
      </c>
      <c r="F16" s="3554" t="s">
        <v>2153</v>
      </c>
      <c r="G16" s="3558" t="str">
        <f t="shared" si="4"/>
        <v>NA</v>
      </c>
      <c r="H16" s="3078">
        <f t="shared" si="5"/>
        <v>-0.94742631207619643</v>
      </c>
      <c r="I16" s="3078">
        <f t="shared" si="6"/>
        <v>-0.94742631207619643</v>
      </c>
      <c r="J16" s="3078">
        <f t="shared" si="7"/>
        <v>-0.25153108219339154</v>
      </c>
      <c r="K16" s="3573">
        <f t="shared" si="8"/>
        <v>-0.46235742562615134</v>
      </c>
      <c r="L16" s="3128" t="str">
        <f t="shared" si="9"/>
        <v>NA</v>
      </c>
      <c r="M16" s="2905" t="s">
        <v>2153</v>
      </c>
      <c r="N16" s="2905">
        <v>-386.74700000000001</v>
      </c>
      <c r="O16" s="3109">
        <f>IF(SUM(M16:N16)=0,M16,SUM(M16:N16))</f>
        <v>-386.74700000000001</v>
      </c>
      <c r="P16" s="2905">
        <v>-102.67699999999999</v>
      </c>
      <c r="Q16" s="2906">
        <v>-188.738</v>
      </c>
      <c r="R16" s="2906" t="s">
        <v>2153</v>
      </c>
      <c r="S16" s="3570">
        <f>IF(SUM(O16:R16)=0,Q16,SUM(O16:R16)*-44/12)</f>
        <v>2486.5940000000001</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72.170434686003446</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72.170434686003446</v>
      </c>
    </row>
    <row r="270" spans="2:10" ht="18" customHeight="1" x14ac:dyDescent="0.2">
      <c r="B270" s="2827" t="s">
        <v>1187</v>
      </c>
      <c r="C270" s="2828"/>
      <c r="D270" s="2808"/>
      <c r="E270" s="2809"/>
      <c r="F270" s="2810"/>
      <c r="G270" s="2811"/>
      <c r="H270" s="2819" t="s">
        <v>2154</v>
      </c>
      <c r="I270" s="2815" t="s">
        <v>2154</v>
      </c>
      <c r="J270" s="3741">
        <f>J277</f>
        <v>69.964592803711781</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663.15679372224565</v>
      </c>
      <c r="E277" s="2755" t="s">
        <v>2147</v>
      </c>
      <c r="F277" s="2753" t="s">
        <v>2147</v>
      </c>
      <c r="G277" s="3735">
        <f>IF(SUM(D277)=0,"NA",J277*1000/D277)</f>
        <v>105.50233891295325</v>
      </c>
      <c r="H277" s="2778" t="str">
        <f t="shared" ref="H277:J277" si="1">H302</f>
        <v>NE</v>
      </c>
      <c r="I277" s="2777" t="str">
        <f t="shared" si="1"/>
        <v>NE</v>
      </c>
      <c r="J277" s="3734">
        <f t="shared" si="1"/>
        <v>69.964592803711781</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361.51022180911366</v>
      </c>
      <c r="E281" s="2755" t="str">
        <f t="shared" si="2"/>
        <v>NA</v>
      </c>
      <c r="F281" s="2753" t="str">
        <f t="shared" si="2"/>
        <v>NA</v>
      </c>
      <c r="G281" s="3735">
        <f t="shared" si="2"/>
        <v>123.32286873426068</v>
      </c>
      <c r="H281" s="2780" t="str">
        <f t="shared" ref="H281" si="3">H306</f>
        <v>NA</v>
      </c>
      <c r="I281" s="2758" t="str">
        <f t="shared" ref="I281:J281" si="4">I306</f>
        <v>NA</v>
      </c>
      <c r="J281" s="3744">
        <f t="shared" si="4"/>
        <v>44.582477630258786</v>
      </c>
    </row>
    <row r="282" spans="2:10" ht="18" customHeight="1" outlineLevel="1" x14ac:dyDescent="0.2">
      <c r="B282" s="2847" t="str">
        <f>B307</f>
        <v>Other Constructed Water Bodies</v>
      </c>
      <c r="C282" s="2835" t="str">
        <f t="shared" si="2"/>
        <v>Other Constructed Water Bodies</v>
      </c>
      <c r="D282" s="3729">
        <f t="shared" si="2"/>
        <v>301.64657191313199</v>
      </c>
      <c r="E282" s="2755" t="str">
        <f t="shared" si="2"/>
        <v>NA</v>
      </c>
      <c r="F282" s="2753" t="str">
        <f t="shared" si="2"/>
        <v>NA</v>
      </c>
      <c r="G282" s="3735">
        <f t="shared" si="2"/>
        <v>84.145213427993198</v>
      </c>
      <c r="H282" s="2845" t="str">
        <f t="shared" ref="H282" si="5">H307</f>
        <v>NA</v>
      </c>
      <c r="I282" s="2846" t="str">
        <f t="shared" ref="I282:J282" si="6">I307</f>
        <v>NA</v>
      </c>
      <c r="J282" s="3744">
        <f t="shared" si="6"/>
        <v>25.382115173452991</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69.964592803711781</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663.15679372224565</v>
      </c>
      <c r="E302" s="2755" t="s">
        <v>2147</v>
      </c>
      <c r="F302" s="2753" t="s">
        <v>2147</v>
      </c>
      <c r="G302" s="3735">
        <f>IF(SUM(D302)=0,"NA",J302*1000/D302)</f>
        <v>105.50233891295325</v>
      </c>
      <c r="H302" s="2778" t="s">
        <v>2154</v>
      </c>
      <c r="I302" s="2777" t="s">
        <v>2154</v>
      </c>
      <c r="J302" s="3734">
        <f t="shared" ref="J302" si="7">IF(SUM(J306:J307)=0,"NO",SUM(J306:J307))</f>
        <v>69.964592803711781</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361.51022180911366</v>
      </c>
      <c r="E306" s="2755" t="s">
        <v>2147</v>
      </c>
      <c r="F306" s="2753" t="s">
        <v>2147</v>
      </c>
      <c r="G306" s="3735">
        <f>IF(SUM(D306)=0,"NA",J306*1000/D306)</f>
        <v>123.32286873426068</v>
      </c>
      <c r="H306" s="2780" t="s">
        <v>2147</v>
      </c>
      <c r="I306" s="2758" t="s">
        <v>2147</v>
      </c>
      <c r="J306" s="3744">
        <v>44.582477630258786</v>
      </c>
    </row>
    <row r="307" spans="2:10" ht="18" customHeight="1" outlineLevel="2" x14ac:dyDescent="0.2">
      <c r="B307" s="2847" t="s">
        <v>2245</v>
      </c>
      <c r="C307" s="2835" t="s">
        <v>2245</v>
      </c>
      <c r="D307" s="3732">
        <v>301.64657191313199</v>
      </c>
      <c r="E307" s="2755" t="s">
        <v>2147</v>
      </c>
      <c r="F307" s="2753" t="s">
        <v>2147</v>
      </c>
      <c r="G307" s="3735">
        <f>IF(SUM(D307)=0,"NA",J307*1000/D307)</f>
        <v>84.145213427993198</v>
      </c>
      <c r="H307" s="2780" t="s">
        <v>2147</v>
      </c>
      <c r="I307" s="2758" t="s">
        <v>2147</v>
      </c>
      <c r="J307" s="3744">
        <v>25.382115173452991</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2.2058418822916663</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12.098401041666666</v>
      </c>
      <c r="E327" s="2776" t="str">
        <f t="shared" ref="E327:J327" si="8">E331</f>
        <v>NA</v>
      </c>
      <c r="F327" s="2777" t="str">
        <f t="shared" si="8"/>
        <v>NA</v>
      </c>
      <c r="G327" s="3737">
        <f t="shared" si="8"/>
        <v>182.32507541242751</v>
      </c>
      <c r="H327" s="2778" t="str">
        <f t="shared" si="8"/>
        <v>IE</v>
      </c>
      <c r="I327" s="2777" t="str">
        <f t="shared" si="8"/>
        <v>NA</v>
      </c>
      <c r="J327" s="3734">
        <f t="shared" si="8"/>
        <v>2.2058418822916663</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12.098401041666666</v>
      </c>
      <c r="E331" s="2755" t="str">
        <f t="shared" si="9"/>
        <v>NA</v>
      </c>
      <c r="F331" s="2753" t="str">
        <f t="shared" si="9"/>
        <v>NA</v>
      </c>
      <c r="G331" s="3735">
        <f t="shared" si="9"/>
        <v>182.32507541242751</v>
      </c>
      <c r="H331" s="2765" t="str">
        <f t="shared" si="9"/>
        <v>IE</v>
      </c>
      <c r="I331" s="2758" t="str">
        <f t="shared" si="9"/>
        <v>NA</v>
      </c>
      <c r="J331" s="3744">
        <f t="shared" si="9"/>
        <v>2.2058418822916663</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2.2058418822916663</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12.098401041666666</v>
      </c>
      <c r="E411" s="2776" t="str">
        <f t="shared" ref="E411:J411" si="10">E415</f>
        <v>NA</v>
      </c>
      <c r="F411" s="2777" t="str">
        <f t="shared" si="10"/>
        <v>NA</v>
      </c>
      <c r="G411" s="3737">
        <f t="shared" si="10"/>
        <v>182.32507541242751</v>
      </c>
      <c r="H411" s="2778" t="str">
        <f t="shared" si="10"/>
        <v>IE</v>
      </c>
      <c r="I411" s="2777" t="str">
        <f t="shared" si="10"/>
        <v>NA</v>
      </c>
      <c r="J411" s="3734">
        <f t="shared" si="10"/>
        <v>2.2058418822916663</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12.098401041666666</v>
      </c>
      <c r="E415" s="2755" t="str">
        <f>E427</f>
        <v>NA</v>
      </c>
      <c r="F415" s="2753" t="str">
        <f>F427</f>
        <v>NA</v>
      </c>
      <c r="G415" s="3735">
        <f t="shared" ref="G415:J415" si="11">G427</f>
        <v>182.32507541242751</v>
      </c>
      <c r="H415" s="2780" t="str">
        <f t="shared" si="11"/>
        <v>IE</v>
      </c>
      <c r="I415" s="2758" t="str">
        <f t="shared" si="11"/>
        <v>NA</v>
      </c>
      <c r="J415" s="3744">
        <f t="shared" si="11"/>
        <v>2.2058418822916663</v>
      </c>
    </row>
    <row r="416" spans="2:10" ht="18" customHeight="1" outlineLevel="2" x14ac:dyDescent="0.2">
      <c r="B416" s="2842" t="s">
        <v>1199</v>
      </c>
      <c r="C416" s="2828"/>
      <c r="D416" s="3731"/>
      <c r="E416" s="2809"/>
      <c r="F416" s="2810"/>
      <c r="G416" s="3738"/>
      <c r="H416" s="2819" t="s">
        <v>2154</v>
      </c>
      <c r="I416" s="2815" t="s">
        <v>2154</v>
      </c>
      <c r="J416" s="3741">
        <f>J423</f>
        <v>2.2058418822916663</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12.098401041666666</v>
      </c>
      <c r="E423" s="2776" t="str">
        <f t="shared" ref="E423:J423" si="12">E427</f>
        <v>NA</v>
      </c>
      <c r="F423" s="2777" t="str">
        <f t="shared" si="12"/>
        <v>NA</v>
      </c>
      <c r="G423" s="3737">
        <f t="shared" si="12"/>
        <v>182.32507541242751</v>
      </c>
      <c r="H423" s="2778" t="str">
        <f t="shared" si="12"/>
        <v>IE</v>
      </c>
      <c r="I423" s="2777" t="str">
        <f t="shared" si="12"/>
        <v>NA</v>
      </c>
      <c r="J423" s="3734">
        <f t="shared" si="12"/>
        <v>2.2058418822916663</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12.098401041666666</v>
      </c>
      <c r="E427" s="2755" t="s">
        <v>2147</v>
      </c>
      <c r="F427" s="2753" t="s">
        <v>2147</v>
      </c>
      <c r="G427" s="3735">
        <f>IF(SUM(D427)=0,"NA",J427*1000/D427)</f>
        <v>182.32507541242751</v>
      </c>
      <c r="H427" s="2780" t="s">
        <v>2153</v>
      </c>
      <c r="I427" s="2758" t="s">
        <v>2147</v>
      </c>
      <c r="J427" s="3744">
        <v>2.2058418822916663</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657099.87211850635</v>
      </c>
      <c r="D10" s="4332">
        <f>IF(SUM(D11,D20,D28,D37,D46,D55)=0,"NO",SUM(D11,D20,D28,D37,D46,D55))</f>
        <v>108212.43319978454</v>
      </c>
      <c r="E10" s="4333">
        <f t="shared" ref="E10:E12" si="0">IF(SUM(C10)=0,"NA",G10/C10*1000/(44/28))</f>
        <v>3.212201764253774E-3</v>
      </c>
      <c r="F10" s="4332">
        <f t="shared" ref="F10:F11" si="1">IF(SUM(D10)=0,"NA",H10/D10*1000/(44/28))</f>
        <v>7.5000000000000006E-3</v>
      </c>
      <c r="G10" s="4331">
        <f>IF(SUM(G11,G20,G28,G37,G46,G55)=0,"NO",SUM(G11,G20,G28,G37,G46,G55))</f>
        <v>3.3168730076585642</v>
      </c>
      <c r="H10" s="4334">
        <f>IF(SUM(H11,H20,H28,H37,H46,H55)=0,"NO",SUM(H11,H20,H28,H37,H46,H55))</f>
        <v>1.2753608198546038</v>
      </c>
      <c r="I10" s="4335">
        <f t="shared" ref="I10:I11" si="2">IF(SUM(G10:H10)=0,"NO",SUM(G10:H10))</f>
        <v>4.5922338275131676</v>
      </c>
    </row>
    <row r="11" spans="2:10" ht="18" customHeight="1" x14ac:dyDescent="0.2">
      <c r="B11" s="2848" t="s">
        <v>1901</v>
      </c>
      <c r="C11" s="4336">
        <f>IF(SUM(C12:C13)=0,"NO",SUM(C12:C13))</f>
        <v>131441.92223675665</v>
      </c>
      <c r="D11" s="4337">
        <f>IF(SUM(D12:D13)=0,"NO",SUM(D12:D13))</f>
        <v>47400.192585382902</v>
      </c>
      <c r="E11" s="4336">
        <f t="shared" si="0"/>
        <v>5.5109310868352726E-3</v>
      </c>
      <c r="F11" s="4337">
        <f t="shared" si="1"/>
        <v>7.5000000000000006E-3</v>
      </c>
      <c r="G11" s="4336">
        <f>IF(SUM(G12:G13)=0,"NO",SUM(G12:G13))</f>
        <v>1.138291589863885</v>
      </c>
      <c r="H11" s="4338">
        <f>IF(SUM(H12:H13)=0,"NO",SUM(H12:H13))</f>
        <v>0.55864512689915569</v>
      </c>
      <c r="I11" s="4337">
        <f t="shared" si="2"/>
        <v>1.6969367167630407</v>
      </c>
    </row>
    <row r="12" spans="2:10" ht="18" customHeight="1" x14ac:dyDescent="0.2">
      <c r="B12" s="914" t="s">
        <v>1228</v>
      </c>
      <c r="C12" s="4339">
        <f>Table4.A!E11</f>
        <v>121311.431980769</v>
      </c>
      <c r="D12" s="4340">
        <f>H12/F12*1000/(44/28)</f>
        <v>31744.035684050494</v>
      </c>
      <c r="E12" s="4341">
        <f t="shared" si="0"/>
        <v>3.3343442326970204E-3</v>
      </c>
      <c r="F12" s="4342">
        <v>7.4999999999999997E-3</v>
      </c>
      <c r="G12" s="4339">
        <v>0.63563354420546203</v>
      </c>
      <c r="H12" s="4343">
        <v>0.37412613484773793</v>
      </c>
      <c r="I12" s="4344">
        <f>IF(SUM(G12:H12)=0,"NO",SUM(G12:H12))</f>
        <v>1.0097596790532</v>
      </c>
    </row>
    <row r="13" spans="2:10" ht="18" customHeight="1" x14ac:dyDescent="0.2">
      <c r="B13" s="914" t="s">
        <v>1902</v>
      </c>
      <c r="C13" s="4345">
        <f>IF(SUM(C15:C19)=0,"NO",SUM(C15:C19))</f>
        <v>10130.490255987665</v>
      </c>
      <c r="D13" s="4344">
        <f>IF(SUM(D15:D19)=0,"NO",SUM(D15:D19))</f>
        <v>15656.156901332412</v>
      </c>
      <c r="E13" s="4345">
        <f>IF(SUM(C13)=0,"NA",G13/C13*1000/(44/28))</f>
        <v>3.1575303238021518E-2</v>
      </c>
      <c r="F13" s="4344">
        <f>IF(SUM(D13)=0,"NA",H13/D13*1000/(44/28))</f>
        <v>7.5000000000000006E-3</v>
      </c>
      <c r="G13" s="4345">
        <f>IF(SUM(G15:G19)=0,"NO",SUM(G15:G19))</f>
        <v>0.50265804565842287</v>
      </c>
      <c r="H13" s="4346">
        <f>IF(SUM(H15:H19)=0,"NO",SUM(H15:H19))</f>
        <v>0.18451899205141772</v>
      </c>
      <c r="I13" s="4344">
        <f>IF(SUM(G13:H13)=0,"NO",SUM(G13:H13))</f>
        <v>0.68717703770984062</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63.988999999999997</v>
      </c>
      <c r="D15" s="4340">
        <f>H15/F15*1000/(44/28)</f>
        <v>124.50364817184646</v>
      </c>
      <c r="E15" s="4345">
        <f>IF(SUM(C15)=0,"NA",G15/C15*1000/(44/28))</f>
        <v>4.4071116389796168E-2</v>
      </c>
      <c r="F15" s="4342">
        <v>7.4999999999999997E-3</v>
      </c>
      <c r="G15" s="4350">
        <v>4.4315333333333337E-3</v>
      </c>
      <c r="H15" s="4351">
        <v>1.4673644248824761E-3</v>
      </c>
      <c r="I15" s="4344">
        <f>IF(SUM(G15:H15)=0,"NO",SUM(G15:H15))</f>
        <v>5.8988977582158098E-3</v>
      </c>
    </row>
    <row r="16" spans="2:10" ht="18" customHeight="1" x14ac:dyDescent="0.2">
      <c r="B16" s="528" t="s">
        <v>1230</v>
      </c>
      <c r="C16" s="4350">
        <f>Table4.A!E19</f>
        <v>10016.677255987664</v>
      </c>
      <c r="D16" s="4340">
        <f>H16/F16*1000/(44/28)</f>
        <v>15383.932404923436</v>
      </c>
      <c r="E16" s="4345">
        <f t="shared" ref="E16:E21" si="3">IF(SUM(C16)=0,"NA",G16/C16*1000/(44/28))</f>
        <v>3.1262516213026288E-2</v>
      </c>
      <c r="F16" s="4342">
        <v>7.4999999999999997E-3</v>
      </c>
      <c r="G16" s="4350">
        <v>0.49208741232508951</v>
      </c>
      <c r="H16" s="4351">
        <v>0.18131063191516908</v>
      </c>
      <c r="I16" s="4344">
        <f t="shared" ref="I16:I21" si="4">IF(SUM(G16:H16)=0,"NO",SUM(G16:H16))</f>
        <v>0.67339804424025862</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49.823999999999998</v>
      </c>
      <c r="D18" s="4340">
        <f>H18/F18*1000/(44/28)</f>
        <v>147.72084823712825</v>
      </c>
      <c r="E18" s="4345">
        <f t="shared" si="3"/>
        <v>7.84100032113038E-2</v>
      </c>
      <c r="F18" s="4342">
        <v>7.4999999999999997E-3</v>
      </c>
      <c r="G18" s="4350">
        <v>6.1390999999999998E-3</v>
      </c>
      <c r="H18" s="4351">
        <v>1.7409957113661543E-3</v>
      </c>
      <c r="I18" s="4344">
        <f t="shared" si="4"/>
        <v>7.8800957113661536E-3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2285.0500000000002</v>
      </c>
      <c r="D20" s="4360">
        <f>D21</f>
        <v>2959.7928448489815</v>
      </c>
      <c r="E20" s="4359">
        <f t="shared" si="3"/>
        <v>2.9193292634005091E-2</v>
      </c>
      <c r="F20" s="4360">
        <f t="shared" si="5"/>
        <v>7.4999999999999997E-3</v>
      </c>
      <c r="G20" s="4359">
        <f>G21</f>
        <v>0.10482706666666668</v>
      </c>
      <c r="H20" s="4361">
        <f>H21</f>
        <v>3.4883272814291565E-2</v>
      </c>
      <c r="I20" s="4360">
        <f t="shared" si="4"/>
        <v>0.13971033948095823</v>
      </c>
    </row>
    <row r="21" spans="2:9" ht="18" customHeight="1" x14ac:dyDescent="0.2">
      <c r="B21" s="914" t="s">
        <v>1904</v>
      </c>
      <c r="C21" s="4345">
        <f>IF(SUM(C23:C27)=0,"NO",SUM(C23:C27))</f>
        <v>2285.0500000000002</v>
      </c>
      <c r="D21" s="4344">
        <f>IF(SUM(D23:D27)=0,"NO",SUM(D23:D27))</f>
        <v>2959.7928448489815</v>
      </c>
      <c r="E21" s="4345">
        <f t="shared" si="3"/>
        <v>2.9193292634005091E-2</v>
      </c>
      <c r="F21" s="4344">
        <f t="shared" si="5"/>
        <v>7.4999999999999997E-3</v>
      </c>
      <c r="G21" s="4345">
        <f>IF(SUM(G23:G27)=0,"NO",SUM(G23:G27))</f>
        <v>0.10482706666666668</v>
      </c>
      <c r="H21" s="4346">
        <f>IF(SUM(H23:H27)=0,"NO",SUM(H23:H27))</f>
        <v>3.4883272814291565E-2</v>
      </c>
      <c r="I21" s="4344">
        <f t="shared" si="4"/>
        <v>0.13971033948095823</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2285.0500000000002</v>
      </c>
      <c r="D23" s="4340">
        <f>H23/F23*1000/(44/28)</f>
        <v>2959.7928448489815</v>
      </c>
      <c r="E23" s="4345">
        <f>IF(SUM(C23)=0,"NA",G23/C23*1000/(44/28))</f>
        <v>2.9193292634005091E-2</v>
      </c>
      <c r="F23" s="4342">
        <v>7.4999999999999997E-3</v>
      </c>
      <c r="G23" s="4350">
        <v>0.10482706666666668</v>
      </c>
      <c r="H23" s="4351">
        <v>3.4883272814291565E-2</v>
      </c>
      <c r="I23" s="4344">
        <f>IF(SUM(G23:H23)=0,"NO",SUM(G23:H23))</f>
        <v>0.13971033948095823</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521963.1406159536</v>
      </c>
      <c r="D28" s="4337">
        <f>IF(SUM(D29:D30)=0,"NO",SUM(D29:D30))</f>
        <v>56943.918703657255</v>
      </c>
      <c r="E28" s="4336">
        <f t="shared" si="6"/>
        <v>2.4854710845436654E-3</v>
      </c>
      <c r="F28" s="4337">
        <f t="shared" si="7"/>
        <v>7.4999999999999997E-3</v>
      </c>
      <c r="G28" s="4336">
        <f>IF(SUM(G29:G30)=0,"NO",SUM(G29:G30))</f>
        <v>2.0386524607405816</v>
      </c>
      <c r="H28" s="4338">
        <f>IF(SUM(H29:H30)=0,"NO",SUM(H29:H30))</f>
        <v>0.67112475615024614</v>
      </c>
      <c r="I28" s="4360">
        <f t="shared" si="8"/>
        <v>2.7097772168908278</v>
      </c>
    </row>
    <row r="29" spans="2:9" ht="18" customHeight="1" x14ac:dyDescent="0.2">
      <c r="B29" s="914" t="s">
        <v>1239</v>
      </c>
      <c r="C29" s="4339">
        <f>Table4.C!E11</f>
        <v>508357.27269331599</v>
      </c>
      <c r="D29" s="4340">
        <f>H29/F29*1000/(44/28)</f>
        <v>41314.43785165275</v>
      </c>
      <c r="E29" s="4341">
        <f t="shared" si="6"/>
        <v>1.3477027195611863E-3</v>
      </c>
      <c r="F29" s="4342">
        <v>7.4999999999999997E-3</v>
      </c>
      <c r="G29" s="4339">
        <v>1.0766084668703408</v>
      </c>
      <c r="H29" s="4343">
        <v>0.48692016039447883</v>
      </c>
      <c r="I29" s="4344">
        <f t="shared" si="8"/>
        <v>1.5635286272648197</v>
      </c>
    </row>
    <row r="30" spans="2:9" ht="18" customHeight="1" x14ac:dyDescent="0.2">
      <c r="B30" s="914" t="s">
        <v>1906</v>
      </c>
      <c r="C30" s="4345">
        <f>IF(SUM(C32:C36)=0,"NO",SUM(C32:C36))</f>
        <v>13605.86792263761</v>
      </c>
      <c r="D30" s="4344">
        <f>IF(SUM(D32:D36)=0,"NO",SUM(D32:D36))</f>
        <v>15629.480852004503</v>
      </c>
      <c r="E30" s="4345">
        <f>IF(SUM(C30)=0,"NA",G30/C30*1000/(44/28))</f>
        <v>4.4996013320286611E-2</v>
      </c>
      <c r="F30" s="4344">
        <f>IF(SUM(D30)=0,"NA",H30/D30*1000/(44/28))</f>
        <v>7.4999999999999997E-3</v>
      </c>
      <c r="G30" s="4345">
        <f>IF(SUM(G32:G36)=0,"NO",SUM(G32:G36))</f>
        <v>0.96204399387024053</v>
      </c>
      <c r="H30" s="4346">
        <f>IF(SUM(H32:H36)=0,"NO",SUM(H32:H36))</f>
        <v>0.18420459575576734</v>
      </c>
      <c r="I30" s="4344">
        <f t="shared" si="8"/>
        <v>1.146248589626008</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13605.86792263761</v>
      </c>
      <c r="D32" s="4340">
        <f>H32/F32*1000/(44/28)</f>
        <v>15629.480852004503</v>
      </c>
      <c r="E32" s="4345">
        <f>IF(SUM(C32)=0,"NA",G32/C32*1000/(44/28))</f>
        <v>4.4996013320286611E-2</v>
      </c>
      <c r="F32" s="4342">
        <v>7.4999999999999997E-3</v>
      </c>
      <c r="G32" s="4350">
        <v>0.96204399387024053</v>
      </c>
      <c r="H32" s="4351">
        <v>0.18420459575576734</v>
      </c>
      <c r="I32" s="4344">
        <f t="shared" si="8"/>
        <v>1.146248589626008</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1409.7592657960001</v>
      </c>
      <c r="D46" s="4337">
        <f>IF(SUM(D47:D48)=0,"NO",SUM(D47:D48))</f>
        <v>908.52906589540839</v>
      </c>
      <c r="E46" s="4336">
        <f t="shared" si="11"/>
        <v>1.584495108643301E-2</v>
      </c>
      <c r="F46" s="4337">
        <f t="shared" si="12"/>
        <v>7.4999999999999997E-3</v>
      </c>
      <c r="G46" s="4336">
        <f>IF(SUM(G47:G48)=0,"NO",SUM(G47:G48))</f>
        <v>3.5101890387430952E-2</v>
      </c>
      <c r="H46" s="4338">
        <f>IF(SUM(H47:H48)=0,"NO",SUM(H47:H48))</f>
        <v>1.0707663990910169E-2</v>
      </c>
      <c r="I46" s="4337">
        <f t="shared" si="8"/>
        <v>4.5809554378341125E-2</v>
      </c>
    </row>
    <row r="47" spans="2:9" ht="18" customHeight="1" x14ac:dyDescent="0.2">
      <c r="B47" s="914" t="s">
        <v>1251</v>
      </c>
      <c r="C47" s="4339">
        <f>Table4.E!E11</f>
        <v>1001.5512657960001</v>
      </c>
      <c r="D47" s="4340">
        <f>H47/F47*1000/(44/28)</f>
        <v>26.577104617754511</v>
      </c>
      <c r="E47" s="4341">
        <f t="shared" si="11"/>
        <v>3.176405319573484E-4</v>
      </c>
      <c r="F47" s="4342">
        <v>7.4999999999999997E-3</v>
      </c>
      <c r="G47" s="4339">
        <v>4.9992372076428104E-4</v>
      </c>
      <c r="H47" s="4343">
        <v>3.1323016156639243E-4</v>
      </c>
      <c r="I47" s="4344">
        <f t="shared" si="8"/>
        <v>8.1315388233067342E-4</v>
      </c>
    </row>
    <row r="48" spans="2:9" ht="18" customHeight="1" x14ac:dyDescent="0.2">
      <c r="B48" s="914" t="s">
        <v>1910</v>
      </c>
      <c r="C48" s="4345">
        <f>IF(SUM(C50:C54)=0,"NO",SUM(C50:C54))</f>
        <v>408.20800000000003</v>
      </c>
      <c r="D48" s="4344">
        <f>IF(SUM(D50:D54)=0,"NO",SUM(D50:D54))</f>
        <v>881.95196127765394</v>
      </c>
      <c r="E48" s="4345">
        <f>IF(SUM(C48)=0,"NA",G48/C48*1000/(44/28))</f>
        <v>5.3941699656384332E-2</v>
      </c>
      <c r="F48" s="4344">
        <f>IF(SUM(D48)=0,"NA",H48/D48*1000/(44/28))</f>
        <v>7.4999999999999997E-3</v>
      </c>
      <c r="G48" s="4345">
        <f>IF(SUM(G50:G54)=0,"NO",SUM(G50:G54))</f>
        <v>3.4601966666666671E-2</v>
      </c>
      <c r="H48" s="4346">
        <f>IF(SUM(H50:H54)=0,"NO",SUM(H50:H54))</f>
        <v>1.0394433829343777E-2</v>
      </c>
      <c r="I48" s="4344">
        <f t="shared" si="8"/>
        <v>4.4996400496010447E-2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408.20800000000003</v>
      </c>
      <c r="D50" s="4340">
        <f>H50/F50*1000/(44/28)</f>
        <v>881.95196127765394</v>
      </c>
      <c r="E50" s="4345">
        <f>IF(SUM(C50)=0,"NA",G50/C50*1000/(44/28))</f>
        <v>5.3941699656384332E-2</v>
      </c>
      <c r="F50" s="4342">
        <v>7.4999999999999997E-3</v>
      </c>
      <c r="G50" s="4350">
        <v>3.4601966666666671E-2</v>
      </c>
      <c r="H50" s="4351">
        <v>1.0394433829343777E-2</v>
      </c>
      <c r="I50" s="4344">
        <f t="shared" si="8"/>
        <v>4.4996400496010447E-2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5262713.2331614569</v>
      </c>
      <c r="D10" s="3076" t="s">
        <v>1814</v>
      </c>
      <c r="E10" s="628"/>
      <c r="F10" s="628"/>
      <c r="G10" s="628"/>
      <c r="H10" s="1913">
        <f>IF(SUM(H11:H15)=0,"NO",SUM(H11:H15))</f>
        <v>371696.57372116938</v>
      </c>
      <c r="I10" s="1913">
        <f t="shared" ref="I10:K10" si="0">IF(SUM(I11:I16)=0,"NO",SUM(I11:I16))</f>
        <v>84.554024651012867</v>
      </c>
      <c r="J10" s="1913">
        <f t="shared" si="0"/>
        <v>12.029501637908735</v>
      </c>
      <c r="K10" s="3085" t="str">
        <f t="shared" si="0"/>
        <v>NO</v>
      </c>
    </row>
    <row r="11" spans="2:11" ht="18" customHeight="1" x14ac:dyDescent="0.2">
      <c r="B11" s="282" t="s">
        <v>132</v>
      </c>
      <c r="C11" s="3086">
        <f>IF(SUM(C18,'Table1.A(a)s2'!C11,'Table1.A(a)s3'!C11,'Table1.A(a)s4'!C11,'Table1.A(a)s4'!C94)=0,"NO",SUM(C18,'Table1.A(a)s2'!C11,'Table1.A(a)s3'!C11,'Table1.A(a)s4'!C11,'Table1.A(a)s4'!C94))</f>
        <v>1770880.3627938083</v>
      </c>
      <c r="D11" s="3077" t="s">
        <v>2145</v>
      </c>
      <c r="E11" s="1913">
        <f>IFERROR(H11*1000/$C11,"NA")</f>
        <v>68.295069754718511</v>
      </c>
      <c r="F11" s="1913">
        <f t="shared" ref="F11:G16" si="1">IFERROR(I11*1000000/$C11,"NA")</f>
        <v>11.129199338725114</v>
      </c>
      <c r="G11" s="1913">
        <f t="shared" si="1"/>
        <v>4.1133654683797314</v>
      </c>
      <c r="H11" s="1913">
        <f>IF(SUM(H18,'Table1.A(a)s2'!H11,'Table1.A(a)s3'!H11,'Table1.A(a)s4'!H11,'Table1.A(a)s4'!H94)=0,"NO",SUM(H18,'Table1.A(a)s2'!H11,'Table1.A(a)s3'!H11,'Table1.A(a)s4'!H11,'Table1.A(a)s4'!H94))</f>
        <v>120942.39790426438</v>
      </c>
      <c r="I11" s="1913">
        <f>IF(SUM(I18,'Table1.A(a)s2'!I11,'Table1.A(a)s3'!I11,'Table1.A(a)s4'!I11,'Table1.A(a)s4'!I94)=0,"NO",SUM(I18,'Table1.A(a)s2'!I11,'Table1.A(a)s3'!I11,'Table1.A(a)s4'!I11,'Table1.A(a)s4'!I94))</f>
        <v>19.708480562566141</v>
      </c>
      <c r="J11" s="1913">
        <f>IF(SUM(J18,'Table1.A(a)s2'!J11,'Table1.A(a)s3'!J11,'Table1.A(a)s4'!J11,'Table1.A(a)s4'!J94)=0,"NO",SUM(J18,'Table1.A(a)s2'!J11,'Table1.A(a)s3'!J11,'Table1.A(a)s4'!J11,'Table1.A(a)s4'!J94))</f>
        <v>7.2842781329478221</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2100920.2373754643</v>
      </c>
      <c r="D12" s="3077" t="s">
        <v>1814</v>
      </c>
      <c r="E12" s="1913">
        <f t="shared" ref="E12:E16" si="2">IFERROR(H12*1000/$C12,"NA")</f>
        <v>90.223212720076461</v>
      </c>
      <c r="F12" s="1913">
        <f t="shared" si="1"/>
        <v>0.68279575004821746</v>
      </c>
      <c r="G12" s="1913">
        <f t="shared" si="1"/>
        <v>1.2747609280230101</v>
      </c>
      <c r="H12" s="1913">
        <f>IF(SUM(H19,'Table1.A(a)s2'!H12,'Table1.A(a)s3'!H12,'Table1.A(a)s4'!H12,'Table1.A(a)s4'!H95)=0,"NO",SUM(H19,'Table1.A(a)s2'!H12,'Table1.A(a)s3'!H12,'Table1.A(a)s4'!H12,'Table1.A(a)s4'!H95))</f>
        <v>189551.77348464006</v>
      </c>
      <c r="I12" s="1913">
        <f>IF(SUM(I19,'Table1.A(a)s2'!I12,'Table1.A(a)s3'!I12,'Table1.A(a)s4'!I12,'Table1.A(a)s4'!I95)=0,"NO",SUM(I19,'Table1.A(a)s2'!I12,'Table1.A(a)s3'!I12,'Table1.A(a)s4'!I12,'Table1.A(a)s4'!I95))</f>
        <v>1.4344994092702594</v>
      </c>
      <c r="J12" s="1913">
        <f>IF(SUM(J19,'Table1.A(a)s2'!J12,'Table1.A(a)s3'!J12,'Table1.A(a)s4'!J12,'Table1.A(a)s4'!J95)=0,"NO",SUM(J19,'Table1.A(a)s2'!J12,'Table1.A(a)s3'!J12,'Table1.A(a)s4'!J12,'Table1.A(a)s4'!J95))</f>
        <v>2.6781710314990694</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1186466.4320172577</v>
      </c>
      <c r="D13" s="3077" t="s">
        <v>2145</v>
      </c>
      <c r="E13" s="1913">
        <f t="shared" si="2"/>
        <v>51.269296085767238</v>
      </c>
      <c r="F13" s="1913">
        <f t="shared" si="1"/>
        <v>16.380957580839262</v>
      </c>
      <c r="G13" s="1913">
        <f t="shared" si="1"/>
        <v>0.97862608213893132</v>
      </c>
      <c r="H13" s="1913">
        <f>IF(SUM(H20,'Table1.A(a)s2'!H13,'Table1.A(a)s3'!H13,'Table1.A(a)s4'!H13,'Table1.A(a)s4'!H96)=0,"NO",SUM(H20,'Table1.A(a)s2'!H13,'Table1.A(a)s3'!H13,'Table1.A(a)s4'!H13,'Table1.A(a)s4'!H96))</f>
        <v>60829.298798916607</v>
      </c>
      <c r="I13" s="1913">
        <f>IF(SUM(I20,'Table1.A(a)s2'!I13,'Table1.A(a)s3'!I13,'Table1.A(a)s4'!I13,'Table1.A(a)s4'!I96)=0,"NO",SUM(I20,'Table1.A(a)s2'!I13,'Table1.A(a)s3'!I13,'Table1.A(a)s4'!I13,'Table1.A(a)s4'!I96))</f>
        <v>19.435456293964407</v>
      </c>
      <c r="J13" s="1913">
        <f>IF(SUM(J20,'Table1.A(a)s2'!J13,'Table1.A(a)s3'!J13,'Table1.A(a)s4'!J13,'Table1.A(a)s4'!J96)=0,"NO",SUM(J20,'Table1.A(a)s2'!J13,'Table1.A(a)s3'!J13,'Table1.A(a)s4'!J13,'Table1.A(a)s4'!J96))</f>
        <v>1.1611069959544056</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4149.1477946561399</v>
      </c>
      <c r="D14" s="3077" t="s">
        <v>2145</v>
      </c>
      <c r="E14" s="1913">
        <f t="shared" si="2"/>
        <v>89.922931602684955</v>
      </c>
      <c r="F14" s="1913">
        <f t="shared" si="1"/>
        <v>31.852324029096863</v>
      </c>
      <c r="G14" s="1913">
        <f t="shared" si="1"/>
        <v>0.99538512590927697</v>
      </c>
      <c r="H14" s="1913">
        <f>IF(SUM(H21,'Table1.A(a)s2'!H14,'Table1.A(a)s3'!H14,'Table1.A(a)s4'!H14,'Table1.A(a)s4'!H97)=0,"NO",SUM(H21,'Table1.A(a)s2'!H14,'Table1.A(a)s3'!H14,'Table1.A(a)s4'!H14,'Table1.A(a)s4'!H97))</f>
        <v>373.10353334829517</v>
      </c>
      <c r="I14" s="1913">
        <f>IF(SUM(I21,'Table1.A(a)s2'!I14,'Table1.A(a)s3'!I14,'Table1.A(a)s4'!I14,'Table1.A(a)s4'!I97)=0,"NO",SUM(I21,'Table1.A(a)s2'!I14,'Table1.A(a)s3'!I14,'Table1.A(a)s4'!I14,'Table1.A(a)s4'!I97))</f>
        <v>0.13216000000000003</v>
      </c>
      <c r="J14" s="1913">
        <f>IF(SUM(J21,'Table1.A(a)s2'!J14,'Table1.A(a)s3'!J14,'Table1.A(a)s4'!J14,'Table1.A(a)s4'!J97)=0,"NO",SUM(J21,'Table1.A(a)s2'!J14,'Table1.A(a)s3'!J14,'Table1.A(a)s4'!J14,'Table1.A(a)s4'!J97))</f>
        <v>4.1300000000000009E-3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200297.05318026972</v>
      </c>
      <c r="D16" s="3079" t="s">
        <v>2145</v>
      </c>
      <c r="E16" s="2880">
        <f t="shared" si="2"/>
        <v>86.000079164910971</v>
      </c>
      <c r="F16" s="1913">
        <f t="shared" si="1"/>
        <v>218.89202905922164</v>
      </c>
      <c r="G16" s="1913">
        <f t="shared" si="1"/>
        <v>4.5023901409862184</v>
      </c>
      <c r="H16" s="2880">
        <f>IF(SUM(H23,'Table1.A(a)s2'!H16,'Table1.A(a)s3'!H15,'Table1.A(a)s4'!H16,'Table1.A(a)s4'!H99)=0,"NO",SUM(H23,'Table1.A(a)s2'!H16,'Table1.A(a)s3'!H15,'Table1.A(a)s4'!H16,'Table1.A(a)s4'!H99))</f>
        <v>17225.562430001581</v>
      </c>
      <c r="I16" s="2880">
        <f>IF(SUM(I23,'Table1.A(a)s2'!I16,'Table1.A(a)s3'!I15,'Table1.A(a)s4'!I16,'Table1.A(a)s4'!I99)=0,"NO",SUM(I23,'Table1.A(a)s2'!I16,'Table1.A(a)s3'!I15,'Table1.A(a)s4'!I16,'Table1.A(a)s4'!I99))</f>
        <v>43.843428385212064</v>
      </c>
      <c r="J16" s="2880">
        <f>IF(SUM(J23,'Table1.A(a)s2'!J16,'Table1.A(a)s3'!J15,'Table1.A(a)s4'!J16,'Table1.A(a)s4'!J99)=0,"NO",SUM(J23,'Table1.A(a)s2'!J16,'Table1.A(a)s3'!J15,'Table1.A(a)s4'!J16,'Table1.A(a)s4'!J99))</f>
        <v>0.90181547750743873</v>
      </c>
      <c r="K16" s="3066" t="str">
        <f>IF(SUM(K23,'Table1.A(a)s2'!K16,'Table1.A(a)s3'!K15,'Table1.A(a)s4'!K16,'Table1.A(a)s4'!K99)=0,"NO",SUM(K23,'Table1.A(a)s2'!K16,'Table1.A(a)s3'!K15,'Table1.A(a)s4'!K16,'Table1.A(a)s4'!K99))</f>
        <v>NO</v>
      </c>
    </row>
    <row r="17" spans="2:12" ht="18" customHeight="1" x14ac:dyDescent="0.2">
      <c r="B17" s="2184" t="s">
        <v>76</v>
      </c>
      <c r="C17" s="3067">
        <f>IF(SUM(C18:C23)=0,"NO",SUM(C18:C23))</f>
        <v>2844311.2075121375</v>
      </c>
      <c r="D17" s="3080" t="s">
        <v>1814</v>
      </c>
      <c r="E17" s="3081"/>
      <c r="F17" s="3081"/>
      <c r="G17" s="3081"/>
      <c r="H17" s="3067">
        <f>IF(SUM(H18:H22)=0,"NO",SUM(H18:H22))</f>
        <v>225300.59314473631</v>
      </c>
      <c r="I17" s="3067">
        <f t="shared" ref="I17" si="3">IF(SUM(I18:I23)=0,"NO",SUM(I18:I23))</f>
        <v>23.319372409311182</v>
      </c>
      <c r="J17" s="3067">
        <f t="shared" ref="J17" si="4">IF(SUM(J18:J23)=0,"NO",SUM(J18:J23))</f>
        <v>3.7943008124256874</v>
      </c>
      <c r="K17" s="3068" t="str">
        <f t="shared" ref="K17" si="5">IF(SUM(K18:K23)=0,"NO",SUM(K18:K23))</f>
        <v>NO</v>
      </c>
    </row>
    <row r="18" spans="2:12" ht="18" customHeight="1" x14ac:dyDescent="0.2">
      <c r="B18" s="282" t="s">
        <v>132</v>
      </c>
      <c r="C18" s="3086">
        <f>IF(SUM(C25,C54,C61)=0,"NO",SUM(C25,C54,C61))</f>
        <v>177120.04643583222</v>
      </c>
      <c r="D18" s="3077" t="s">
        <v>1814</v>
      </c>
      <c r="E18" s="1913">
        <f>IFERROR(H18*1000/$C18,"NA")</f>
        <v>67.783862584329967</v>
      </c>
      <c r="F18" s="1913">
        <f t="shared" ref="F18:G23" si="6">IFERROR(I18*1000000/$C18,"NA")</f>
        <v>2.4195288699322752</v>
      </c>
      <c r="G18" s="1913">
        <f t="shared" si="6"/>
        <v>1.5091976915113317</v>
      </c>
      <c r="H18" s="3086">
        <f>IF(SUM(H25,H54,H61)=0,"NO",SUM(H25,H54,H61))</f>
        <v>12005.880888536594</v>
      </c>
      <c r="I18" s="3086">
        <f>IF(SUM(I25,I54,I61)=0,"NO",SUM(I25,I54,I61))</f>
        <v>0.42854706579524127</v>
      </c>
      <c r="J18" s="3086">
        <f>IF(SUM(J25,J54,J61)=0,"NO",SUM(J25,J54,J61))</f>
        <v>0.26730916520133785</v>
      </c>
      <c r="K18" s="3069" t="str">
        <f>IF(SUM(K25,K54,K61)=0,"NO",SUM(K25,K54,K61))</f>
        <v>NO</v>
      </c>
      <c r="L18" s="19"/>
    </row>
    <row r="19" spans="2:12" ht="18" customHeight="1" x14ac:dyDescent="0.2">
      <c r="B19" s="282" t="s">
        <v>133</v>
      </c>
      <c r="C19" s="3086">
        <f t="shared" ref="C19:C23" si="7">IF(SUM(C26,C55,C62)=0,"NO",SUM(C26,C55,C62))</f>
        <v>1979671.3680595614</v>
      </c>
      <c r="D19" s="3077" t="s">
        <v>1814</v>
      </c>
      <c r="E19" s="1913">
        <f t="shared" ref="E19:E23" si="8">IFERROR(H19*1000/$C19,"NA")</f>
        <v>90.732040243507782</v>
      </c>
      <c r="F19" s="1913">
        <f t="shared" si="6"/>
        <v>0.6662506700882358</v>
      </c>
      <c r="G19" s="1913">
        <f t="shared" si="6"/>
        <v>1.3096202038578035</v>
      </c>
      <c r="H19" s="3086">
        <f t="shared" ref="H19:K23" si="9">IF(SUM(H26,H55,H62)=0,"NO",SUM(H26,H55,H62))</f>
        <v>179619.62223570023</v>
      </c>
      <c r="I19" s="3086">
        <f t="shared" si="9"/>
        <v>1.3189573755241772</v>
      </c>
      <c r="J19" s="3086">
        <f t="shared" si="9"/>
        <v>2.5926176206096199</v>
      </c>
      <c r="K19" s="3069" t="str">
        <f t="shared" si="9"/>
        <v>NO</v>
      </c>
      <c r="L19" s="19"/>
    </row>
    <row r="20" spans="2:12" ht="18" customHeight="1" x14ac:dyDescent="0.2">
      <c r="B20" s="282" t="s">
        <v>134</v>
      </c>
      <c r="C20" s="3086">
        <f t="shared" si="7"/>
        <v>658365.71110051614</v>
      </c>
      <c r="D20" s="3077" t="s">
        <v>1814</v>
      </c>
      <c r="E20" s="1913">
        <f t="shared" si="8"/>
        <v>51.149519868233433</v>
      </c>
      <c r="F20" s="1913">
        <f t="shared" si="6"/>
        <v>28.260886983891382</v>
      </c>
      <c r="G20" s="1913">
        <f t="shared" si="6"/>
        <v>1.2323885694813768</v>
      </c>
      <c r="H20" s="3086">
        <f t="shared" si="9"/>
        <v>33675.090020499483</v>
      </c>
      <c r="I20" s="3086">
        <f t="shared" si="9"/>
        <v>18.60599895548097</v>
      </c>
      <c r="J20" s="3086">
        <f t="shared" si="9"/>
        <v>0.81136237689875446</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29154.081916227995</v>
      </c>
      <c r="D23" s="3077" t="s">
        <v>1814</v>
      </c>
      <c r="E23" s="1913">
        <f t="shared" si="8"/>
        <v>75.584880902979563</v>
      </c>
      <c r="F23" s="1913">
        <f t="shared" si="6"/>
        <v>101.73083210210461</v>
      </c>
      <c r="G23" s="1913">
        <f t="shared" si="6"/>
        <v>4.2193628346603296</v>
      </c>
      <c r="H23" s="3086">
        <f t="shared" si="9"/>
        <v>2203.6078094738032</v>
      </c>
      <c r="I23" s="3086">
        <f t="shared" si="9"/>
        <v>2.9658690125107947</v>
      </c>
      <c r="J23" s="3086">
        <f t="shared" si="9"/>
        <v>0.12301164971597521</v>
      </c>
      <c r="K23" s="3069" t="str">
        <f t="shared" si="9"/>
        <v>NO</v>
      </c>
      <c r="L23" s="19"/>
    </row>
    <row r="24" spans="2:12" ht="18" customHeight="1" x14ac:dyDescent="0.2">
      <c r="B24" s="1237" t="s">
        <v>138</v>
      </c>
      <c r="C24" s="3086">
        <f>IF(SUM(C25:C30)=0,"NO",SUM(C25:C30))</f>
        <v>2487940.835159848</v>
      </c>
      <c r="D24" s="3077" t="s">
        <v>1814</v>
      </c>
      <c r="E24" s="628"/>
      <c r="F24" s="628"/>
      <c r="G24" s="628"/>
      <c r="H24" s="3086">
        <f>IF(SUM(H25:H29)=0,"NO",SUM(H25:H29))</f>
        <v>203738.57727862441</v>
      </c>
      <c r="I24" s="3086">
        <f t="shared" ref="I24" si="10">IF(SUM(I25:I30)=0,"NO",SUM(I25:I30))</f>
        <v>14.273759301300075</v>
      </c>
      <c r="J24" s="3086">
        <f t="shared" ref="J24" si="11">IF(SUM(J25:J30)=0,"NO",SUM(J25:J30))</f>
        <v>3.3559189703780286</v>
      </c>
      <c r="K24" s="3069" t="str">
        <f t="shared" ref="K24" si="12">IF(SUM(K25:K30)=0,"NO",SUM(K25:K30))</f>
        <v>NO</v>
      </c>
      <c r="L24" s="19"/>
    </row>
    <row r="25" spans="2:12" ht="18" customHeight="1" x14ac:dyDescent="0.2">
      <c r="B25" s="160" t="s">
        <v>132</v>
      </c>
      <c r="C25" s="3074">
        <f>IF(SUM(C33,C40,C47)=0,"NO",SUM(C33,C40,C47))</f>
        <v>34288.846828220005</v>
      </c>
      <c r="D25" s="3082" t="s">
        <v>1814</v>
      </c>
      <c r="E25" s="3086">
        <f>IFERROR(H25*1000/$C25,"NA")</f>
        <v>69.05221594864372</v>
      </c>
      <c r="F25" s="1913">
        <f t="shared" ref="F25:G30" si="13">IFERROR(I25*1000000/$C25,"NA")</f>
        <v>3.1408572104710699</v>
      </c>
      <c r="G25" s="1913">
        <f t="shared" si="13"/>
        <v>0.37176659941634382</v>
      </c>
      <c r="H25" s="3086">
        <f>IF(SUM(H33,H40,H47)=0,"NO",SUM(H33,H40,H47))</f>
        <v>2367.7208558122152</v>
      </c>
      <c r="I25" s="3086">
        <f>IF(SUM(I33,I40,I47)=0,"NO",SUM(I33,I40,I47))</f>
        <v>0.10769637179915288</v>
      </c>
      <c r="J25" s="3086">
        <f>IF(SUM(J33,J40,J47)=0,"NO",SUM(J33,J40,J47))</f>
        <v>1.2747447983235237E-2</v>
      </c>
      <c r="K25" s="3069" t="str">
        <f>IF(SUM(K33,K40,K47)=0,"NO",SUM(K33,K40,K47))</f>
        <v>NO</v>
      </c>
      <c r="L25" s="19"/>
    </row>
    <row r="26" spans="2:12" ht="18" customHeight="1" x14ac:dyDescent="0.2">
      <c r="B26" s="160" t="s">
        <v>133</v>
      </c>
      <c r="C26" s="3086">
        <f t="shared" ref="C26:C30" si="14">IF(SUM(C34,C41,C48)=0,"NO",SUM(C34,C41,C48))</f>
        <v>1953806.4572973999</v>
      </c>
      <c r="D26" s="3082" t="s">
        <v>1814</v>
      </c>
      <c r="E26" s="3086">
        <f t="shared" ref="E26:E30" si="15">IFERROR(H26*1000/$C26,"NA")</f>
        <v>90.748521085744585</v>
      </c>
      <c r="F26" s="1913">
        <f t="shared" si="13"/>
        <v>0.66234102732546807</v>
      </c>
      <c r="G26" s="1913">
        <f t="shared" si="13"/>
        <v>1.3161822256167879</v>
      </c>
      <c r="H26" s="3086">
        <f t="shared" ref="H26:K30" si="16">IF(SUM(H34,H41,H48)=0,"NO",SUM(H34,H41,H48))</f>
        <v>177305.04648751701</v>
      </c>
      <c r="I26" s="3086">
        <f t="shared" si="16"/>
        <v>1.294086176121493</v>
      </c>
      <c r="J26" s="3086">
        <f t="shared" si="16"/>
        <v>2.5715653313901434</v>
      </c>
      <c r="K26" s="3069" t="str">
        <f t="shared" si="16"/>
        <v>NO</v>
      </c>
      <c r="L26" s="19"/>
    </row>
    <row r="27" spans="2:12" ht="18" customHeight="1" x14ac:dyDescent="0.2">
      <c r="B27" s="160" t="s">
        <v>134</v>
      </c>
      <c r="C27" s="3086">
        <f t="shared" si="14"/>
        <v>471441.49009899999</v>
      </c>
      <c r="D27" s="3082" t="s">
        <v>1814</v>
      </c>
      <c r="E27" s="3086">
        <f t="shared" si="15"/>
        <v>51.047288880411223</v>
      </c>
      <c r="F27" s="1913">
        <f t="shared" si="13"/>
        <v>21.018103586952769</v>
      </c>
      <c r="G27" s="1913">
        <f t="shared" si="13"/>
        <v>1.3814775538591175</v>
      </c>
      <c r="H27" s="3086">
        <f t="shared" si="16"/>
        <v>24065.809935295179</v>
      </c>
      <c r="I27" s="3086">
        <f t="shared" si="16"/>
        <v>9.908806074088151</v>
      </c>
      <c r="J27" s="3086">
        <f t="shared" si="16"/>
        <v>0.65128583652966388</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28404.040935227997</v>
      </c>
      <c r="D30" s="3082" t="s">
        <v>1814</v>
      </c>
      <c r="E30" s="3086">
        <f t="shared" si="15"/>
        <v>75.782272392080159</v>
      </c>
      <c r="F30" s="1913">
        <f t="shared" si="13"/>
        <v>104.32215212083491</v>
      </c>
      <c r="G30" s="1913">
        <f t="shared" si="13"/>
        <v>4.2360294702208936</v>
      </c>
      <c r="H30" s="3086">
        <f t="shared" si="16"/>
        <v>2152.5227671892435</v>
      </c>
      <c r="I30" s="3086">
        <f t="shared" si="16"/>
        <v>2.9631706792912773</v>
      </c>
      <c r="J30" s="3086">
        <f t="shared" si="16"/>
        <v>0.12032035447498644</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2487940.835159848</v>
      </c>
      <c r="D32" s="3077" t="s">
        <v>1814</v>
      </c>
      <c r="E32" s="1914"/>
      <c r="F32" s="1914"/>
      <c r="G32" s="1914"/>
      <c r="H32" s="3086">
        <f>IF(SUM(H33:H37)=0,"NO",SUM(H33:H37))</f>
        <v>203738.57727862441</v>
      </c>
      <c r="I32" s="3086">
        <f t="shared" ref="I32" si="17">IF(SUM(I33:I38)=0,"NO",SUM(I33:I38))</f>
        <v>14.273759301300075</v>
      </c>
      <c r="J32" s="3086">
        <f t="shared" ref="J32" si="18">IF(SUM(J33:J38)=0,"NO",SUM(J33:J38))</f>
        <v>3.3559189703780286</v>
      </c>
      <c r="K32" s="3069" t="str">
        <f t="shared" ref="K32" si="19">IF(SUM(K33:K38)=0,"NO",SUM(K33:K38))</f>
        <v>NO</v>
      </c>
      <c r="L32" s="19"/>
    </row>
    <row r="33" spans="2:12" ht="18" customHeight="1" x14ac:dyDescent="0.2">
      <c r="B33" s="160" t="s">
        <v>132</v>
      </c>
      <c r="C33" s="3033">
        <v>34288.846828220005</v>
      </c>
      <c r="D33" s="3077" t="s">
        <v>1814</v>
      </c>
      <c r="E33" s="1913">
        <f>IFERROR(H33*1000/$C33,"NA")</f>
        <v>69.05221594864372</v>
      </c>
      <c r="F33" s="1913">
        <f t="shared" ref="F33:G38" si="20">IFERROR(I33*1000000/$C33,"NA")</f>
        <v>3.1408572104710699</v>
      </c>
      <c r="G33" s="1913">
        <f t="shared" si="20"/>
        <v>0.37176659941634382</v>
      </c>
      <c r="H33" s="3033">
        <v>2367.7208558122152</v>
      </c>
      <c r="I33" s="3033">
        <v>0.10769637179915288</v>
      </c>
      <c r="J33" s="3033">
        <v>1.2747447983235237E-2</v>
      </c>
      <c r="K33" s="3072" t="s">
        <v>2146</v>
      </c>
      <c r="L33" s="19"/>
    </row>
    <row r="34" spans="2:12" ht="18" customHeight="1" x14ac:dyDescent="0.2">
      <c r="B34" s="160" t="s">
        <v>133</v>
      </c>
      <c r="C34" s="3033">
        <v>1953806.4572973999</v>
      </c>
      <c r="D34" s="3077" t="s">
        <v>1814</v>
      </c>
      <c r="E34" s="1913">
        <f t="shared" ref="E34:E38" si="21">IFERROR(H34*1000/$C34,"NA")</f>
        <v>90.748521085744585</v>
      </c>
      <c r="F34" s="1913">
        <f t="shared" si="20"/>
        <v>0.66234102732546807</v>
      </c>
      <c r="G34" s="1913">
        <f t="shared" si="20"/>
        <v>1.3161822256167879</v>
      </c>
      <c r="H34" s="3033">
        <v>177305.04648751701</v>
      </c>
      <c r="I34" s="3033">
        <v>1.294086176121493</v>
      </c>
      <c r="J34" s="3033">
        <v>2.5715653313901434</v>
      </c>
      <c r="K34" s="3072" t="s">
        <v>2146</v>
      </c>
      <c r="L34" s="19"/>
    </row>
    <row r="35" spans="2:12" ht="18" customHeight="1" x14ac:dyDescent="0.2">
      <c r="B35" s="160" t="s">
        <v>134</v>
      </c>
      <c r="C35" s="3033">
        <v>471441.49009899999</v>
      </c>
      <c r="D35" s="3077" t="s">
        <v>1814</v>
      </c>
      <c r="E35" s="1913">
        <f t="shared" si="21"/>
        <v>51.047288880411223</v>
      </c>
      <c r="F35" s="1913">
        <f t="shared" si="20"/>
        <v>21.018103586952769</v>
      </c>
      <c r="G35" s="1913">
        <f t="shared" si="20"/>
        <v>1.3814775538591175</v>
      </c>
      <c r="H35" s="3033">
        <v>24065.809935295179</v>
      </c>
      <c r="I35" s="3033">
        <v>9.908806074088151</v>
      </c>
      <c r="J35" s="3033">
        <v>0.65128583652966388</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28404.040935227997</v>
      </c>
      <c r="D38" s="3077" t="s">
        <v>1814</v>
      </c>
      <c r="E38" s="1913">
        <f t="shared" si="21"/>
        <v>75.782272392080159</v>
      </c>
      <c r="F38" s="1913">
        <f t="shared" si="20"/>
        <v>104.32215212083491</v>
      </c>
      <c r="G38" s="1913">
        <f t="shared" si="20"/>
        <v>4.2360294702208936</v>
      </c>
      <c r="H38" s="3033">
        <v>2152.5227671892435</v>
      </c>
      <c r="I38" s="3033">
        <v>2.9631706792912773</v>
      </c>
      <c r="J38" s="3033">
        <v>0.12032035447498644</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83496.896872099984</v>
      </c>
      <c r="D53" s="3077" t="s">
        <v>1814</v>
      </c>
      <c r="E53" s="628"/>
      <c r="F53" s="628"/>
      <c r="G53" s="628"/>
      <c r="H53" s="3086">
        <f>IF(SUM(H54:H58)=0,"NO",SUM(H54:H58))</f>
        <v>5285.2871982659053</v>
      </c>
      <c r="I53" s="3086">
        <f t="shared" ref="I53:K53" si="28">IF(SUM(I54:I59)=0,"NO",SUM(I54:I59))</f>
        <v>8.1016523450216871E-2</v>
      </c>
      <c r="J53" s="3086">
        <f t="shared" si="28"/>
        <v>1.4446146862329333E-2</v>
      </c>
      <c r="K53" s="3069" t="str">
        <f t="shared" si="28"/>
        <v>NO</v>
      </c>
      <c r="L53" s="19"/>
    </row>
    <row r="54" spans="2:12" ht="18" customHeight="1" x14ac:dyDescent="0.2">
      <c r="B54" s="160" t="s">
        <v>132</v>
      </c>
      <c r="C54" s="3033">
        <v>71043.872737199985</v>
      </c>
      <c r="D54" s="3077" t="s">
        <v>1814</v>
      </c>
      <c r="E54" s="1913">
        <f>IFERROR(H54*1000/$C54,"NA")</f>
        <v>65.396510068710498</v>
      </c>
      <c r="F54" s="1913">
        <f t="shared" ref="F54:G59" si="29">IFERROR(I54*1000000/$C54,"NA")</f>
        <v>0.96014684764807146</v>
      </c>
      <c r="G54" s="1913">
        <f t="shared" si="29"/>
        <v>0.12890823127402709</v>
      </c>
      <c r="H54" s="3033">
        <v>4646.0213387784852</v>
      </c>
      <c r="I54" s="3033">
        <v>6.8212550453333326E-2</v>
      </c>
      <c r="J54" s="3033">
        <v>9.158139977409524E-3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12453.024134899999</v>
      </c>
      <c r="D56" s="3077" t="s">
        <v>1814</v>
      </c>
      <c r="E56" s="1913">
        <f t="shared" si="30"/>
        <v>51.334186183407219</v>
      </c>
      <c r="F56" s="1913">
        <f t="shared" si="29"/>
        <v>1.0281818181818183</v>
      </c>
      <c r="G56" s="1913">
        <f t="shared" si="29"/>
        <v>0.42463636363636365</v>
      </c>
      <c r="H56" s="3033">
        <v>639.26585948742013</v>
      </c>
      <c r="I56" s="3033">
        <v>1.2803972996883545E-2</v>
      </c>
      <c r="J56" s="3033">
        <v>5.2880068849198089E-3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272873.47548018995</v>
      </c>
      <c r="D60" s="3077" t="s">
        <v>1814</v>
      </c>
      <c r="E60" s="628"/>
      <c r="F60" s="628"/>
      <c r="G60" s="628"/>
      <c r="H60" s="3086">
        <f>IF(SUM(H61:H65)=0,"NO",SUM(H61:H65))</f>
        <v>16276.72866784598</v>
      </c>
      <c r="I60" s="3086">
        <f t="shared" ref="I60:K60" si="31">IF(SUM(I61:I66)=0,"NO",SUM(I61:I66))</f>
        <v>8.9645965845608941</v>
      </c>
      <c r="J60" s="3086">
        <f t="shared" si="31"/>
        <v>0.42393569518532898</v>
      </c>
      <c r="K60" s="3069" t="str">
        <f t="shared" si="31"/>
        <v>NO</v>
      </c>
      <c r="L60" s="19"/>
    </row>
    <row r="61" spans="2:12" ht="18" customHeight="1" x14ac:dyDescent="0.2">
      <c r="B61" s="160" t="s">
        <v>132</v>
      </c>
      <c r="C61" s="3074">
        <f>IF(SUM(C69,C76,C83)=0,"NO",SUM(C69,C76,C83))</f>
        <v>71787.326870412217</v>
      </c>
      <c r="D61" s="3077" t="s">
        <v>1814</v>
      </c>
      <c r="E61" s="1913">
        <f>IFERROR(H61*1000/$C61,"NA")</f>
        <v>69.540668410143113</v>
      </c>
      <c r="F61" s="1913">
        <f t="shared" ref="F61:G66" si="32">IFERROR(I61*1000000/$C61,"NA")</f>
        <v>3.5192582668359824</v>
      </c>
      <c r="G61" s="1913">
        <f t="shared" si="32"/>
        <v>3.4184805026057923</v>
      </c>
      <c r="H61" s="3074">
        <f>IF(SUM(H69,H76,H83)=0,"NO",SUM(H69,H76,H83))</f>
        <v>4992.1386939458926</v>
      </c>
      <c r="I61" s="3074">
        <f>IF(SUM(I69,I76,I83)=0,"NO",SUM(I69,I76,I83))</f>
        <v>0.25263814354275504</v>
      </c>
      <c r="J61" s="3074">
        <f>IF(SUM(J69,J76,J83)=0,"NO",SUM(J69,J76,J83))</f>
        <v>0.24540357724069306</v>
      </c>
      <c r="K61" s="3088" t="str">
        <f>IF(SUM(K69,K76,K83)=0,"NO",SUM(K69,K76,K83))</f>
        <v>NO</v>
      </c>
    </row>
    <row r="62" spans="2:12" ht="18" customHeight="1" x14ac:dyDescent="0.2">
      <c r="B62" s="160" t="s">
        <v>133</v>
      </c>
      <c r="C62" s="3074">
        <f t="shared" ref="C62:C66" si="33">IF(SUM(C70,C77,C84)=0,"NO",SUM(C70,C77,C84))</f>
        <v>25864.910762161562</v>
      </c>
      <c r="D62" s="3077" t="s">
        <v>1814</v>
      </c>
      <c r="E62" s="1913">
        <f t="shared" ref="E62:E66" si="34">IFERROR(H62*1000/$C62,"NA")</f>
        <v>89.487095836775794</v>
      </c>
      <c r="F62" s="1913">
        <f t="shared" si="32"/>
        <v>0.96158071571888248</v>
      </c>
      <c r="G62" s="1913">
        <f t="shared" si="32"/>
        <v>0.81393241264432781</v>
      </c>
      <c r="H62" s="3074">
        <f t="shared" ref="H62:K66" si="35">IF(SUM(H70,H77,H84)=0,"NO",SUM(H70,H77,H84))</f>
        <v>2314.5757481832052</v>
      </c>
      <c r="I62" s="3074">
        <f t="shared" si="35"/>
        <v>2.4871199402684341E-2</v>
      </c>
      <c r="J62" s="3074">
        <f t="shared" si="35"/>
        <v>2.1052289219476397E-2</v>
      </c>
      <c r="K62" s="3088" t="str">
        <f t="shared" si="35"/>
        <v>NO</v>
      </c>
    </row>
    <row r="63" spans="2:12" ht="18" customHeight="1" x14ac:dyDescent="0.2">
      <c r="B63" s="160" t="s">
        <v>134</v>
      </c>
      <c r="C63" s="3074">
        <f t="shared" si="33"/>
        <v>174471.1968666162</v>
      </c>
      <c r="D63" s="3077" t="s">
        <v>1814</v>
      </c>
      <c r="E63" s="1913">
        <f t="shared" si="34"/>
        <v>51.41257919250986</v>
      </c>
      <c r="F63" s="1913">
        <f t="shared" si="32"/>
        <v>49.775487669951517</v>
      </c>
      <c r="G63" s="1913">
        <f t="shared" si="32"/>
        <v>0.88718674637457273</v>
      </c>
      <c r="H63" s="3074">
        <f t="shared" si="35"/>
        <v>8970.0142257168827</v>
      </c>
      <c r="I63" s="3074">
        <f t="shared" si="35"/>
        <v>8.6843889083959382</v>
      </c>
      <c r="J63" s="3074">
        <f t="shared" si="35"/>
        <v>0.15478853348417076</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750.04098099999999</v>
      </c>
      <c r="D66" s="3077" t="s">
        <v>1814</v>
      </c>
      <c r="E66" s="1913">
        <f t="shared" si="34"/>
        <v>68.109668109668092</v>
      </c>
      <c r="F66" s="1913">
        <f t="shared" si="32"/>
        <v>3.5975810493976872</v>
      </c>
      <c r="G66" s="1913">
        <f t="shared" si="32"/>
        <v>3.5881975907510699</v>
      </c>
      <c r="H66" s="3074">
        <f t="shared" si="35"/>
        <v>51.085042284559869</v>
      </c>
      <c r="I66" s="3074">
        <f t="shared" si="35"/>
        <v>2.6983332195172505E-3</v>
      </c>
      <c r="J66" s="3074">
        <f t="shared" si="35"/>
        <v>2.6912952409887691E-3</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25868.239146061562</v>
      </c>
      <c r="D68" s="3077" t="s">
        <v>1814</v>
      </c>
      <c r="E68" s="628"/>
      <c r="F68" s="628"/>
      <c r="G68" s="628"/>
      <c r="H68" s="3086">
        <f>IF(SUM(H69:H73)=0,"NO",SUM(H69:H73))</f>
        <v>2314.8090761356448</v>
      </c>
      <c r="I68" s="3086">
        <f t="shared" ref="I68:K68" si="36">IF(SUM(I69:I74)=0,"NO",SUM(I69:I74))</f>
        <v>2.4882412774896209E-2</v>
      </c>
      <c r="J68" s="3086">
        <f t="shared" si="36"/>
        <v>2.1063259416794669E-2</v>
      </c>
      <c r="K68" s="3069" t="str">
        <f t="shared" si="36"/>
        <v>NO</v>
      </c>
    </row>
    <row r="69" spans="2:11" ht="18" customHeight="1" x14ac:dyDescent="0.2">
      <c r="B69" s="282" t="s">
        <v>132</v>
      </c>
      <c r="C69" s="3033">
        <v>3.3207990000000001</v>
      </c>
      <c r="D69" s="3076" t="s">
        <v>1814</v>
      </c>
      <c r="E69" s="1913">
        <f>IFERROR(H69*1000/$C69,"NA")</f>
        <v>70.145166322924112</v>
      </c>
      <c r="F69" s="1913">
        <f t="shared" ref="F69:G74" si="37">IFERROR(I69*1000000/$C69,"NA")</f>
        <v>3.3721970485679384</v>
      </c>
      <c r="G69" s="1913">
        <f t="shared" si="37"/>
        <v>3.3014602994173257</v>
      </c>
      <c r="H69" s="3033">
        <v>0.23293799818000005</v>
      </c>
      <c r="I69" s="3033">
        <v>1.1198388586687361E-5</v>
      </c>
      <c r="J69" s="3033">
        <v>1.0963486060844756E-5</v>
      </c>
      <c r="K69" s="3072" t="s">
        <v>2146</v>
      </c>
    </row>
    <row r="70" spans="2:11" ht="18" customHeight="1" x14ac:dyDescent="0.2">
      <c r="B70" s="282" t="s">
        <v>133</v>
      </c>
      <c r="C70" s="3033">
        <v>25864.910762161562</v>
      </c>
      <c r="D70" s="3076" t="s">
        <v>1814</v>
      </c>
      <c r="E70" s="1913">
        <f t="shared" ref="E70:E74" si="38">IFERROR(H70*1000/$C70,"NA")</f>
        <v>89.487095836775794</v>
      </c>
      <c r="F70" s="1913">
        <f t="shared" si="37"/>
        <v>0.96158071571888248</v>
      </c>
      <c r="G70" s="1913">
        <f t="shared" si="37"/>
        <v>0.81393241264432781</v>
      </c>
      <c r="H70" s="3033">
        <v>2314.5757481832052</v>
      </c>
      <c r="I70" s="3033">
        <v>2.4871199402684341E-2</v>
      </c>
      <c r="J70" s="3033">
        <v>2.1052289219476397E-2</v>
      </c>
      <c r="K70" s="3072" t="s">
        <v>2146</v>
      </c>
    </row>
    <row r="71" spans="2:11" ht="18" customHeight="1" x14ac:dyDescent="0.2">
      <c r="B71" s="160" t="s">
        <v>134</v>
      </c>
      <c r="C71" s="3033">
        <v>7.5849000000000003E-3</v>
      </c>
      <c r="D71" s="3076" t="s">
        <v>1814</v>
      </c>
      <c r="E71" s="1913">
        <f t="shared" si="38"/>
        <v>51.411918339265007</v>
      </c>
      <c r="F71" s="1913">
        <f t="shared" si="37"/>
        <v>1.9754545454545454</v>
      </c>
      <c r="G71" s="1913">
        <f t="shared" si="37"/>
        <v>0.88481818181818161</v>
      </c>
      <c r="H71" s="3033">
        <v>3.8995425941149112E-4</v>
      </c>
      <c r="I71" s="3033">
        <v>1.4983625181818183E-8</v>
      </c>
      <c r="J71" s="3033">
        <v>6.7112574272727261E-9</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163346.27600400004</v>
      </c>
      <c r="D75" s="3077" t="s">
        <v>1814</v>
      </c>
      <c r="E75" s="628"/>
      <c r="F75" s="628"/>
      <c r="G75" s="628"/>
      <c r="H75" s="3086">
        <f>IF(SUM(H76:H80)=0,"NO",SUM(H76:H80))</f>
        <v>8489.2217375331293</v>
      </c>
      <c r="I75" s="3086">
        <f t="shared" ref="I75:K75" si="39">IF(SUM(I76:I81)=0,"NO",SUM(I76:I81))</f>
        <v>8.641595434370231</v>
      </c>
      <c r="J75" s="3086">
        <f t="shared" si="39"/>
        <v>0.15005201283060837</v>
      </c>
      <c r="K75" s="3069" t="str">
        <f t="shared" si="39"/>
        <v>NO</v>
      </c>
    </row>
    <row r="76" spans="2:11" ht="18" customHeight="1" x14ac:dyDescent="0.2">
      <c r="B76" s="282" t="s">
        <v>132</v>
      </c>
      <c r="C76" s="3033">
        <v>6111.9200607000021</v>
      </c>
      <c r="D76" s="3076" t="s">
        <v>1814</v>
      </c>
      <c r="E76" s="1913">
        <f>IFERROR(H76*1000/$C76,"NA")</f>
        <v>66.346068931212088</v>
      </c>
      <c r="F76" s="1913">
        <f t="shared" ref="F76:G81" si="40">IFERROR(I76*1000000/$C76,"NA")</f>
        <v>2.5883418484231746</v>
      </c>
      <c r="G76" s="1913">
        <f t="shared" si="40"/>
        <v>1.7880135500746712</v>
      </c>
      <c r="H76" s="3033">
        <v>405.5018696492603</v>
      </c>
      <c r="I76" s="3033">
        <v>1.5819738467326924E-2</v>
      </c>
      <c r="J76" s="3033">
        <v>1.092819588550481E-2</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157234.35594330003</v>
      </c>
      <c r="D78" s="3076" t="s">
        <v>1814</v>
      </c>
      <c r="E78" s="1913">
        <f t="shared" si="41"/>
        <v>51.411918339265007</v>
      </c>
      <c r="F78" s="1913">
        <f t="shared" si="40"/>
        <v>54.859357194259935</v>
      </c>
      <c r="G78" s="1913">
        <f t="shared" si="40"/>
        <v>0.88481818181818173</v>
      </c>
      <c r="H78" s="3033">
        <v>8083.7198678838686</v>
      </c>
      <c r="I78" s="3033">
        <v>8.6257756959029042</v>
      </c>
      <c r="J78" s="3033">
        <v>0.13912381694510356</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83658.96033012835</v>
      </c>
      <c r="D82" s="3077" t="s">
        <v>1814</v>
      </c>
      <c r="E82" s="628"/>
      <c r="F82" s="628"/>
      <c r="G82" s="628"/>
      <c r="H82" s="3086">
        <f>IF(SUM(H83:H87)=0,"NO",SUM(H83:H87))</f>
        <v>5472.6978541772069</v>
      </c>
      <c r="I82" s="3086">
        <f t="shared" ref="I82:K82" si="42">IF(SUM(I83:I88)=0,"NO",SUM(I83:I88))</f>
        <v>0.29811873741576839</v>
      </c>
      <c r="J82" s="3086">
        <f t="shared" si="42"/>
        <v>0.25282042293792595</v>
      </c>
      <c r="K82" s="3069" t="str">
        <f t="shared" si="42"/>
        <v>NO</v>
      </c>
    </row>
    <row r="83" spans="2:11" ht="18" customHeight="1" x14ac:dyDescent="0.2">
      <c r="B83" s="282" t="s">
        <v>132</v>
      </c>
      <c r="C83" s="3033">
        <v>65672.086010712213</v>
      </c>
      <c r="D83" s="3076" t="s">
        <v>1814</v>
      </c>
      <c r="E83" s="1913">
        <f>IFERROR(H83*1000/$C83,"NA")</f>
        <v>69.83795041245277</v>
      </c>
      <c r="F83" s="1913">
        <f t="shared" ref="F83:G88" si="43">IFERROR(I83*1000000/$C83,"NA")</f>
        <v>3.6059035287567109</v>
      </c>
      <c r="G83" s="1913">
        <f t="shared" si="43"/>
        <v>3.5702294857952639</v>
      </c>
      <c r="H83" s="3033">
        <v>4586.4038862984526</v>
      </c>
      <c r="I83" s="3033">
        <v>0.23680720668684141</v>
      </c>
      <c r="J83" s="3033">
        <v>0.23446441786912742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17236.833338416141</v>
      </c>
      <c r="D85" s="3076" t="s">
        <v>1814</v>
      </c>
      <c r="E85" s="1913">
        <f t="shared" si="44"/>
        <v>51.418607494652164</v>
      </c>
      <c r="F85" s="1913">
        <f t="shared" si="43"/>
        <v>3.4004620430353114</v>
      </c>
      <c r="G85" s="1913">
        <f t="shared" si="43"/>
        <v>0.90879278811018305</v>
      </c>
      <c r="H85" s="3033">
        <v>886.29396787875453</v>
      </c>
      <c r="I85" s="3033">
        <v>5.8613197509409722E-2</v>
      </c>
      <c r="J85" s="3033">
        <v>1.5664709827809761E-2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750.04098099999999</v>
      </c>
      <c r="D88" s="3084" t="s">
        <v>1814</v>
      </c>
      <c r="E88" s="2880">
        <f t="shared" si="44"/>
        <v>68.109668109668092</v>
      </c>
      <c r="F88" s="2880">
        <f t="shared" si="43"/>
        <v>3.5975810493976872</v>
      </c>
      <c r="G88" s="2880">
        <f t="shared" si="43"/>
        <v>3.5881975907510699</v>
      </c>
      <c r="H88" s="3040">
        <v>51.085042284559869</v>
      </c>
      <c r="I88" s="3040">
        <v>2.6983332195172505E-3</v>
      </c>
      <c r="J88" s="3040">
        <v>2.6912952409887691E-3</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42606824.008940861</v>
      </c>
      <c r="G10" s="3657" t="s">
        <v>2147</v>
      </c>
      <c r="H10" s="3658">
        <f t="shared" ref="H10:H13" si="0">IF(SUM($F10)=0,"NA",K10*1000/$F10)</f>
        <v>1.5057509589342362E-2</v>
      </c>
      <c r="I10" s="3659">
        <f t="shared" ref="I10:I13" si="1">IF(SUM($F10)=0,"NA",L10*1000/$F10)</f>
        <v>3.3377185070581641E-4</v>
      </c>
      <c r="J10" s="3499" t="str">
        <f>IF(SUM(J11,J25,J36,J48,J59,J70,J76)=0,"IE",SUM(J11,J25,J36,J48,J59,J70,J76))</f>
        <v>IE</v>
      </c>
      <c r="K10" s="3500">
        <f>IF(SUM(K11,K25,K36,K48,K59,K70,K76)=0,"NO",SUM(K11,K25,K36,K48,K59,K70,K76))</f>
        <v>641.5526610860494</v>
      </c>
      <c r="L10" s="3501">
        <f>IF(SUM(L11,L25,L36,L48,L59,L70,L76)=0,"NO",SUM(L11,L25,L36,L48,L59,L70,L76))</f>
        <v>14.220958502161205</v>
      </c>
    </row>
    <row r="11" spans="2:13" ht="18" customHeight="1" x14ac:dyDescent="0.2">
      <c r="B11" s="933" t="s">
        <v>1985</v>
      </c>
      <c r="C11" s="934"/>
      <c r="D11" s="2850"/>
      <c r="E11" s="2854" t="s">
        <v>2250</v>
      </c>
      <c r="F11" s="3679">
        <f>IF(SUM(F12,F19)=0,"NO",SUM(F12,F19))</f>
        <v>10690557.667870356</v>
      </c>
      <c r="G11" s="3660" t="s">
        <v>2147</v>
      </c>
      <c r="H11" s="3661">
        <f t="shared" si="0"/>
        <v>2.8365128639618289E-2</v>
      </c>
      <c r="I11" s="3662">
        <f t="shared" si="1"/>
        <v>4.4750289707168436E-4</v>
      </c>
      <c r="J11" s="3502" t="str">
        <f>IF(SUM(J12,J19)=0,"IE",SUM(J12,J19))</f>
        <v>IE</v>
      </c>
      <c r="K11" s="3503">
        <f>IF(SUM(K12,K19)=0,"NO",SUM(K12,K19))</f>
        <v>303.23904347840033</v>
      </c>
      <c r="L11" s="3504">
        <f>IF(SUM(L12,L19)=0,"NO",SUM(L12,L19))</f>
        <v>4.7840555276838943</v>
      </c>
      <c r="M11" s="482"/>
    </row>
    <row r="12" spans="2:13" ht="18" customHeight="1" x14ac:dyDescent="0.2">
      <c r="B12" s="903" t="s">
        <v>1912</v>
      </c>
      <c r="C12" s="476"/>
      <c r="D12" s="298"/>
      <c r="E12" s="2852" t="s">
        <v>2250</v>
      </c>
      <c r="F12" s="3680">
        <f>IF(SUM(F13,F17)=0,"NO",SUM(F13,F17))</f>
        <v>10643891.853131255</v>
      </c>
      <c r="G12" s="3663" t="str">
        <f>IFERROR(IF(SUM($F12)=0,"NA",J12*1000/$F12),"NA")</f>
        <v>NA</v>
      </c>
      <c r="H12" s="3664">
        <f t="shared" si="0"/>
        <v>2.8219809511773372E-2</v>
      </c>
      <c r="I12" s="3665">
        <f t="shared" si="1"/>
        <v>4.4527263404543017E-4</v>
      </c>
      <c r="J12" s="3505" t="str">
        <f>IF(SUM(J13,J17)=0,"IE",SUM(J13,J17))</f>
        <v>IE</v>
      </c>
      <c r="K12" s="3506">
        <f>IF(SUM(K13,K17)=0,"NO",SUM(K13,K17))</f>
        <v>300.36860055928048</v>
      </c>
      <c r="L12" s="3507">
        <f>IF(SUM(L13,L17)=0,"NO",SUM(L13,L17))</f>
        <v>4.7394337619384483</v>
      </c>
    </row>
    <row r="13" spans="2:13" ht="18" customHeight="1" x14ac:dyDescent="0.2">
      <c r="B13" s="923" t="s">
        <v>1270</v>
      </c>
      <c r="C13" s="476"/>
      <c r="D13" s="298"/>
      <c r="E13" s="2852" t="s">
        <v>2250</v>
      </c>
      <c r="F13" s="3681">
        <f>IF(SUM(F14:F16)=0,"NO",SUM(F14:F16))</f>
        <v>9786445.5342377592</v>
      </c>
      <c r="G13" s="3666" t="str">
        <f t="shared" ref="G13:G76" si="2">IFERROR(IF(SUM($F13)=0,"NA",J13*1000/$F13),"NA")</f>
        <v>NA</v>
      </c>
      <c r="H13" s="3667">
        <f t="shared" si="0"/>
        <v>2.0976730418734577E-2</v>
      </c>
      <c r="I13" s="3668">
        <f t="shared" si="1"/>
        <v>3.8863970653575436E-4</v>
      </c>
      <c r="J13" s="3505" t="str">
        <f>IF(SUM(J14:J16)=0,"IE",SUM(J14:J16))</f>
        <v>IE</v>
      </c>
      <c r="K13" s="3505">
        <f>IF(SUM(K14:K16)=0,"NO",SUM(K14:K16))</f>
        <v>205.28762972933436</v>
      </c>
      <c r="L13" s="3508">
        <f>IF(SUM(L14:L16)=0,"NO",SUM(L14:L16))</f>
        <v>3.8034013204543067</v>
      </c>
      <c r="M13" s="482"/>
    </row>
    <row r="14" spans="2:13" ht="24" x14ac:dyDescent="0.2">
      <c r="B14" s="923"/>
      <c r="C14" s="4367" t="s">
        <v>2247</v>
      </c>
      <c r="D14" s="542" t="s">
        <v>940</v>
      </c>
      <c r="E14" s="2851" t="s">
        <v>2250</v>
      </c>
      <c r="F14" s="3654">
        <v>448915.17629973928</v>
      </c>
      <c r="G14" s="3666" t="str">
        <f t="shared" si="2"/>
        <v>NA</v>
      </c>
      <c r="H14" s="3667">
        <f>IF(SUM($F14)=0,"NA",K14*1000/$F14)</f>
        <v>9.8023029912683704E-2</v>
      </c>
      <c r="I14" s="3668">
        <f>IF(SUM($F14)=0,"NA",L14*1000/$F14)</f>
        <v>1.06834126710995E-3</v>
      </c>
      <c r="J14" s="3509" t="s">
        <v>2153</v>
      </c>
      <c r="K14" s="3510">
        <v>44.004025754687021</v>
      </c>
      <c r="L14" s="3511">
        <v>0.47959460827295008</v>
      </c>
      <c r="M14" s="482"/>
    </row>
    <row r="15" spans="2:13" ht="18" customHeight="1" x14ac:dyDescent="0.2">
      <c r="B15" s="923"/>
      <c r="C15" s="4367" t="s">
        <v>2248</v>
      </c>
      <c r="D15" s="542" t="s">
        <v>940</v>
      </c>
      <c r="E15" s="543" t="s">
        <v>2250</v>
      </c>
      <c r="F15" s="3655">
        <v>106391.47504849714</v>
      </c>
      <c r="G15" s="3666" t="str">
        <f t="shared" si="2"/>
        <v>NA</v>
      </c>
      <c r="H15" s="3667">
        <f t="shared" ref="H15:H77" si="3">IF(SUM($F15)=0,"NA",K15*1000/$F15)</f>
        <v>9.0384062106128676E-2</v>
      </c>
      <c r="I15" s="3668">
        <f t="shared" ref="I15:I77" si="4">IF(SUM($F15)=0,"NA",L15*1000/$F15)</f>
        <v>1.6708498147674621E-3</v>
      </c>
      <c r="J15" s="3509" t="s">
        <v>2153</v>
      </c>
      <c r="K15" s="3510">
        <v>9.6160936883460053</v>
      </c>
      <c r="L15" s="3512">
        <v>0.17776417637761852</v>
      </c>
      <c r="M15" s="482"/>
    </row>
    <row r="16" spans="2:13" ht="18" customHeight="1" x14ac:dyDescent="0.2">
      <c r="B16" s="923"/>
      <c r="C16" s="4367" t="s">
        <v>2263</v>
      </c>
      <c r="D16" s="542" t="s">
        <v>940</v>
      </c>
      <c r="E16" s="543" t="s">
        <v>2250</v>
      </c>
      <c r="F16" s="3655">
        <v>9231138.8828895222</v>
      </c>
      <c r="G16" s="3666" t="str">
        <f t="shared" si="2"/>
        <v>NA</v>
      </c>
      <c r="H16" s="3667">
        <f t="shared" si="3"/>
        <v>1.6429988998153445E-2</v>
      </c>
      <c r="I16" s="3668">
        <f t="shared" si="4"/>
        <v>3.4080762685036826E-4</v>
      </c>
      <c r="J16" s="3509" t="s">
        <v>2153</v>
      </c>
      <c r="K16" s="3510">
        <v>151.66751028630134</v>
      </c>
      <c r="L16" s="3512">
        <v>3.1460425358037378</v>
      </c>
      <c r="M16" s="482"/>
    </row>
    <row r="17" spans="2:13" ht="18" customHeight="1" x14ac:dyDescent="0.2">
      <c r="B17" s="923" t="s">
        <v>1271</v>
      </c>
      <c r="C17" s="4368"/>
      <c r="D17" s="298"/>
      <c r="E17" s="5" t="s">
        <v>2250</v>
      </c>
      <c r="F17" s="3681">
        <f>F18</f>
        <v>857446.31889349595</v>
      </c>
      <c r="G17" s="3666" t="str">
        <f t="shared" si="2"/>
        <v>NA</v>
      </c>
      <c r="H17" s="3667">
        <f t="shared" si="3"/>
        <v>0.11088854046588568</v>
      </c>
      <c r="I17" s="3668">
        <f t="shared" si="4"/>
        <v>1.0916513615593546E-3</v>
      </c>
      <c r="J17" s="3505" t="str">
        <f>J18</f>
        <v>IE</v>
      </c>
      <c r="K17" s="3505">
        <f>K18</f>
        <v>95.080970829946153</v>
      </c>
      <c r="L17" s="3508">
        <f>L18</f>
        <v>0.93603244148414133</v>
      </c>
      <c r="M17" s="482"/>
    </row>
    <row r="18" spans="2:13" ht="18" customHeight="1" x14ac:dyDescent="0.2">
      <c r="B18" s="923"/>
      <c r="C18" s="4367" t="s">
        <v>2249</v>
      </c>
      <c r="D18" s="542" t="s">
        <v>940</v>
      </c>
      <c r="E18" s="543" t="s">
        <v>2250</v>
      </c>
      <c r="F18" s="3654">
        <v>857446.31889349595</v>
      </c>
      <c r="G18" s="3666" t="str">
        <f t="shared" si="2"/>
        <v>NA</v>
      </c>
      <c r="H18" s="3667">
        <f t="shared" si="3"/>
        <v>0.11088854046588568</v>
      </c>
      <c r="I18" s="3668">
        <f t="shared" si="4"/>
        <v>1.0916513615593546E-3</v>
      </c>
      <c r="J18" s="3509" t="s">
        <v>2153</v>
      </c>
      <c r="K18" s="3510">
        <v>95.080970829946153</v>
      </c>
      <c r="L18" s="3511">
        <v>0.93603244148414133</v>
      </c>
      <c r="M18" s="482"/>
    </row>
    <row r="19" spans="2:13" ht="18" customHeight="1" x14ac:dyDescent="0.2">
      <c r="B19" s="903" t="s">
        <v>1272</v>
      </c>
      <c r="C19" s="4368"/>
      <c r="D19" s="298"/>
      <c r="E19" s="5" t="s">
        <v>2250</v>
      </c>
      <c r="F19" s="3682">
        <f>IF(SUM(F20,F23)=0,"NO",SUM(F20,F23))</f>
        <v>46665.814739100853</v>
      </c>
      <c r="G19" s="3663" t="s">
        <v>2147</v>
      </c>
      <c r="H19" s="3664">
        <f t="shared" si="3"/>
        <v>6.151061403659052E-2</v>
      </c>
      <c r="I19" s="3665">
        <f t="shared" si="4"/>
        <v>9.5619815050732493E-4</v>
      </c>
      <c r="J19" s="3505" t="str">
        <f>IF(SUM(J20,J23)=0,"IE",SUM(J20,J23))</f>
        <v>IE</v>
      </c>
      <c r="K19" s="3506">
        <f>IF(SUM(K20,K23)=0,"NO",SUM(K20,K23))</f>
        <v>2.8704429191198697</v>
      </c>
      <c r="L19" s="3507">
        <f>IF(SUM(L20,L23)=0,"NO",SUM(L20,L23))</f>
        <v>4.4621765745445699E-2</v>
      </c>
    </row>
    <row r="20" spans="2:13" ht="18" customHeight="1" x14ac:dyDescent="0.2">
      <c r="B20" s="923" t="s">
        <v>1273</v>
      </c>
      <c r="C20" s="4368"/>
      <c r="D20" s="298"/>
      <c r="E20" s="5" t="s">
        <v>2250</v>
      </c>
      <c r="F20" s="3681">
        <f>IF(SUM(F21:F22)=0,"NO",SUM(F21:F22))</f>
        <v>42458.847169992281</v>
      </c>
      <c r="G20" s="3666" t="str">
        <f t="shared" si="2"/>
        <v>NA</v>
      </c>
      <c r="H20" s="3667">
        <f t="shared" si="3"/>
        <v>4.3968907734901162E-2</v>
      </c>
      <c r="I20" s="3668">
        <f t="shared" si="4"/>
        <v>8.1833202219887063E-4</v>
      </c>
      <c r="J20" s="3505" t="str">
        <f>IF(SUM(J21:J22)=0,"IE",SUM(J21:J22))</f>
        <v>IE</v>
      </c>
      <c r="K20" s="3505">
        <f>IF(SUM(K21:K22)=0,"NO",SUM(K21:K22))</f>
        <v>1.8668691337476599</v>
      </c>
      <c r="L20" s="3508">
        <f>IF(SUM(L21:L22)=0,"NO",SUM(L21:L22))</f>
        <v>3.4745434264852576E-2</v>
      </c>
      <c r="M20" s="482"/>
    </row>
    <row r="21" spans="2:13" ht="18" customHeight="1" x14ac:dyDescent="0.2">
      <c r="B21" s="923"/>
      <c r="C21" s="4367" t="s">
        <v>2248</v>
      </c>
      <c r="D21" s="542" t="s">
        <v>940</v>
      </c>
      <c r="E21" s="543" t="s">
        <v>2250</v>
      </c>
      <c r="F21" s="3654">
        <v>37076.736394856329</v>
      </c>
      <c r="G21" s="3666" t="str">
        <f t="shared" si="2"/>
        <v>NA</v>
      </c>
      <c r="H21" s="3667">
        <f t="shared" si="3"/>
        <v>4.8096702471284898E-2</v>
      </c>
      <c r="I21" s="3668">
        <f t="shared" si="4"/>
        <v>8.8912098596222514E-4</v>
      </c>
      <c r="J21" s="3509" t="s">
        <v>2153</v>
      </c>
      <c r="K21" s="3510">
        <v>1.7832687589896652</v>
      </c>
      <c r="L21" s="3511">
        <v>3.2965704419656176E-2</v>
      </c>
      <c r="M21" s="482"/>
    </row>
    <row r="22" spans="2:13" ht="18" customHeight="1" x14ac:dyDescent="0.2">
      <c r="B22" s="923"/>
      <c r="C22" s="4367" t="s">
        <v>2263</v>
      </c>
      <c r="D22" s="542" t="s">
        <v>940</v>
      </c>
      <c r="E22" s="543" t="s">
        <v>2250</v>
      </c>
      <c r="F22" s="3655">
        <v>5382.110775135955</v>
      </c>
      <c r="G22" s="3666" t="str">
        <f t="shared" si="2"/>
        <v>NA</v>
      </c>
      <c r="H22" s="3667">
        <f t="shared" si="3"/>
        <v>1.5533008934748823E-2</v>
      </c>
      <c r="I22" s="3668">
        <f t="shared" si="4"/>
        <v>3.3067506774819963E-4</v>
      </c>
      <c r="J22" s="3509" t="s">
        <v>2153</v>
      </c>
      <c r="K22" s="3510">
        <v>8.36003747579947E-2</v>
      </c>
      <c r="L22" s="3512">
        <v>1.7797298451963971E-3</v>
      </c>
      <c r="M22" s="482"/>
    </row>
    <row r="23" spans="2:13" ht="18" customHeight="1" x14ac:dyDescent="0.2">
      <c r="B23" s="923" t="s">
        <v>1274</v>
      </c>
      <c r="C23" s="4368"/>
      <c r="D23" s="298"/>
      <c r="E23" s="5" t="s">
        <v>2250</v>
      </c>
      <c r="F23" s="3681">
        <f>F24</f>
        <v>4206.9675691085731</v>
      </c>
      <c r="G23" s="3666" t="str">
        <f t="shared" si="2"/>
        <v>NA</v>
      </c>
      <c r="H23" s="3667">
        <f t="shared" si="3"/>
        <v>0.23855039737918873</v>
      </c>
      <c r="I23" s="3668">
        <f t="shared" si="4"/>
        <v>2.3476129345788728E-3</v>
      </c>
      <c r="J23" s="3505" t="str">
        <f>J24</f>
        <v>IE</v>
      </c>
      <c r="K23" s="3505">
        <f>K24</f>
        <v>1.0035737853722098</v>
      </c>
      <c r="L23" s="3508">
        <f>L24</f>
        <v>9.8763314805931247E-3</v>
      </c>
      <c r="M23" s="482"/>
    </row>
    <row r="24" spans="2:13" ht="18" customHeight="1" thickBot="1" x14ac:dyDescent="0.25">
      <c r="B24" s="938"/>
      <c r="C24" s="4369" t="s">
        <v>2251</v>
      </c>
      <c r="D24" s="939" t="s">
        <v>940</v>
      </c>
      <c r="E24" s="940" t="s">
        <v>2250</v>
      </c>
      <c r="F24" s="3656">
        <v>4206.9675691085731</v>
      </c>
      <c r="G24" s="3669" t="str">
        <f t="shared" si="2"/>
        <v>NA</v>
      </c>
      <c r="H24" s="3670">
        <f t="shared" si="3"/>
        <v>0.23855039737918873</v>
      </c>
      <c r="I24" s="3671">
        <f t="shared" si="4"/>
        <v>2.3476129345788728E-3</v>
      </c>
      <c r="J24" s="3513" t="s">
        <v>2153</v>
      </c>
      <c r="K24" s="3514">
        <v>1.0035737853722098</v>
      </c>
      <c r="L24" s="3515">
        <v>9.8763314805931247E-3</v>
      </c>
      <c r="M24" s="482"/>
    </row>
    <row r="25" spans="2:13" ht="18" customHeight="1" x14ac:dyDescent="0.2">
      <c r="B25" s="933" t="s">
        <v>1986</v>
      </c>
      <c r="C25" s="4370"/>
      <c r="D25" s="2850"/>
      <c r="E25" s="935" t="s">
        <v>2250</v>
      </c>
      <c r="F25" s="3683">
        <f>IF(SUM(F26,F31)=0,"IE",SUM(F26,F31))</f>
        <v>18285</v>
      </c>
      <c r="G25" s="3660" t="str">
        <f t="shared" si="2"/>
        <v>NA</v>
      </c>
      <c r="H25" s="3661">
        <f t="shared" si="3"/>
        <v>0.11232748154224774</v>
      </c>
      <c r="I25" s="3662">
        <f t="shared" si="4"/>
        <v>2.0764983046212739E-3</v>
      </c>
      <c r="J25" s="3502" t="str">
        <f>IF(SUM(J26,J31)=0,"IE",SUM(J26,J31))</f>
        <v>IE</v>
      </c>
      <c r="K25" s="3503">
        <f>IF(SUM(K26,K31)=0,"IE",SUM(K26,K31))</f>
        <v>2.0539079999999998</v>
      </c>
      <c r="L25" s="3504">
        <f>IF(SUM(L26,L31)=0,"IE",SUM(L26,L31))</f>
        <v>3.7968771499999998E-2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18285</v>
      </c>
      <c r="G31" s="3663" t="str">
        <f t="shared" si="2"/>
        <v>NA</v>
      </c>
      <c r="H31" s="3664">
        <f t="shared" si="3"/>
        <v>0.11232748154224774</v>
      </c>
      <c r="I31" s="3665">
        <f t="shared" si="4"/>
        <v>2.0764983046212739E-3</v>
      </c>
      <c r="J31" s="3505" t="str">
        <f>IF(SUM(J32,J34)=0,"IE",SUM(J32,J34))</f>
        <v>IE</v>
      </c>
      <c r="K31" s="3505">
        <f t="shared" ref="K31:L31" si="6">IF(SUM(K32,K34)=0,"IE",SUM(K32,K34))</f>
        <v>2.0539079999999998</v>
      </c>
      <c r="L31" s="3508">
        <f t="shared" si="6"/>
        <v>3.7968771499999998E-2</v>
      </c>
    </row>
    <row r="32" spans="2:13" ht="18" customHeight="1" x14ac:dyDescent="0.2">
      <c r="B32" s="923" t="s">
        <v>1278</v>
      </c>
      <c r="C32" s="4368"/>
      <c r="D32" s="298"/>
      <c r="E32" s="5" t="s">
        <v>2250</v>
      </c>
      <c r="F32" s="3681">
        <f>F33</f>
        <v>18285</v>
      </c>
      <c r="G32" s="3663" t="str">
        <f t="shared" si="2"/>
        <v>NA</v>
      </c>
      <c r="H32" s="3664">
        <f t="shared" si="3"/>
        <v>0.11232748154224774</v>
      </c>
      <c r="I32" s="3665">
        <f t="shared" si="4"/>
        <v>2.0764983046212739E-3</v>
      </c>
      <c r="J32" s="3505" t="str">
        <f>J33</f>
        <v>IE</v>
      </c>
      <c r="K32" s="3505">
        <f>K33</f>
        <v>2.0539079999999998</v>
      </c>
      <c r="L32" s="3508">
        <f>L33</f>
        <v>3.7968771499999998E-2</v>
      </c>
      <c r="M32" s="482"/>
    </row>
    <row r="33" spans="2:13" ht="18" customHeight="1" x14ac:dyDescent="0.2">
      <c r="B33" s="923"/>
      <c r="C33" s="4367" t="s">
        <v>2252</v>
      </c>
      <c r="D33" s="542" t="s">
        <v>940</v>
      </c>
      <c r="E33" s="543" t="s">
        <v>2250</v>
      </c>
      <c r="F33" s="3654">
        <v>18285</v>
      </c>
      <c r="G33" s="3666" t="str">
        <f t="shared" si="2"/>
        <v>NA</v>
      </c>
      <c r="H33" s="3667">
        <f t="shared" si="3"/>
        <v>0.11232748154224774</v>
      </c>
      <c r="I33" s="3668">
        <f t="shared" si="4"/>
        <v>2.0764983046212739E-3</v>
      </c>
      <c r="J33" s="3509" t="s">
        <v>2153</v>
      </c>
      <c r="K33" s="3510">
        <v>2.0539079999999998</v>
      </c>
      <c r="L33" s="3511">
        <v>3.7968771499999998E-2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31027154.156076573</v>
      </c>
      <c r="G36" s="3660" t="str">
        <f t="shared" si="2"/>
        <v>NA</v>
      </c>
      <c r="H36" s="3661">
        <f t="shared" ref="H36" si="7">IF(SUM($F36)=0,"NA",K36*1000/$F36)</f>
        <v>1.0131342048346571E-2</v>
      </c>
      <c r="I36" s="3662">
        <f t="shared" ref="I36" si="8">IF(SUM($F36)=0,"NA",L36*1000/$F36)</f>
        <v>2.8899795908955808E-4</v>
      </c>
      <c r="J36" s="3502" t="str">
        <f>IF(SUM(J37,J42)=0,"IE",SUM(J37,J42))</f>
        <v>IE</v>
      </c>
      <c r="K36" s="3503">
        <f>IF(SUM(K37,K42)=0,"NO",SUM(K37,K42))</f>
        <v>314.34671154198963</v>
      </c>
      <c r="L36" s="3504">
        <f>IF(SUM(L37,L42)=0,"NO",SUM(L37,L42))</f>
        <v>8.9667842274632292</v>
      </c>
      <c r="M36" s="482"/>
    </row>
    <row r="37" spans="2:13" ht="18" customHeight="1" x14ac:dyDescent="0.2">
      <c r="B37" s="903" t="s">
        <v>1876</v>
      </c>
      <c r="C37" s="4368"/>
      <c r="D37" s="298"/>
      <c r="E37" s="5" t="s">
        <v>2250</v>
      </c>
      <c r="F37" s="3680">
        <f>IF(SUM(F38,F40)=0,"NO",SUM(F38,F40))</f>
        <v>30546954.723395485</v>
      </c>
      <c r="G37" s="3666" t="str">
        <f t="shared" si="2"/>
        <v>NA</v>
      </c>
      <c r="H37" s="3664">
        <f t="shared" si="3"/>
        <v>8.2570378890083999E-3</v>
      </c>
      <c r="I37" s="3665">
        <f t="shared" si="4"/>
        <v>2.5573968290924944E-4</v>
      </c>
      <c r="J37" s="3505" t="str">
        <f>IF(SUM(J38,J40)=0,"IE",SUM(J38,J40))</f>
        <v>IE</v>
      </c>
      <c r="K37" s="3506">
        <f>IF(SUM(K38,K40)=0,"NO",SUM(K38,K40))</f>
        <v>252.22736254490061</v>
      </c>
      <c r="L37" s="3507">
        <f>IF(SUM(L38,L40)=0,"NO",SUM(L38,L40))</f>
        <v>7.8120685148043609</v>
      </c>
    </row>
    <row r="38" spans="2:13" ht="18" customHeight="1" x14ac:dyDescent="0.2">
      <c r="B38" s="923" t="s">
        <v>1280</v>
      </c>
      <c r="C38" s="4368"/>
      <c r="D38" s="298"/>
      <c r="E38" s="5" t="s">
        <v>2250</v>
      </c>
      <c r="F38" s="3681">
        <f>F39</f>
        <v>30546954.723395485</v>
      </c>
      <c r="G38" s="3666" t="str">
        <f t="shared" si="2"/>
        <v>NA</v>
      </c>
      <c r="H38" s="3667">
        <f t="shared" si="3"/>
        <v>8.2570378890083999E-3</v>
      </c>
      <c r="I38" s="3668">
        <f t="shared" si="4"/>
        <v>2.5573968290924944E-4</v>
      </c>
      <c r="J38" s="3505" t="str">
        <f>J39</f>
        <v>IE</v>
      </c>
      <c r="K38" s="3505">
        <f>K39</f>
        <v>252.22736254490061</v>
      </c>
      <c r="L38" s="3508">
        <f>L39</f>
        <v>7.8120685148043609</v>
      </c>
      <c r="M38" s="482"/>
    </row>
    <row r="39" spans="2:13" ht="18" customHeight="1" x14ac:dyDescent="0.2">
      <c r="B39" s="923"/>
      <c r="C39" s="4367" t="s">
        <v>2263</v>
      </c>
      <c r="D39" s="542" t="s">
        <v>940</v>
      </c>
      <c r="E39" s="543" t="s">
        <v>2250</v>
      </c>
      <c r="F39" s="3655">
        <v>30546954.723395485</v>
      </c>
      <c r="G39" s="3666" t="str">
        <f t="shared" si="2"/>
        <v>NA</v>
      </c>
      <c r="H39" s="3667">
        <f t="shared" ref="H39:H40" si="9">IF(SUM($F39)=0,"NA",K39*1000/$F39)</f>
        <v>8.2570378890083999E-3</v>
      </c>
      <c r="I39" s="3668">
        <f t="shared" ref="I39:I40" si="10">IF(SUM($F39)=0,"NA",L39*1000/$F39)</f>
        <v>2.5573968290924944E-4</v>
      </c>
      <c r="J39" s="3509" t="s">
        <v>2153</v>
      </c>
      <c r="K39" s="3510">
        <v>252.22736254490061</v>
      </c>
      <c r="L39" s="3512">
        <v>7.8120685148043609</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480199.4326810863</v>
      </c>
      <c r="G42" s="3663" t="str">
        <f t="shared" si="2"/>
        <v>NA</v>
      </c>
      <c r="H42" s="3664">
        <f t="shared" si="11"/>
        <v>0.12936156265379051</v>
      </c>
      <c r="I42" s="3665">
        <f t="shared" si="12"/>
        <v>2.4046586357084408E-3</v>
      </c>
      <c r="J42" s="3505" t="str">
        <f>IF(SUM(J43,J46)=0,"IE",SUM(J43,J46))</f>
        <v>IE</v>
      </c>
      <c r="K42" s="3506">
        <f>IF(SUM(K43,K46)=0,"NO",SUM(K43,K46))</f>
        <v>62.119348997089006</v>
      </c>
      <c r="L42" s="3507">
        <f>IF(SUM(L43,L46)=0,"NO",SUM(L43,L46))</f>
        <v>1.1547157126588681</v>
      </c>
    </row>
    <row r="43" spans="2:13" ht="18" customHeight="1" x14ac:dyDescent="0.2">
      <c r="B43" s="923" t="s">
        <v>1283</v>
      </c>
      <c r="C43" s="4368"/>
      <c r="D43" s="298"/>
      <c r="E43" s="5" t="s">
        <v>2250</v>
      </c>
      <c r="F43" s="3681">
        <f>IF(SUM(F44:F45)=0,"NO",SUM(F44:F45))</f>
        <v>480199.4326810863</v>
      </c>
      <c r="G43" s="3666" t="str">
        <f t="shared" si="2"/>
        <v>NA</v>
      </c>
      <c r="H43" s="3667">
        <f t="shared" ref="H43" si="13">IF(SUM($F43)=0,"NA",K43*1000/$F43)</f>
        <v>0.12936156265379051</v>
      </c>
      <c r="I43" s="3668">
        <f t="shared" ref="I43" si="14">IF(SUM($F43)=0,"NA",L43*1000/$F43)</f>
        <v>2.4046586357084408E-3</v>
      </c>
      <c r="J43" s="3505" t="str">
        <f>IF(SUM(J44:J45)=0,"IE",SUM(J44:J45))</f>
        <v>IE</v>
      </c>
      <c r="K43" s="3505">
        <f>IF(SUM(K44:K45)=0,"NO",SUM(K44:K45))</f>
        <v>62.119348997089006</v>
      </c>
      <c r="L43" s="3508">
        <f>IF(SUM(L44:L45)=0,"NO",SUM(L44:L45))</f>
        <v>1.1547157126588681</v>
      </c>
      <c r="M43" s="482"/>
    </row>
    <row r="44" spans="2:13" ht="18" customHeight="1" x14ac:dyDescent="0.2">
      <c r="B44" s="923"/>
      <c r="C44" s="4367" t="s">
        <v>2252</v>
      </c>
      <c r="D44" s="542" t="s">
        <v>940</v>
      </c>
      <c r="E44" s="543" t="s">
        <v>2250</v>
      </c>
      <c r="F44" s="3655">
        <v>390813.90481220902</v>
      </c>
      <c r="G44" s="3666" t="str">
        <f t="shared" si="2"/>
        <v>NA</v>
      </c>
      <c r="H44" s="3667">
        <f t="shared" ref="H44:H46" si="15">IF(SUM($F44)=0,"NA",K44*1000/$F44)</f>
        <v>0.15635615427810556</v>
      </c>
      <c r="I44" s="3668">
        <f t="shared" ref="I44:I46" si="16">IF(SUM($F44)=0,"NA",L44*1000/$F44)</f>
        <v>2.8904172408910902E-3</v>
      </c>
      <c r="J44" s="3509" t="s">
        <v>2153</v>
      </c>
      <c r="K44" s="3510">
        <v>61.106159194846619</v>
      </c>
      <c r="L44" s="3512">
        <v>1.1296152484491784</v>
      </c>
      <c r="M44" s="482"/>
    </row>
    <row r="45" spans="2:13" ht="18" customHeight="1" x14ac:dyDescent="0.2">
      <c r="B45" s="923"/>
      <c r="C45" s="4367" t="s">
        <v>2263</v>
      </c>
      <c r="D45" s="542" t="s">
        <v>940</v>
      </c>
      <c r="E45" s="543" t="s">
        <v>2250</v>
      </c>
      <c r="F45" s="3655">
        <v>89385.527868877267</v>
      </c>
      <c r="G45" s="3666" t="str">
        <f t="shared" si="2"/>
        <v>NA</v>
      </c>
      <c r="H45" s="3667">
        <f t="shared" si="15"/>
        <v>1.1335054190524744E-2</v>
      </c>
      <c r="I45" s="3668">
        <f t="shared" si="16"/>
        <v>2.8081127681553046E-4</v>
      </c>
      <c r="J45" s="3509" t="s">
        <v>2153</v>
      </c>
      <c r="K45" s="3510">
        <v>1.0131898022423835</v>
      </c>
      <c r="L45" s="3512">
        <v>2.5100464209689609E-2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854096.18499393051</v>
      </c>
      <c r="G48" s="3660" t="str">
        <f t="shared" si="2"/>
        <v>NA</v>
      </c>
      <c r="H48" s="3661">
        <f t="shared" si="17"/>
        <v>2.2348896062327085E-2</v>
      </c>
      <c r="I48" s="3662">
        <f t="shared" si="18"/>
        <v>4.448313077487628E-4</v>
      </c>
      <c r="J48" s="3502" t="str">
        <f>IF(SUM(J49,J54)=0,"IE",SUM(J49,J54))</f>
        <v>IE</v>
      </c>
      <c r="K48" s="3503">
        <f>IF(SUM(K49,K54)=0,"NO",SUM(K49,K54))</f>
        <v>19.088106865659441</v>
      </c>
      <c r="L48" s="3504">
        <f>IF(SUM(L49,L54)=0,"NO",SUM(L49,L54))</f>
        <v>0.37992872291407936</v>
      </c>
      <c r="M48" s="482"/>
    </row>
    <row r="49" spans="2:13" ht="18" customHeight="1" x14ac:dyDescent="0.2">
      <c r="B49" s="903" t="s">
        <v>1285</v>
      </c>
      <c r="C49" s="4368"/>
      <c r="D49" s="298"/>
      <c r="E49" s="5" t="s">
        <v>2250</v>
      </c>
      <c r="F49" s="3680">
        <f>IF(SUM(F50,F52)=0,"NO",SUM(F50,F52))</f>
        <v>854096.18499393051</v>
      </c>
      <c r="G49" s="3663" t="str">
        <f t="shared" si="2"/>
        <v>NA</v>
      </c>
      <c r="H49" s="3664">
        <f t="shared" si="17"/>
        <v>2.2348896062327085E-2</v>
      </c>
      <c r="I49" s="3665">
        <f t="shared" si="18"/>
        <v>4.448313077487628E-4</v>
      </c>
      <c r="J49" s="3505" t="str">
        <f>IF(SUM(J50,J52)=0,"IE",SUM(J50,J52))</f>
        <v>IE</v>
      </c>
      <c r="K49" s="3506">
        <f>IF(SUM(K50,K52)=0,"NO",SUM(K50,K52))</f>
        <v>19.088106865659441</v>
      </c>
      <c r="L49" s="3507">
        <f>IF(SUM(L50,L52)=0,"NO",SUM(L50,L52))</f>
        <v>0.37992872291407936</v>
      </c>
    </row>
    <row r="50" spans="2:13" ht="18" customHeight="1" x14ac:dyDescent="0.2">
      <c r="B50" s="923" t="s">
        <v>1286</v>
      </c>
      <c r="C50" s="4368"/>
      <c r="D50" s="298"/>
      <c r="E50" s="5" t="s">
        <v>2250</v>
      </c>
      <c r="F50" s="3681">
        <f>F51</f>
        <v>854096.18499393051</v>
      </c>
      <c r="G50" s="3666" t="str">
        <f t="shared" si="2"/>
        <v>NA</v>
      </c>
      <c r="H50" s="3667">
        <f t="shared" si="17"/>
        <v>2.2348896062327085E-2</v>
      </c>
      <c r="I50" s="3668">
        <f t="shared" si="18"/>
        <v>4.448313077487628E-4</v>
      </c>
      <c r="J50" s="3505" t="str">
        <f>J51</f>
        <v>IE</v>
      </c>
      <c r="K50" s="3505">
        <f>K51</f>
        <v>19.088106865659441</v>
      </c>
      <c r="L50" s="3508">
        <f>L51</f>
        <v>0.37992872291407936</v>
      </c>
      <c r="M50" s="482"/>
    </row>
    <row r="51" spans="2:13" ht="18" customHeight="1" x14ac:dyDescent="0.2">
      <c r="B51" s="923"/>
      <c r="C51" s="4367" t="s">
        <v>2263</v>
      </c>
      <c r="D51" s="542" t="s">
        <v>940</v>
      </c>
      <c r="E51" s="543" t="s">
        <v>2250</v>
      </c>
      <c r="F51" s="3655">
        <v>854096.18499393051</v>
      </c>
      <c r="G51" s="3666" t="str">
        <f t="shared" si="2"/>
        <v>NA</v>
      </c>
      <c r="H51" s="3667">
        <f t="shared" si="17"/>
        <v>2.2348896062327085E-2</v>
      </c>
      <c r="I51" s="3668">
        <f t="shared" si="18"/>
        <v>4.448313077487628E-4</v>
      </c>
      <c r="J51" s="3509" t="s">
        <v>2153</v>
      </c>
      <c r="K51" s="3510">
        <v>19.088106865659441</v>
      </c>
      <c r="L51" s="3512">
        <v>0.37992872291407936</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16731</v>
      </c>
      <c r="G59" s="3660" t="str">
        <f t="shared" si="2"/>
        <v>NA</v>
      </c>
      <c r="H59" s="3661">
        <f t="shared" si="3"/>
        <v>0.16884174287251211</v>
      </c>
      <c r="I59" s="3662">
        <f t="shared" si="4"/>
        <v>3.1212272189349113E-3</v>
      </c>
      <c r="J59" s="3502" t="str">
        <f>IF(SUM(J60,J65)=0,"IE",SUM(J60,J65))</f>
        <v>IE</v>
      </c>
      <c r="K59" s="3503">
        <f>IF(SUM(K60,K65)=0,"NO",SUM(K60,K65))</f>
        <v>2.8248912000000002</v>
      </c>
      <c r="L59" s="3504">
        <f>IF(SUM(L60,L65)=0,"NO",SUM(L60,L65))</f>
        <v>5.2221252599999997E-2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16731</v>
      </c>
      <c r="G65" s="3663" t="str">
        <f t="shared" si="2"/>
        <v>NA</v>
      </c>
      <c r="H65" s="3664">
        <f t="shared" si="3"/>
        <v>0.16884174287251211</v>
      </c>
      <c r="I65" s="3665">
        <f t="shared" si="4"/>
        <v>3.1212272189349113E-3</v>
      </c>
      <c r="J65" s="3505" t="str">
        <f>IF(SUM(J66,J68)=0,"IE",SUM(J66,J68))</f>
        <v>IE</v>
      </c>
      <c r="K65" s="3506">
        <f>IF(SUM(K66,K68)=0,"NO",SUM(K66,K68))</f>
        <v>2.8248912000000002</v>
      </c>
      <c r="L65" s="3507">
        <f>IF(SUM(L66,L68)=0,"NO",SUM(L66,L68))</f>
        <v>5.2221252599999997E-2</v>
      </c>
    </row>
    <row r="66" spans="2:13" ht="18" customHeight="1" x14ac:dyDescent="0.2">
      <c r="B66" s="923" t="s">
        <v>1294</v>
      </c>
      <c r="C66" s="4368"/>
      <c r="D66" s="298"/>
      <c r="E66" s="5" t="s">
        <v>2250</v>
      </c>
      <c r="F66" s="3681">
        <f>F67</f>
        <v>16731</v>
      </c>
      <c r="G66" s="3666" t="str">
        <f t="shared" si="2"/>
        <v>NA</v>
      </c>
      <c r="H66" s="3667">
        <f t="shared" si="3"/>
        <v>0.16884174287251211</v>
      </c>
      <c r="I66" s="3668">
        <f t="shared" si="4"/>
        <v>3.1212272189349113E-3</v>
      </c>
      <c r="J66" s="3505" t="str">
        <f>J67</f>
        <v>IE</v>
      </c>
      <c r="K66" s="3505">
        <f>K67</f>
        <v>2.8248912000000002</v>
      </c>
      <c r="L66" s="3508">
        <f>L67</f>
        <v>5.2221252599999997E-2</v>
      </c>
      <c r="M66" s="482"/>
    </row>
    <row r="67" spans="2:13" ht="18" customHeight="1" x14ac:dyDescent="0.2">
      <c r="B67" s="923"/>
      <c r="C67" s="4367" t="s">
        <v>2252</v>
      </c>
      <c r="D67" s="542" t="s">
        <v>940</v>
      </c>
      <c r="E67" s="543" t="s">
        <v>2250</v>
      </c>
      <c r="F67" s="3655">
        <v>16731</v>
      </c>
      <c r="G67" s="3666" t="str">
        <f t="shared" si="2"/>
        <v>NA</v>
      </c>
      <c r="H67" s="3667">
        <f t="shared" ref="H67:H68" si="23">IF(SUM($F67)=0,"NA",K67*1000/$F67)</f>
        <v>0.16884174287251211</v>
      </c>
      <c r="I67" s="3668">
        <f t="shared" ref="I67:I68" si="24">IF(SUM($F67)=0,"NA",L67*1000/$F67)</f>
        <v>3.1212272189349113E-3</v>
      </c>
      <c r="J67" s="3509" t="s">
        <v>2153</v>
      </c>
      <c r="K67" s="3510">
        <v>2.8248912000000002</v>
      </c>
      <c r="L67" s="3512">
        <v>5.2221252599999997E-2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4434.5580889814883</v>
      </c>
      <c r="D10" s="3521">
        <f>IF(SUM(D11,D16:D17)=0,"NO",SUM(D11,D16:D17))</f>
        <v>-3281.3474742468848</v>
      </c>
      <c r="E10" s="3522"/>
      <c r="F10" s="3523">
        <f>IF(SUM(F11,F16:F17)=0,"NO",SUM(F11,F16:F17))</f>
        <v>1153.210614734603</v>
      </c>
      <c r="G10" s="3524">
        <f>IF(SUM(G11,G16:G17)=0,"NO",SUM(G11,G16:G17))</f>
        <v>-4228.4389206935439</v>
      </c>
      <c r="H10" s="226"/>
      <c r="I10" s="2"/>
      <c r="J10" s="2"/>
    </row>
    <row r="11" spans="1:10" ht="18" customHeight="1" x14ac:dyDescent="0.2">
      <c r="B11" s="606" t="s">
        <v>1314</v>
      </c>
      <c r="C11" s="3525">
        <f>IF(SUM(C13:C15)=0,"NO",SUM(C13:C15))</f>
        <v>1532.9555596093805</v>
      </c>
      <c r="D11" s="3526">
        <f>IF(SUM(D13:D15)=0,"NO",SUM(D13:D15))</f>
        <v>-723.39449972586851</v>
      </c>
      <c r="E11" s="3527"/>
      <c r="F11" s="3528">
        <f>IF(SUM(F13:F15)=0,"NO",SUM(F13:F15))</f>
        <v>809.56105988351192</v>
      </c>
      <c r="G11" s="3529">
        <f>IF(SUM(G13:G15)=0,"NO",SUM(G13:G15))</f>
        <v>-2968.3905529062104</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1031.6740380896347</v>
      </c>
      <c r="D13" s="3534">
        <f>F13-C13</f>
        <v>-440.51009205059131</v>
      </c>
      <c r="E13" s="3535" t="s">
        <v>2147</v>
      </c>
      <c r="F13" s="3536">
        <f>G13/(-44/12)</f>
        <v>591.16394603904337</v>
      </c>
      <c r="G13" s="3537">
        <v>-2167.6011354764923</v>
      </c>
      <c r="H13" s="226"/>
      <c r="I13" s="2"/>
      <c r="J13" s="2"/>
    </row>
    <row r="14" spans="1:10" ht="18" customHeight="1" x14ac:dyDescent="0.2">
      <c r="B14" s="1193" t="s">
        <v>1316</v>
      </c>
      <c r="C14" s="3538">
        <v>501.28152151974575</v>
      </c>
      <c r="D14" s="3539">
        <f>F14-C14</f>
        <v>-282.8844076752772</v>
      </c>
      <c r="E14" s="3235" t="s">
        <v>2147</v>
      </c>
      <c r="F14" s="3540">
        <f>G14/(-44/12)</f>
        <v>218.39711384446855</v>
      </c>
      <c r="G14" s="3537">
        <v>-800.78941742971801</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1931.1780472567666</v>
      </c>
      <c r="D16" s="3539">
        <f>F16-C16</f>
        <v>-2005.1707810487158</v>
      </c>
      <c r="E16" s="3235" t="s">
        <v>2147</v>
      </c>
      <c r="F16" s="3540">
        <f>G16/(-44/12)</f>
        <v>-73.992733791949149</v>
      </c>
      <c r="G16" s="3537">
        <v>271.30669057048021</v>
      </c>
      <c r="H16" s="226"/>
      <c r="I16" s="2"/>
      <c r="J16" s="2"/>
    </row>
    <row r="17" spans="2:10" ht="18" customHeight="1" x14ac:dyDescent="0.2">
      <c r="B17" s="1197" t="s">
        <v>1320</v>
      </c>
      <c r="C17" s="3542">
        <f>C18</f>
        <v>970.42448211534065</v>
      </c>
      <c r="D17" s="3543">
        <f t="shared" ref="D17:F17" si="0">D18</f>
        <v>-552.78219347230049</v>
      </c>
      <c r="E17" s="3544"/>
      <c r="F17" s="3226">
        <f t="shared" si="0"/>
        <v>417.64228864304016</v>
      </c>
      <c r="G17" s="3537">
        <f>-F17*44/12</f>
        <v>-1531.3550583578137</v>
      </c>
      <c r="H17" s="226"/>
      <c r="I17" s="2"/>
      <c r="J17" s="2"/>
    </row>
    <row r="18" spans="2:10" ht="18" customHeight="1" thickBot="1" x14ac:dyDescent="0.25">
      <c r="B18" s="561" t="s">
        <v>2254</v>
      </c>
      <c r="C18" s="3545">
        <v>970.42448211534065</v>
      </c>
      <c r="D18" s="3546">
        <f>F18-C18</f>
        <v>-552.78219347230049</v>
      </c>
      <c r="E18" s="3238" t="s">
        <v>2147</v>
      </c>
      <c r="F18" s="3547">
        <f>G18/(-44/12)</f>
        <v>417.64228864304016</v>
      </c>
      <c r="G18" s="3548">
        <v>-1531.355058357814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30.362806605700698</v>
      </c>
      <c r="D10" s="4371">
        <f t="shared" ref="D10:I10" si="0">IF(SUM(D11,D15,D18,D21)=0,"NO",SUM(D11,D15,D18,D21))</f>
        <v>559.54808988293303</v>
      </c>
      <c r="E10" s="4371">
        <f t="shared" si="0"/>
        <v>1.343791983055437</v>
      </c>
      <c r="F10" s="4371" t="str">
        <f t="shared" si="0"/>
        <v>NO</v>
      </c>
      <c r="G10" s="4371" t="str">
        <f t="shared" si="0"/>
        <v>NO</v>
      </c>
      <c r="H10" s="4371">
        <f t="shared" si="0"/>
        <v>225.05880321745462</v>
      </c>
      <c r="I10" s="4372" t="str">
        <f t="shared" si="0"/>
        <v>NO</v>
      </c>
      <c r="J10" s="4373">
        <f>IF(SUM(C10:E10)=0,"NO",SUM(C10,IFERROR(28*D10,0),IFERROR(265*E10,0)))</f>
        <v>16053.814198837517</v>
      </c>
    </row>
    <row r="11" spans="1:10" ht="18" customHeight="1" x14ac:dyDescent="0.2">
      <c r="B11" s="1504" t="s">
        <v>1371</v>
      </c>
      <c r="C11" s="4374"/>
      <c r="D11" s="2883">
        <f>IF(SUM(D12:D14)=0,"NO",SUM(D12:D14))</f>
        <v>464.08864476999997</v>
      </c>
      <c r="E11" s="4374"/>
      <c r="F11" s="2883" t="str">
        <f>IF(SUM(F12:F14)=0,"NO",SUM(F12:F14))</f>
        <v>NO</v>
      </c>
      <c r="G11" s="2883" t="str">
        <f t="shared" ref="G11:H11" si="1">IF(SUM(G12:G14)=0,"NO",SUM(G12:G14))</f>
        <v>NO</v>
      </c>
      <c r="H11" s="2883">
        <f t="shared" si="1"/>
        <v>2.9702730498697103</v>
      </c>
      <c r="I11" s="2153"/>
      <c r="J11" s="2872">
        <f t="shared" ref="J11:J18" si="2">IF(SUM(C11:E11)=0,"NO",SUM(C11,IFERROR(28*D11,0),IFERROR(265*E11,0)))</f>
        <v>12994.482053559999</v>
      </c>
    </row>
    <row r="12" spans="1:10" ht="18" customHeight="1" x14ac:dyDescent="0.2">
      <c r="B12" s="1270" t="s">
        <v>1372</v>
      </c>
      <c r="C12" s="4375"/>
      <c r="D12" s="4376">
        <f>IF(SUM(Table5.A!F10:H10)=0,"NO",SUM(Table5.A!F10))</f>
        <v>464.08864476999997</v>
      </c>
      <c r="E12" s="4375"/>
      <c r="F12" s="4377" t="s">
        <v>2147</v>
      </c>
      <c r="G12" s="4377" t="s">
        <v>2147</v>
      </c>
      <c r="H12" s="4377">
        <v>2.9702730498697103</v>
      </c>
      <c r="I12" s="4378"/>
      <c r="J12" s="4379">
        <f t="shared" si="2"/>
        <v>12994.482053559999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3.4023967574999996</v>
      </c>
      <c r="E15" s="2881">
        <f t="shared" ref="E15" si="3">IF(SUM(E16:E17)=0,"NO",SUM(E16:E17))</f>
        <v>0.43550678496</v>
      </c>
      <c r="F15" s="2881" t="s">
        <v>2256</v>
      </c>
      <c r="G15" s="2881" t="s">
        <v>2256</v>
      </c>
      <c r="H15" s="2881" t="s">
        <v>2256</v>
      </c>
      <c r="I15" s="4386"/>
      <c r="J15" s="2873">
        <f t="shared" si="2"/>
        <v>210.67640722440001</v>
      </c>
    </row>
    <row r="16" spans="1:10" ht="18" customHeight="1" x14ac:dyDescent="0.2">
      <c r="B16" s="1883" t="s">
        <v>1376</v>
      </c>
      <c r="C16" s="4387"/>
      <c r="D16" s="4376">
        <f>Table5.B!F10</f>
        <v>3.4023967574999996</v>
      </c>
      <c r="E16" s="4376">
        <f>Table5.B!G10</f>
        <v>0.43550678496</v>
      </c>
      <c r="F16" s="4388" t="s">
        <v>2147</v>
      </c>
      <c r="G16" s="4388" t="s">
        <v>2147</v>
      </c>
      <c r="H16" s="4388" t="s">
        <v>2147</v>
      </c>
      <c r="I16" s="4378"/>
      <c r="J16" s="4379">
        <f t="shared" si="2"/>
        <v>210.67640722440001</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30.362806605700698</v>
      </c>
      <c r="D18" s="2871" t="str">
        <f>IF(SUM(D19:D20)=0,"NO,NE",SUM(D19:D20))</f>
        <v>NO,NE</v>
      </c>
      <c r="E18" s="2871" t="str">
        <f>IF(SUM(E19:E20)=0,"NO,NE",SUM(E19:E20))</f>
        <v>NO,NE</v>
      </c>
      <c r="F18" s="2871" t="s">
        <v>2147</v>
      </c>
      <c r="G18" s="2871" t="s">
        <v>2147</v>
      </c>
      <c r="H18" s="2871" t="s">
        <v>2147</v>
      </c>
      <c r="I18" s="2871" t="s">
        <v>2147</v>
      </c>
      <c r="J18" s="2874">
        <f t="shared" si="2"/>
        <v>30.362806605700698</v>
      </c>
    </row>
    <row r="19" spans="2:12" ht="18" customHeight="1" x14ac:dyDescent="0.2">
      <c r="B19" s="1270" t="s">
        <v>1379</v>
      </c>
      <c r="C19" s="4376">
        <f>Table5.C!G10</f>
        <v>30.362806605700698</v>
      </c>
      <c r="D19" s="4376" t="str">
        <f>Table5.C!H10</f>
        <v>NO,NE</v>
      </c>
      <c r="E19" s="4376" t="str">
        <f>Table5.C!I10</f>
        <v>NO,NE</v>
      </c>
      <c r="F19" s="4391" t="s">
        <v>2147</v>
      </c>
      <c r="G19" s="4391" t="s">
        <v>2147</v>
      </c>
      <c r="H19" s="4391" t="s">
        <v>2147</v>
      </c>
      <c r="I19" s="4391" t="s">
        <v>2147</v>
      </c>
      <c r="J19" s="4379">
        <f>IF(SUM(C19:E19)=0,"NO",SUM(C19,IFERROR(28*D19,0),IFERROR(265*E19,0)))</f>
        <v>30.362806605700698</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92.057048355433096</v>
      </c>
      <c r="E21" s="2871">
        <f t="shared" ref="E21:H21" si="5">IF(SUM(E22:E24)=0,"NO",SUM(E22:E24))</f>
        <v>0.90828519809543695</v>
      </c>
      <c r="F21" s="2871" t="str">
        <f t="shared" si="5"/>
        <v>NO</v>
      </c>
      <c r="G21" s="2871" t="str">
        <f t="shared" si="5"/>
        <v>NO</v>
      </c>
      <c r="H21" s="2871">
        <f t="shared" si="5"/>
        <v>222.08853016758491</v>
      </c>
      <c r="I21" s="4393"/>
      <c r="J21" s="2874">
        <f t="shared" si="4"/>
        <v>2818.2929314474172</v>
      </c>
    </row>
    <row r="22" spans="2:12" ht="18" customHeight="1" x14ac:dyDescent="0.2">
      <c r="B22" s="1270" t="s">
        <v>1382</v>
      </c>
      <c r="C22" s="4394"/>
      <c r="D22" s="4376">
        <f>IF(SUM(Table5.D!H10)=0,"NO",SUM(Table5.D!H10))</f>
        <v>47.857482156524725</v>
      </c>
      <c r="E22" s="4376">
        <f>IF(SUM(Table5.D!I10:J10)=0,"NO",SUM(Table5.D!I10:J10))</f>
        <v>0.90828519809543695</v>
      </c>
      <c r="F22" s="4377" t="s">
        <v>2147</v>
      </c>
      <c r="G22" s="4377" t="s">
        <v>2147</v>
      </c>
      <c r="H22" s="4377">
        <v>7.3526792316837426</v>
      </c>
      <c r="I22" s="4378"/>
      <c r="J22" s="4379">
        <f t="shared" si="4"/>
        <v>1580.7050778779831</v>
      </c>
    </row>
    <row r="23" spans="2:12" ht="18" customHeight="1" x14ac:dyDescent="0.2">
      <c r="B23" s="1270" t="s">
        <v>1383</v>
      </c>
      <c r="C23" s="4394"/>
      <c r="D23" s="4376">
        <f>IF(SUM(Table5.D!H11)=0,"NO",SUM(Table5.D!H11))</f>
        <v>44.199566198908364</v>
      </c>
      <c r="E23" s="4376" t="str">
        <f>IF(SUM(Table5.D!I11:J11)=0,"IE",SUM(Table5.D!I11:J11))</f>
        <v>IE</v>
      </c>
      <c r="F23" s="4377" t="s">
        <v>2147</v>
      </c>
      <c r="G23" s="4377" t="s">
        <v>2147</v>
      </c>
      <c r="H23" s="4377">
        <v>214.73585093590117</v>
      </c>
      <c r="I23" s="4378"/>
      <c r="J23" s="4379">
        <f t="shared" si="4"/>
        <v>1237.5878535694342</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-278625.58622828347</v>
      </c>
      <c r="D28" s="4404"/>
      <c r="E28" s="4404"/>
      <c r="F28" s="4404"/>
      <c r="G28" s="4404"/>
      <c r="H28" s="4404"/>
      <c r="I28" s="4405"/>
      <c r="J28" s="4406"/>
      <c r="K28"/>
      <c r="L28"/>
    </row>
    <row r="29" spans="2:12" ht="18" customHeight="1" x14ac:dyDescent="0.2">
      <c r="B29" s="2487" t="s">
        <v>2081</v>
      </c>
      <c r="C29" s="4407">
        <v>-4442.3521583528518</v>
      </c>
      <c r="D29" s="4408"/>
      <c r="E29" s="4408"/>
      <c r="F29" s="4408"/>
      <c r="G29" s="4408"/>
      <c r="H29" s="4408"/>
      <c r="I29" s="4406"/>
      <c r="J29" s="4406"/>
      <c r="K29"/>
      <c r="L29"/>
    </row>
    <row r="30" spans="2:12" ht="29.25" customHeight="1" thickBot="1" x14ac:dyDescent="0.25">
      <c r="B30" s="2488" t="s">
        <v>2082</v>
      </c>
      <c r="C30" s="4409">
        <v>-1531.355058357814</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20067.817510940222</v>
      </c>
      <c r="D10" s="3752"/>
      <c r="E10" s="3751">
        <f>IF(SUM(C10)=0,"NA",(F10-SUM(G10:H10))/C10)</f>
        <v>3.3303005890185006E-2</v>
      </c>
      <c r="F10" s="3753">
        <f>F11</f>
        <v>464.08864476999997</v>
      </c>
      <c r="G10" s="3753">
        <f>G11</f>
        <v>-2.78</v>
      </c>
      <c r="H10" s="3754">
        <f>H11</f>
        <v>-201.45</v>
      </c>
      <c r="I10" s="44"/>
    </row>
    <row r="11" spans="1:13" ht="18" customHeight="1" x14ac:dyDescent="0.2">
      <c r="B11" s="1750" t="s">
        <v>1395</v>
      </c>
      <c r="C11" s="3755">
        <f>IF(SUM(C13:C16)=0,"NO",SUM(C13:C16))</f>
        <v>20067.817510940222</v>
      </c>
      <c r="D11" s="3755">
        <v>1</v>
      </c>
      <c r="E11" s="3755">
        <f>IF(SUM(C11)=0,"NA",(F11-SUM(G11:H11))/C11)</f>
        <v>3.3303005890185006E-2</v>
      </c>
      <c r="F11" s="3755">
        <f>IF(SUM(F13:F16)=0,"NO",SUM(F13:F16))</f>
        <v>464.08864476999997</v>
      </c>
      <c r="G11" s="3756">
        <v>-2.78</v>
      </c>
      <c r="H11" s="3757">
        <v>-201.45</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11975.791703555065</v>
      </c>
      <c r="D13" s="3762">
        <v>1</v>
      </c>
      <c r="E13" s="3755" t="s">
        <v>2153</v>
      </c>
      <c r="F13" s="3762">
        <v>17.411519970000001</v>
      </c>
      <c r="G13" s="3763"/>
      <c r="H13" s="3764"/>
      <c r="I13" s="44"/>
    </row>
    <row r="14" spans="1:13" ht="18" customHeight="1" x14ac:dyDescent="0.2">
      <c r="B14" s="1751" t="s">
        <v>1398</v>
      </c>
      <c r="C14" s="3762">
        <v>2105.337432801306</v>
      </c>
      <c r="D14" s="3762">
        <v>1</v>
      </c>
      <c r="E14" s="3755" t="s">
        <v>2153</v>
      </c>
      <c r="F14" s="3762">
        <v>195.6438785</v>
      </c>
      <c r="G14" s="3763"/>
      <c r="H14" s="3764"/>
      <c r="I14" s="44"/>
    </row>
    <row r="15" spans="1:13" ht="18" customHeight="1" x14ac:dyDescent="0.2">
      <c r="B15" s="1751" t="s">
        <v>1399</v>
      </c>
      <c r="C15" s="3762">
        <v>5986.6883745838495</v>
      </c>
      <c r="D15" s="3762">
        <v>1</v>
      </c>
      <c r="E15" s="3755" t="s">
        <v>2153</v>
      </c>
      <c r="F15" s="3762">
        <v>251.0332463</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4536.5290100000002</v>
      </c>
      <c r="D10" s="1913">
        <f>IF(SUM($C10)=0,"NA",F10*1000/$C10)</f>
        <v>0.74999999999999989</v>
      </c>
      <c r="E10" s="1913">
        <f>IF(SUM($C10)=0,"NA",G10*1000/$C10)</f>
        <v>9.6000000000000002E-2</v>
      </c>
      <c r="F10" s="1909">
        <f>IF(SUM(F11:F12)=0,"NO",SUM(F11:F12))</f>
        <v>3.4023967574999996</v>
      </c>
      <c r="G10" s="1909">
        <f>IF(SUM(G11:G12)=0,"NO",SUM(G11:G12))</f>
        <v>0.43550678496</v>
      </c>
      <c r="H10" s="1910"/>
      <c r="I10" s="1911"/>
    </row>
    <row r="11" spans="1:9" ht="18" customHeight="1" x14ac:dyDescent="0.2">
      <c r="B11" s="1526" t="s">
        <v>1411</v>
      </c>
      <c r="C11" s="1912">
        <v>4536.5290100000002</v>
      </c>
      <c r="D11" s="1913">
        <f>IF(SUM($C11)=0,"NA",F11*1000/$C11)</f>
        <v>0.74999999999999989</v>
      </c>
      <c r="E11" s="1913">
        <f>IF(SUM($C11)=0,"NA",G11*1000/$C11)</f>
        <v>9.6000000000000002E-2</v>
      </c>
      <c r="F11" s="1912">
        <v>3.4023967574999996</v>
      </c>
      <c r="G11" s="1912">
        <v>0.43550678496</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14.937282082728728</v>
      </c>
      <c r="D10" s="2887">
        <f>IF(SUM(G10)=0,"NA",G10*1000/$C10)</f>
        <v>2032.686163221606</v>
      </c>
      <c r="E10" s="2887" t="str">
        <f t="shared" ref="E10:E20" si="0">IF(SUM(H10)=0,"NA",H10*1000/$C10)</f>
        <v>NA</v>
      </c>
      <c r="F10" s="2887" t="str">
        <f t="shared" ref="F10:F20" si="1">IF(SUM(I10)=0,"NA",I10*1000/$C10)</f>
        <v>NA</v>
      </c>
      <c r="G10" s="2887">
        <f>IF(SUM(G11,G21)=0,"NO",SUM(G11,G21))</f>
        <v>30.362806605700698</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14.937282082728728</v>
      </c>
      <c r="D21" s="116">
        <f>IF(SUM(G21)=0,"NA",G21*1000/$C21)</f>
        <v>2032.686163221606</v>
      </c>
      <c r="E21" s="116" t="str">
        <f t="shared" ref="E21:F21" si="3">IF(SUM(H21)=0,"NA",H21*1000/$C21)</f>
        <v>NA</v>
      </c>
      <c r="F21" s="116" t="str">
        <f t="shared" si="3"/>
        <v>NA</v>
      </c>
      <c r="G21" s="2889">
        <f>IF(SUM(G22:G23)=0,"NO",SUM(G22:G23))</f>
        <v>30.362806605700698</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14.937282082728728</v>
      </c>
      <c r="D23" s="116">
        <f t="shared" si="4"/>
        <v>2032.686163221606</v>
      </c>
      <c r="E23" s="151" t="str">
        <f t="shared" si="5"/>
        <v>NA</v>
      </c>
      <c r="F23" s="151" t="str">
        <f t="shared" si="6"/>
        <v>NA</v>
      </c>
      <c r="G23" s="151">
        <f>IF(SUM(G25:G30)=0,"NO",SUM(G25:G30))</f>
        <v>30.362806605700698</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14.937282082728728</v>
      </c>
      <c r="D27" s="116">
        <f t="shared" si="4"/>
        <v>880.00000001598153</v>
      </c>
      <c r="E27" s="116" t="str">
        <f t="shared" si="5"/>
        <v>NA</v>
      </c>
      <c r="F27" s="116" t="str">
        <f t="shared" si="6"/>
        <v>NA</v>
      </c>
      <c r="G27" s="2897">
        <v>13.144808233040001</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22330.298999999999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31.850700791289849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2399.2889230942401</v>
      </c>
      <c r="D10" s="3435">
        <v>1942.31474789903</v>
      </c>
      <c r="E10" s="3435">
        <v>153.65625784957101</v>
      </c>
      <c r="F10" s="3436">
        <f>(SUM(H10)-SUM(K10:L10))/C10</f>
        <v>4.1173990334792965E-2</v>
      </c>
      <c r="G10" s="3437">
        <f>SUM(I10:J10)/E10/(44/28)</f>
        <v>3.7616409484678326E-3</v>
      </c>
      <c r="H10" s="3434">
        <v>47.857482156524725</v>
      </c>
      <c r="I10" s="3223">
        <v>0.90828519809543695</v>
      </c>
      <c r="J10" s="3223" t="s">
        <v>2153</v>
      </c>
      <c r="K10" s="3438">
        <v>-12.206194057142854</v>
      </c>
      <c r="L10" s="2911">
        <v>-38.724622716190481</v>
      </c>
      <c r="M10"/>
      <c r="N10" s="1770" t="s">
        <v>1468</v>
      </c>
      <c r="O10" s="3440">
        <v>1</v>
      </c>
    </row>
    <row r="11" spans="1:15" ht="18" customHeight="1" x14ac:dyDescent="0.2">
      <c r="A11"/>
      <c r="B11" s="1749" t="s">
        <v>1383</v>
      </c>
      <c r="C11" s="3435">
        <v>715.78616978633704</v>
      </c>
      <c r="D11" s="3435">
        <v>106.909018967031</v>
      </c>
      <c r="E11" s="691" t="s">
        <v>2153</v>
      </c>
      <c r="F11" s="3162">
        <f>(SUM(H11)-SUM(K11:L11))/C11</f>
        <v>7.0142119413916418E-2</v>
      </c>
      <c r="G11" s="3162" t="s">
        <v>2147</v>
      </c>
      <c r="H11" s="691">
        <v>44.199566198908364</v>
      </c>
      <c r="I11" s="691" t="s">
        <v>2153</v>
      </c>
      <c r="J11" s="691" t="s">
        <v>2153</v>
      </c>
      <c r="K11" s="3147" t="s">
        <v>2153</v>
      </c>
      <c r="L11" s="2911">
        <v>-6.0071927970747385</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446668.42883700284</v>
      </c>
      <c r="D10" s="4213">
        <f t="shared" si="0"/>
        <v>4906.1354640843492</v>
      </c>
      <c r="E10" s="4213">
        <f t="shared" si="0"/>
        <v>83.6528631279607</v>
      </c>
      <c r="F10" s="4213">
        <f t="shared" si="0"/>
        <v>6735.3322595752779</v>
      </c>
      <c r="G10" s="4213">
        <f t="shared" si="0"/>
        <v>254.72735698266911</v>
      </c>
      <c r="H10" s="4213" t="str">
        <f>IF(SUM(H11,H22,H31,H42,H51)=0,"NO",SUM(H11,H22,H31,H42,H51))</f>
        <v>NO</v>
      </c>
      <c r="I10" s="4213">
        <f t="shared" ref="I10:N10" si="1">IF(SUM(I11,I22,I31,I42,I51)=0,"NO",SUM(I11,I22,I31,I42,I51))</f>
        <v>5.6933828580483905E-3</v>
      </c>
      <c r="J10" s="3834" t="str">
        <f t="shared" si="1"/>
        <v>NO</v>
      </c>
      <c r="K10" s="4213">
        <f t="shared" si="1"/>
        <v>3289.1967840659809</v>
      </c>
      <c r="L10" s="4213">
        <f t="shared" si="1"/>
        <v>27877.451498285973</v>
      </c>
      <c r="M10" s="4213">
        <f t="shared" si="1"/>
        <v>1868.354903349933</v>
      </c>
      <c r="N10" s="4214">
        <f t="shared" si="1"/>
        <v>2378.1228074228411</v>
      </c>
      <c r="O10" s="3818">
        <f>IF(SUM(C10:J10)=0,"NO",SUM(C10,F10:H10)+28*SUM(D10)+265*SUM(E10)+23500*SUM(I10)+16100*SUM(J10))</f>
        <v>613332.0846739962</v>
      </c>
    </row>
    <row r="11" spans="1:15" ht="18" customHeight="1" x14ac:dyDescent="0.25">
      <c r="B11" s="1120" t="s">
        <v>1476</v>
      </c>
      <c r="C11" s="2552">
        <f>Table1!C10</f>
        <v>379886.35301033495</v>
      </c>
      <c r="D11" s="3810">
        <f>Table1!D10</f>
        <v>1409.911564227614</v>
      </c>
      <c r="E11" s="3810">
        <f>Table1!E10</f>
        <v>12.132339439013251</v>
      </c>
      <c r="F11" s="4215"/>
      <c r="G11" s="4215"/>
      <c r="H11" s="4216"/>
      <c r="I11" s="4215"/>
      <c r="J11" s="98"/>
      <c r="K11" s="3810">
        <f>Table1!F10</f>
        <v>2315.7608536176413</v>
      </c>
      <c r="L11" s="3810">
        <f>Table1!G10</f>
        <v>2702.232366307655</v>
      </c>
      <c r="M11" s="3810">
        <f>Table1!H10</f>
        <v>716.87506308536081</v>
      </c>
      <c r="N11" s="4217">
        <f>Table1!I10</f>
        <v>759.30034302183219</v>
      </c>
      <c r="O11" s="3781">
        <f t="shared" ref="O11:O58" si="2">IF(SUM(C11:J11)=0,"NO",SUM(C11,F11:H11)+28*SUM(D11)+265*SUM(E11)+23500*SUM(I11)+16100*SUM(J11))</f>
        <v>422578.94676004665</v>
      </c>
    </row>
    <row r="12" spans="1:15" ht="18" customHeight="1" x14ac:dyDescent="0.25">
      <c r="B12" s="1370" t="s">
        <v>1477</v>
      </c>
      <c r="C12" s="4218">
        <f>Table1!C11</f>
        <v>371696.57372116938</v>
      </c>
      <c r="D12" s="4219">
        <f>Table1!D11</f>
        <v>84.554024651012881</v>
      </c>
      <c r="E12" s="4219">
        <f>Table1!E11</f>
        <v>12.029501637908735</v>
      </c>
      <c r="F12" s="69"/>
      <c r="G12" s="69"/>
      <c r="H12" s="69"/>
      <c r="I12" s="69"/>
      <c r="J12" s="69"/>
      <c r="K12" s="4219">
        <f>Table1!F11</f>
        <v>2313.9906022868413</v>
      </c>
      <c r="L12" s="4219">
        <f>Table1!G11</f>
        <v>2692.1338770192751</v>
      </c>
      <c r="M12" s="4219">
        <f>Table1!H11</f>
        <v>495.45473214722517</v>
      </c>
      <c r="N12" s="4220">
        <f>Table1!I11</f>
        <v>759.30034302183219</v>
      </c>
      <c r="O12" s="3782">
        <f t="shared" si="2"/>
        <v>377251.90434544353</v>
      </c>
    </row>
    <row r="13" spans="1:15" ht="18" customHeight="1" x14ac:dyDescent="0.25">
      <c r="B13" s="1371" t="s">
        <v>1478</v>
      </c>
      <c r="C13" s="4218">
        <f>Table1!C12</f>
        <v>225300.59314473628</v>
      </c>
      <c r="D13" s="4219">
        <f>Table1!D12</f>
        <v>23.319372409311185</v>
      </c>
      <c r="E13" s="4219">
        <f>Table1!E12</f>
        <v>3.794300812425687</v>
      </c>
      <c r="F13" s="69"/>
      <c r="G13" s="69"/>
      <c r="H13" s="69"/>
      <c r="I13" s="69"/>
      <c r="J13" s="69"/>
      <c r="K13" s="4219">
        <f>Table1!F12</f>
        <v>1069.6362386645883</v>
      </c>
      <c r="L13" s="4219">
        <f>Table1!G12</f>
        <v>184.14223717354585</v>
      </c>
      <c r="M13" s="4219">
        <f>Table1!H12</f>
        <v>51.61371844433441</v>
      </c>
      <c r="N13" s="4220">
        <f>Table1!I12</f>
        <v>632.93837535196883</v>
      </c>
      <c r="O13" s="3783">
        <f t="shared" si="2"/>
        <v>226959.02528748981</v>
      </c>
    </row>
    <row r="14" spans="1:15" ht="18" customHeight="1" x14ac:dyDescent="0.25">
      <c r="B14" s="1371" t="s">
        <v>1479</v>
      </c>
      <c r="C14" s="4218">
        <f>Table1!C16</f>
        <v>39306.733886702692</v>
      </c>
      <c r="D14" s="4221">
        <f>Table1!D16</f>
        <v>2.2729561877469564</v>
      </c>
      <c r="E14" s="4221">
        <f>Table1!E16</f>
        <v>1.2717698342144876</v>
      </c>
      <c r="F14" s="3784"/>
      <c r="G14" s="3784"/>
      <c r="H14" s="3784"/>
      <c r="I14" s="3784"/>
      <c r="J14" s="69"/>
      <c r="K14" s="4221">
        <f>Table1!F16</f>
        <v>578.39264704241805</v>
      </c>
      <c r="L14" s="4221">
        <f>Table1!G16</f>
        <v>186.97662647122652</v>
      </c>
      <c r="M14" s="4221">
        <f>Table1!H16</f>
        <v>79.395875108994275</v>
      </c>
      <c r="N14" s="4222">
        <f>Table1!I16</f>
        <v>90.816736835818844</v>
      </c>
      <c r="O14" s="3785">
        <f t="shared" si="2"/>
        <v>39707.395666026445</v>
      </c>
    </row>
    <row r="15" spans="1:15" ht="18" customHeight="1" x14ac:dyDescent="0.25">
      <c r="B15" s="1371" t="s">
        <v>1480</v>
      </c>
      <c r="C15" s="4218">
        <f>Table1!C24</f>
        <v>86489.532786197247</v>
      </c>
      <c r="D15" s="4219">
        <f>Table1!D24</f>
        <v>17.768473944052396</v>
      </c>
      <c r="E15" s="4219">
        <f>Table1!E24</f>
        <v>6.2856682531525365</v>
      </c>
      <c r="F15" s="69"/>
      <c r="G15" s="69"/>
      <c r="H15" s="69"/>
      <c r="I15" s="69"/>
      <c r="J15" s="69"/>
      <c r="K15" s="4219">
        <f>Table1!F24</f>
        <v>308.82474351869206</v>
      </c>
      <c r="L15" s="4219">
        <f>Table1!G24</f>
        <v>1624.4883974106983</v>
      </c>
      <c r="M15" s="4219">
        <f>Table1!H24</f>
        <v>247.96764339596419</v>
      </c>
      <c r="N15" s="4220">
        <f>Table1!I24</f>
        <v>27.82975833362508</v>
      </c>
      <c r="O15" s="3783">
        <f t="shared" si="2"/>
        <v>88652.752143716134</v>
      </c>
    </row>
    <row r="16" spans="1:15" ht="18" customHeight="1" x14ac:dyDescent="0.25">
      <c r="B16" s="1371" t="s">
        <v>1481</v>
      </c>
      <c r="C16" s="4218">
        <f>Table1!C30</f>
        <v>19718.537468055074</v>
      </c>
      <c r="D16" s="4219">
        <f>Table1!D30</f>
        <v>41.162161193649624</v>
      </c>
      <c r="E16" s="4219">
        <f>Table1!E30</f>
        <v>0.65301319071314512</v>
      </c>
      <c r="F16" s="69"/>
      <c r="G16" s="69"/>
      <c r="H16" s="69"/>
      <c r="I16" s="69"/>
      <c r="J16" s="69"/>
      <c r="K16" s="4219">
        <f>Table1!F30</f>
        <v>350.16258416248456</v>
      </c>
      <c r="L16" s="4219">
        <f>Table1!G30</f>
        <v>692.72521757489358</v>
      </c>
      <c r="M16" s="4219">
        <f>Table1!H30</f>
        <v>115.97820020366851</v>
      </c>
      <c r="N16" s="4220">
        <f>Table1!I30</f>
        <v>7.4521498554759047</v>
      </c>
      <c r="O16" s="3783">
        <f t="shared" si="2"/>
        <v>21044.126477016249</v>
      </c>
    </row>
    <row r="17" spans="2:15" ht="18" customHeight="1" x14ac:dyDescent="0.25">
      <c r="B17" s="1371" t="s">
        <v>1482</v>
      </c>
      <c r="C17" s="4218">
        <f>Table1!C34</f>
        <v>881.17643547805289</v>
      </c>
      <c r="D17" s="4219">
        <f>Table1!D34</f>
        <v>3.1060916252709372E-2</v>
      </c>
      <c r="E17" s="4219">
        <f>Table1!E34</f>
        <v>2.4749547402879473E-2</v>
      </c>
      <c r="F17" s="69"/>
      <c r="G17" s="69"/>
      <c r="H17" s="69"/>
      <c r="I17" s="69"/>
      <c r="J17" s="69"/>
      <c r="K17" s="4219">
        <f>Table1!F34</f>
        <v>6.9743888986579421</v>
      </c>
      <c r="L17" s="4219">
        <f>Table1!G34</f>
        <v>3.8013983889110778</v>
      </c>
      <c r="M17" s="4219">
        <f>Table1!H34</f>
        <v>0.49929499426376872</v>
      </c>
      <c r="N17" s="4220">
        <f>Table1!I34</f>
        <v>0.26332264494345781</v>
      </c>
      <c r="O17" s="3783">
        <f t="shared" si="2"/>
        <v>888.6047711948919</v>
      </c>
    </row>
    <row r="18" spans="2:15" ht="18" customHeight="1" x14ac:dyDescent="0.25">
      <c r="B18" s="1370" t="s">
        <v>99</v>
      </c>
      <c r="C18" s="4223">
        <f>Table1!C37</f>
        <v>8189.7792891655736</v>
      </c>
      <c r="D18" s="4224">
        <f>Table1!D37</f>
        <v>1325.3575395766011</v>
      </c>
      <c r="E18" s="4224">
        <f>Table1!E37</f>
        <v>0.10283780110451514</v>
      </c>
      <c r="F18" s="69"/>
      <c r="G18" s="69"/>
      <c r="H18" s="69"/>
      <c r="I18" s="69"/>
      <c r="J18" s="69"/>
      <c r="K18" s="4224">
        <f>Table1!F37</f>
        <v>1.7702513308000001</v>
      </c>
      <c r="L18" s="4219">
        <f>Table1!G37</f>
        <v>10.098489288379998</v>
      </c>
      <c r="M18" s="4219">
        <f>Table1!H37</f>
        <v>221.42033093813566</v>
      </c>
      <c r="N18" s="4220" t="str">
        <f>Table1!I37</f>
        <v>NO</v>
      </c>
      <c r="O18" s="3783">
        <f t="shared" si="2"/>
        <v>45327.042414603093</v>
      </c>
    </row>
    <row r="19" spans="2:15" ht="18" customHeight="1" x14ac:dyDescent="0.25">
      <c r="B19" s="1371" t="s">
        <v>1483</v>
      </c>
      <c r="C19" s="4225">
        <f>Table1!C38</f>
        <v>1292.1040585003002</v>
      </c>
      <c r="D19" s="4226">
        <f>Table1!D38</f>
        <v>1101.9535441721314</v>
      </c>
      <c r="E19" s="4224">
        <f>Table1!E38</f>
        <v>4.5988490439254325E-4</v>
      </c>
      <c r="F19" s="69"/>
      <c r="G19" s="69"/>
      <c r="H19" s="69"/>
      <c r="I19" s="69"/>
      <c r="J19" s="69"/>
      <c r="K19" s="4224" t="str">
        <f>Table1!F38</f>
        <v>NO</v>
      </c>
      <c r="L19" s="4219" t="str">
        <f>Table1!G38</f>
        <v>NO</v>
      </c>
      <c r="M19" s="4219" t="str">
        <f>Table1!H38</f>
        <v>NO</v>
      </c>
      <c r="N19" s="4220" t="str">
        <f>Table1!I38</f>
        <v>NO</v>
      </c>
      <c r="O19" s="3783">
        <f t="shared" si="2"/>
        <v>32146.925164819644</v>
      </c>
    </row>
    <row r="20" spans="2:15" ht="18" customHeight="1" x14ac:dyDescent="0.25">
      <c r="B20" s="1372" t="s">
        <v>1484</v>
      </c>
      <c r="C20" s="4225">
        <f>Table1!C42</f>
        <v>6897.6752306652734</v>
      </c>
      <c r="D20" s="4227">
        <f>Table1!D42</f>
        <v>223.4039954044697</v>
      </c>
      <c r="E20" s="4224">
        <f>Table1!E42</f>
        <v>0.1023779162001226</v>
      </c>
      <c r="F20" s="3784"/>
      <c r="G20" s="3784"/>
      <c r="H20" s="3784"/>
      <c r="I20" s="3784"/>
      <c r="J20" s="69"/>
      <c r="K20" s="4224">
        <f>Table1!F42</f>
        <v>1.7702513308000001</v>
      </c>
      <c r="L20" s="4221">
        <f>Table1!G42</f>
        <v>10.098489288379998</v>
      </c>
      <c r="M20" s="4221">
        <f>Table1!H42</f>
        <v>221.42033093813566</v>
      </c>
      <c r="N20" s="4222" t="str">
        <f>Table1!I42</f>
        <v>NO</v>
      </c>
      <c r="O20" s="3785">
        <f t="shared" si="2"/>
        <v>13180.117249783456</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23406.315239742638</v>
      </c>
      <c r="D22" s="4230">
        <f>'Table2(I)'!D10</f>
        <v>3.69447887454705</v>
      </c>
      <c r="E22" s="4231">
        <f>'Table2(I)'!E10</f>
        <v>10.586346782515909</v>
      </c>
      <c r="F22" s="3810">
        <f>'Table2(I)'!F10</f>
        <v>6735.3322595752779</v>
      </c>
      <c r="G22" s="3810">
        <f>'Table2(I)'!G10</f>
        <v>254.72735698266911</v>
      </c>
      <c r="H22" s="3810" t="str">
        <f>'Table2(I)'!H10</f>
        <v>NO</v>
      </c>
      <c r="I22" s="3810">
        <f>'Table2(I)'!I10</f>
        <v>5.6933828580483905E-3</v>
      </c>
      <c r="J22" s="3810" t="str">
        <f>'Table2(I)'!J10</f>
        <v>NO</v>
      </c>
      <c r="K22" s="3810">
        <f>'Table2(I)'!K10</f>
        <v>9.2107075958317477</v>
      </c>
      <c r="L22" s="3810">
        <f>'Table2(I)'!L10</f>
        <v>24.050581571109213</v>
      </c>
      <c r="M22" s="3810">
        <f>'Table2(I)'!M10</f>
        <v>237.82332907922432</v>
      </c>
      <c r="N22" s="4217">
        <f>'Table2(I)'!N10</f>
        <v>1618.822464401009</v>
      </c>
      <c r="O22" s="3781">
        <f t="shared" si="2"/>
        <v>33438.996659318749</v>
      </c>
    </row>
    <row r="23" spans="2:15" ht="18" customHeight="1" x14ac:dyDescent="0.25">
      <c r="B23" s="1133" t="s">
        <v>1487</v>
      </c>
      <c r="C23" s="4232">
        <f>'Table2(I)'!C11</f>
        <v>6303.975122199774</v>
      </c>
      <c r="D23" s="3789"/>
      <c r="E23" s="98"/>
      <c r="F23" s="98"/>
      <c r="G23" s="98"/>
      <c r="H23" s="98"/>
      <c r="I23" s="98"/>
      <c r="J23" s="69"/>
      <c r="K23" s="4233" t="str">
        <f>'Table2(I)'!K11</f>
        <v>NO</v>
      </c>
      <c r="L23" s="4233" t="str">
        <f>'Table2(I)'!L11</f>
        <v>NO</v>
      </c>
      <c r="M23" s="4233" t="str">
        <f>'Table2(I)'!M11</f>
        <v>NO</v>
      </c>
      <c r="N23" s="4234" t="str">
        <f>'Table2(I)'!N11</f>
        <v>NO</v>
      </c>
      <c r="O23" s="3782">
        <f t="shared" si="2"/>
        <v>6303.975122199774</v>
      </c>
    </row>
    <row r="24" spans="2:15" ht="18" customHeight="1" x14ac:dyDescent="0.25">
      <c r="B24" s="1133" t="s">
        <v>621</v>
      </c>
      <c r="C24" s="4232">
        <f>'Table2(I)'!C16</f>
        <v>3586.5679135756236</v>
      </c>
      <c r="D24" s="4235">
        <f>'Table2(I)'!D16</f>
        <v>0.57776359999999993</v>
      </c>
      <c r="E24" s="4236">
        <f>'Table2(I)'!E16</f>
        <v>10.515402041905819</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6389.326835480666</v>
      </c>
    </row>
    <row r="25" spans="2:15" ht="18" customHeight="1" x14ac:dyDescent="0.25">
      <c r="B25" s="1133" t="s">
        <v>459</v>
      </c>
      <c r="C25" s="4232">
        <f>'Table2(I)'!C27</f>
        <v>13036.785223962206</v>
      </c>
      <c r="D25" s="4235">
        <f>'Table2(I)'!D27</f>
        <v>3.1167152745470501</v>
      </c>
      <c r="E25" s="4236">
        <f>'Table2(I)'!E27</f>
        <v>7.0944740610090012E-2</v>
      </c>
      <c r="F25" s="4219" t="str">
        <f>'Table2(I)'!F27</f>
        <v>NO</v>
      </c>
      <c r="G25" s="4219">
        <f>'Table2(I)'!G27</f>
        <v>254.72735698266911</v>
      </c>
      <c r="H25" s="4219" t="str">
        <f>'Table2(I)'!H27</f>
        <v>NO</v>
      </c>
      <c r="I25" s="4219" t="str">
        <f>'Table2(I)'!I27</f>
        <v>NO</v>
      </c>
      <c r="J25" s="4219" t="str">
        <f>'Table2(I)'!J27</f>
        <v>NO</v>
      </c>
      <c r="K25" s="4219">
        <f>'Table2(I)'!K27</f>
        <v>9.2107075958317477</v>
      </c>
      <c r="L25" s="4219">
        <f>'Table2(I)'!L27</f>
        <v>24.050581571109213</v>
      </c>
      <c r="M25" s="4219">
        <f>'Table2(I)'!M27</f>
        <v>8.6938078355940002E-2</v>
      </c>
      <c r="N25" s="4220">
        <f>'Table2(I)'!N27</f>
        <v>1618.822464401009</v>
      </c>
      <c r="O25" s="3783">
        <f t="shared" si="2"/>
        <v>13397.580964893867</v>
      </c>
    </row>
    <row r="26" spans="2:15" ht="18" customHeight="1" x14ac:dyDescent="0.25">
      <c r="B26" s="1133" t="s">
        <v>1488</v>
      </c>
      <c r="C26" s="4232">
        <f>'Table2(I)'!C35</f>
        <v>247.53411099499993</v>
      </c>
      <c r="D26" s="3790" t="str">
        <f>'Table2(I)'!D35</f>
        <v>NO</v>
      </c>
      <c r="E26" s="616" t="str">
        <f>'Table2(I)'!E35</f>
        <v>NO</v>
      </c>
      <c r="F26" s="69"/>
      <c r="G26" s="69"/>
      <c r="H26" s="69"/>
      <c r="I26" s="69"/>
      <c r="J26" s="69"/>
      <c r="K26" s="616" t="str">
        <f>'Table2(I)'!K35</f>
        <v>NO</v>
      </c>
      <c r="L26" s="4236" t="str">
        <f>'Table2(I)'!L35</f>
        <v>NO</v>
      </c>
      <c r="M26" s="4236">
        <f>'Table2(I)'!M35</f>
        <v>185.37063525831024</v>
      </c>
      <c r="N26" s="4237" t="str">
        <f>'Table2(I)'!N35</f>
        <v>NO</v>
      </c>
      <c r="O26" s="3783">
        <f t="shared" si="2"/>
        <v>247.53411099499993</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6735.3322595752779</v>
      </c>
      <c r="G28" s="4221" t="str">
        <f>'Table2(I)'!G45</f>
        <v>NO</v>
      </c>
      <c r="H28" s="4221" t="str">
        <f>'Table2(I)'!H45</f>
        <v>NO</v>
      </c>
      <c r="I28" s="4221" t="str">
        <f>'Table2(I)'!I45</f>
        <v>NO</v>
      </c>
      <c r="J28" s="4221" t="str">
        <f>'Table2(I)'!J45</f>
        <v>NO</v>
      </c>
      <c r="K28" s="3784"/>
      <c r="L28" s="3784"/>
      <c r="M28" s="3784"/>
      <c r="N28" s="3793"/>
      <c r="O28" s="3785">
        <f t="shared" si="2"/>
        <v>6735.3322595752779</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5.6933828580483905E-3</v>
      </c>
      <c r="J29" s="616" t="str">
        <f>'Table2(I)'!J52</f>
        <v>NO</v>
      </c>
      <c r="K29" s="3796" t="str">
        <f>'Table2(I)'!K52</f>
        <v>NO</v>
      </c>
      <c r="L29" s="3796" t="str">
        <f>'Table2(I)'!L52</f>
        <v>NO</v>
      </c>
      <c r="M29" s="3796" t="str">
        <f>'Table2(I)'!M52</f>
        <v>NO</v>
      </c>
      <c r="N29" s="3797" t="str">
        <f>'Table2(I)'!N52</f>
        <v>NO</v>
      </c>
      <c r="O29" s="3785">
        <f t="shared" si="2"/>
        <v>133.79449716413717</v>
      </c>
    </row>
    <row r="30" spans="2:15" ht="18" customHeight="1" thickBot="1" x14ac:dyDescent="0.3">
      <c r="B30" s="1375" t="s">
        <v>2040</v>
      </c>
      <c r="C30" s="4239">
        <f>'Table2(I)'!C57</f>
        <v>231.45286901003672</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49.523195061858132</v>
      </c>
      <c r="N30" s="4242" t="str">
        <f>'Table2(I)'!N57</f>
        <v>NA</v>
      </c>
      <c r="O30" s="3798">
        <f t="shared" si="2"/>
        <v>231.45286901003672</v>
      </c>
    </row>
    <row r="31" spans="2:15" ht="18" customHeight="1" x14ac:dyDescent="0.25">
      <c r="B31" s="1134" t="s">
        <v>1491</v>
      </c>
      <c r="C31" s="3817">
        <f>Table3!C10</f>
        <v>2189.1387733806687</v>
      </c>
      <c r="D31" s="3799">
        <f>Table3!D10</f>
        <v>2219.2582353272028</v>
      </c>
      <c r="E31" s="3800">
        <f>Table3!E10</f>
        <v>40.649304481768304</v>
      </c>
      <c r="F31" s="3801"/>
      <c r="G31" s="3801"/>
      <c r="H31" s="3801"/>
      <c r="I31" s="3801"/>
      <c r="J31" s="3801"/>
      <c r="K31" s="4243">
        <f>Table3!F10</f>
        <v>16.252068641231766</v>
      </c>
      <c r="L31" s="4243">
        <f>Table3!G10</f>
        <v>267.01245605435321</v>
      </c>
      <c r="M31" s="4243">
        <f>Table3!H10</f>
        <v>15.575726603170608</v>
      </c>
      <c r="N31" s="4244" t="str">
        <f>Table3!I10</f>
        <v>NO</v>
      </c>
      <c r="O31" s="3782">
        <f t="shared" si="2"/>
        <v>75100.435050210945</v>
      </c>
    </row>
    <row r="32" spans="2:15" ht="18" customHeight="1" x14ac:dyDescent="0.25">
      <c r="B32" s="4245" t="s">
        <v>1492</v>
      </c>
      <c r="C32" s="3791"/>
      <c r="D32" s="4246">
        <f>Table3!D11</f>
        <v>1973.6232194057877</v>
      </c>
      <c r="E32" s="98"/>
      <c r="F32" s="3802"/>
      <c r="G32" s="3802"/>
      <c r="H32" s="3789"/>
      <c r="I32" s="3802"/>
      <c r="J32" s="3789"/>
      <c r="K32" s="98"/>
      <c r="L32" s="98"/>
      <c r="M32" s="98"/>
      <c r="N32" s="3803"/>
      <c r="O32" s="3782">
        <f t="shared" si="2"/>
        <v>55261.450143362053</v>
      </c>
    </row>
    <row r="33" spans="2:15" ht="18" customHeight="1" x14ac:dyDescent="0.25">
      <c r="B33" s="4245" t="s">
        <v>1493</v>
      </c>
      <c r="C33" s="3791"/>
      <c r="D33" s="4226">
        <f>Table3!D20</f>
        <v>235.78040678925217</v>
      </c>
      <c r="E33" s="4226">
        <f>Table3!E20</f>
        <v>1.5337195038126645</v>
      </c>
      <c r="F33" s="3802"/>
      <c r="G33" s="3802"/>
      <c r="H33" s="3802"/>
      <c r="I33" s="3802"/>
      <c r="J33" s="3802"/>
      <c r="K33" s="69"/>
      <c r="L33" s="69"/>
      <c r="M33" s="4247" t="str">
        <f>Table3!H20</f>
        <v>NE</v>
      </c>
      <c r="N33" s="3804"/>
      <c r="O33" s="3783">
        <f t="shared" si="2"/>
        <v>7008.2870586094168</v>
      </c>
    </row>
    <row r="34" spans="2:15" ht="18" customHeight="1" x14ac:dyDescent="0.25">
      <c r="B34" s="4245" t="s">
        <v>1494</v>
      </c>
      <c r="C34" s="3791"/>
      <c r="D34" s="4226">
        <f>Table3!D31</f>
        <v>3.0081359000000001</v>
      </c>
      <c r="E34" s="69"/>
      <c r="F34" s="3802"/>
      <c r="G34" s="3802"/>
      <c r="H34" s="3802"/>
      <c r="I34" s="3802"/>
      <c r="J34" s="3802"/>
      <c r="K34" s="69"/>
      <c r="L34" s="69"/>
      <c r="M34" s="4247" t="str">
        <f>Table3!H31</f>
        <v>NE</v>
      </c>
      <c r="N34" s="3804"/>
      <c r="O34" s="3783">
        <f t="shared" si="2"/>
        <v>84.227805200000006</v>
      </c>
    </row>
    <row r="35" spans="2:15" ht="18" customHeight="1" x14ac:dyDescent="0.25">
      <c r="B35" s="4245" t="s">
        <v>1495</v>
      </c>
      <c r="C35" s="4248"/>
      <c r="D35" s="4226" t="str">
        <f>Table3!D32</f>
        <v>NE</v>
      </c>
      <c r="E35" s="4226">
        <f>Table3!E32</f>
        <v>38.834286232943846</v>
      </c>
      <c r="F35" s="3802"/>
      <c r="G35" s="3802"/>
      <c r="H35" s="3802"/>
      <c r="I35" s="3802"/>
      <c r="J35" s="3802"/>
      <c r="K35" s="4247" t="str">
        <f>Table3!F32</f>
        <v>NO</v>
      </c>
      <c r="L35" s="4247" t="str">
        <f>Table3!G32</f>
        <v>NO</v>
      </c>
      <c r="M35" s="4247" t="str">
        <f>Table3!H32</f>
        <v>NO</v>
      </c>
      <c r="N35" s="3804"/>
      <c r="O35" s="3783">
        <f t="shared" si="2"/>
        <v>10291.085851730119</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6.8464732321629054</v>
      </c>
      <c r="E37" s="4226">
        <f>Table3!E43</f>
        <v>0.28129874501179614</v>
      </c>
      <c r="F37" s="3802"/>
      <c r="G37" s="3802"/>
      <c r="H37" s="3802"/>
      <c r="I37" s="3802"/>
      <c r="J37" s="3802"/>
      <c r="K37" s="4247">
        <f>Table3!F43</f>
        <v>16.252068641231766</v>
      </c>
      <c r="L37" s="4247">
        <f>Table3!G43</f>
        <v>267.01245605435321</v>
      </c>
      <c r="M37" s="4247">
        <f>Table3!H43</f>
        <v>15.575726603170608</v>
      </c>
      <c r="N37" s="4247" t="str">
        <f>Table3!I43</f>
        <v>NO</v>
      </c>
      <c r="O37" s="3783">
        <f t="shared" si="2"/>
        <v>266.24541792868729</v>
      </c>
    </row>
    <row r="38" spans="2:15" ht="18" customHeight="1" x14ac:dyDescent="0.25">
      <c r="B38" s="4249" t="s">
        <v>721</v>
      </c>
      <c r="C38" s="3794">
        <f>Table3!C44</f>
        <v>1252.8287349164823</v>
      </c>
      <c r="D38" s="4250"/>
      <c r="E38" s="4250"/>
      <c r="F38" s="3792"/>
      <c r="G38" s="3792"/>
      <c r="H38" s="3792"/>
      <c r="I38" s="3792"/>
      <c r="J38" s="3792"/>
      <c r="K38" s="3805"/>
      <c r="L38" s="3805"/>
      <c r="M38" s="3805"/>
      <c r="N38" s="3793"/>
      <c r="O38" s="3785">
        <f t="shared" si="2"/>
        <v>1252.8287349164823</v>
      </c>
    </row>
    <row r="39" spans="2:15" ht="18" customHeight="1" x14ac:dyDescent="0.25">
      <c r="B39" s="4249" t="s">
        <v>722</v>
      </c>
      <c r="C39" s="3806">
        <f>Table3!C45</f>
        <v>936.31003846418662</v>
      </c>
      <c r="D39" s="4250"/>
      <c r="E39" s="4250"/>
      <c r="F39" s="3792"/>
      <c r="G39" s="3792"/>
      <c r="H39" s="3792"/>
      <c r="I39" s="3792"/>
      <c r="J39" s="3792"/>
      <c r="K39" s="3805"/>
      <c r="L39" s="3805"/>
      <c r="M39" s="3805"/>
      <c r="N39" s="3793"/>
      <c r="O39" s="3785">
        <f t="shared" si="2"/>
        <v>936.31003846418662</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41156.259006938919</v>
      </c>
      <c r="D42" s="3809">
        <f>Table4!D10</f>
        <v>713.72309577205283</v>
      </c>
      <c r="E42" s="3810">
        <f>Table4!E10</f>
        <v>18.941080441607788</v>
      </c>
      <c r="F42" s="3801"/>
      <c r="G42" s="3801"/>
      <c r="H42" s="3801"/>
      <c r="I42" s="3801"/>
      <c r="J42" s="3801"/>
      <c r="K42" s="4253">
        <f>Table4!F10</f>
        <v>947.97315421127655</v>
      </c>
      <c r="L42" s="4253">
        <f>Table4!G10</f>
        <v>24884.156094352857</v>
      </c>
      <c r="M42" s="4253">
        <f>Table4!H10</f>
        <v>673.02198136472259</v>
      </c>
      <c r="N42" s="4254" t="str">
        <f>N50</f>
        <v>NO</v>
      </c>
      <c r="O42" s="3781">
        <f t="shared" si="2"/>
        <v>66159.892005582456</v>
      </c>
    </row>
    <row r="43" spans="2:15" ht="18" customHeight="1" x14ac:dyDescent="0.25">
      <c r="B43" s="4245" t="s">
        <v>2042</v>
      </c>
      <c r="C43" s="4255">
        <f>Table4!C11</f>
        <v>-27019.47421927566</v>
      </c>
      <c r="D43" s="4256">
        <f>Table4!D11</f>
        <v>303.23904347840033</v>
      </c>
      <c r="E43" s="4257">
        <f>Table4!E11</f>
        <v>6.4809922444469352</v>
      </c>
      <c r="F43" s="3792"/>
      <c r="G43" s="3792"/>
      <c r="H43" s="3792"/>
      <c r="I43" s="3792"/>
      <c r="J43" s="3792"/>
      <c r="K43" s="4247">
        <f>Table4!F11</f>
        <v>299.32317168375289</v>
      </c>
      <c r="L43" s="4247">
        <f>Table4!G11</f>
        <v>8174.0090772648728</v>
      </c>
      <c r="M43" s="4247">
        <f>Table4!H11</f>
        <v>314.26522737645848</v>
      </c>
      <c r="N43" s="3811"/>
      <c r="O43" s="3812">
        <f t="shared" si="2"/>
        <v>-16811.318057102013</v>
      </c>
    </row>
    <row r="44" spans="2:15" ht="18" customHeight="1" x14ac:dyDescent="0.25">
      <c r="B44" s="4245" t="s">
        <v>2043</v>
      </c>
      <c r="C44" s="4255">
        <f>Table4!C14</f>
        <v>5069.6846030701599</v>
      </c>
      <c r="D44" s="4258">
        <f>Table4!D14</f>
        <v>2.0539079999999998</v>
      </c>
      <c r="E44" s="4258">
        <f>Table4!E14</f>
        <v>0.17767911098095823</v>
      </c>
      <c r="F44" s="3802"/>
      <c r="G44" s="3802"/>
      <c r="H44" s="3802"/>
      <c r="I44" s="3802"/>
      <c r="J44" s="3802"/>
      <c r="K44" s="4247">
        <f>Table4!F14</f>
        <v>1.5465438214285712</v>
      </c>
      <c r="L44" s="4247">
        <f>Table4!G14</f>
        <v>60.571268333333336</v>
      </c>
      <c r="M44" s="4247">
        <f>Table4!H14</f>
        <v>7.3218016666666665</v>
      </c>
      <c r="N44" s="4259"/>
      <c r="O44" s="3783">
        <f t="shared" si="2"/>
        <v>5174.2789914801133</v>
      </c>
    </row>
    <row r="45" spans="2:15" ht="18" customHeight="1" x14ac:dyDescent="0.25">
      <c r="B45" s="4245" t="s">
        <v>2044</v>
      </c>
      <c r="C45" s="4255">
        <f>Table4!C17</f>
        <v>61752.143609332081</v>
      </c>
      <c r="D45" s="4258">
        <f>Table4!D17</f>
        <v>314.34671154198963</v>
      </c>
      <c r="E45" s="4258">
        <f>Table4!E17</f>
        <v>11.676561444354057</v>
      </c>
      <c r="F45" s="3802"/>
      <c r="G45" s="3802"/>
      <c r="H45" s="3802"/>
      <c r="I45" s="3802"/>
      <c r="J45" s="3802"/>
      <c r="K45" s="4247">
        <f>Table4!F17</f>
        <v>616.73060785954272</v>
      </c>
      <c r="L45" s="4247">
        <f>Table4!G17</f>
        <v>15888.964924916374</v>
      </c>
      <c r="M45" s="4247">
        <f>Table4!H17</f>
        <v>340.93013576228464</v>
      </c>
      <c r="N45" s="4259"/>
      <c r="O45" s="3783">
        <f t="shared" si="2"/>
        <v>73648.140315261611</v>
      </c>
    </row>
    <row r="46" spans="2:15" ht="18" customHeight="1" x14ac:dyDescent="0.25">
      <c r="B46" s="4245" t="s">
        <v>2045</v>
      </c>
      <c r="C46" s="4255">
        <f>Table4!C20</f>
        <v>1008.7166343037356</v>
      </c>
      <c r="D46" s="4258">
        <f>Table4!D20</f>
        <v>91.258541551662887</v>
      </c>
      <c r="E46" s="4258">
        <f>Table4!E20</f>
        <v>0.37992872291407936</v>
      </c>
      <c r="F46" s="3802"/>
      <c r="G46" s="3802"/>
      <c r="H46" s="3802"/>
      <c r="I46" s="3802"/>
      <c r="J46" s="3802"/>
      <c r="K46" s="4247">
        <f>Table4!F20</f>
        <v>28.245755032266651</v>
      </c>
      <c r="L46" s="4247">
        <f>Table4!G20</f>
        <v>677.3026898382783</v>
      </c>
      <c r="M46" s="4247">
        <f>Table4!H20</f>
        <v>0.43460255931289526</v>
      </c>
      <c r="N46" s="4259"/>
      <c r="O46" s="3783">
        <f t="shared" si="2"/>
        <v>3664.6369093225276</v>
      </c>
    </row>
    <row r="47" spans="2:15" ht="18" customHeight="1" x14ac:dyDescent="0.25">
      <c r="B47" s="4245" t="s">
        <v>2046</v>
      </c>
      <c r="C47" s="4255">
        <f>Table4!C23</f>
        <v>4573.2206086710739</v>
      </c>
      <c r="D47" s="4258">
        <f>Table4!D23</f>
        <v>2.8248912000000002</v>
      </c>
      <c r="E47" s="4260">
        <f>Table4!E23</f>
        <v>9.8030806978341115E-2</v>
      </c>
      <c r="F47" s="3802"/>
      <c r="G47" s="3802"/>
      <c r="H47" s="3802"/>
      <c r="I47" s="3802"/>
      <c r="J47" s="3802"/>
      <c r="K47" s="4247">
        <f>Table4!F23</f>
        <v>2.127075814285714</v>
      </c>
      <c r="L47" s="4247">
        <f>Table4!G23</f>
        <v>83.30813400000001</v>
      </c>
      <c r="M47" s="4247">
        <f>Table4!H23</f>
        <v>10.070214</v>
      </c>
      <c r="N47" s="1838"/>
      <c r="O47" s="3783">
        <f t="shared" si="2"/>
        <v>4678.2957261203346</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-4228.4389206935439</v>
      </c>
      <c r="D49" s="3792"/>
      <c r="E49" s="3792"/>
      <c r="F49" s="3792"/>
      <c r="G49" s="3792"/>
      <c r="H49" s="3792"/>
      <c r="I49" s="3792"/>
      <c r="J49" s="3792"/>
      <c r="K49" s="3792"/>
      <c r="L49" s="3792"/>
      <c r="M49" s="3792"/>
      <c r="N49" s="3814"/>
      <c r="O49" s="3785">
        <f t="shared" si="2"/>
        <v>-4228.4389206935439</v>
      </c>
    </row>
    <row r="50" spans="2:15" ht="18" customHeight="1" thickBot="1" x14ac:dyDescent="0.3">
      <c r="B50" s="4251" t="s">
        <v>2049</v>
      </c>
      <c r="C50" s="4264">
        <f>Table4!C30</f>
        <v>0.40669153106816663</v>
      </c>
      <c r="D50" s="4265" t="str">
        <f>Table4!D30</f>
        <v>NO</v>
      </c>
      <c r="E50" s="4265">
        <f>Table4!E30</f>
        <v>0.12788811193341856</v>
      </c>
      <c r="F50" s="3807"/>
      <c r="G50" s="3807"/>
      <c r="H50" s="3807"/>
      <c r="I50" s="3807"/>
      <c r="J50" s="3807"/>
      <c r="K50" s="4266" t="str">
        <f>Table4!F30</f>
        <v>NO</v>
      </c>
      <c r="L50" s="4266" t="str">
        <f>Table4!G30</f>
        <v>NO</v>
      </c>
      <c r="M50" s="4266" t="str">
        <f>Table4!H30</f>
        <v>NO</v>
      </c>
      <c r="N50" s="4266" t="s">
        <v>2146</v>
      </c>
      <c r="O50" s="3798">
        <f t="shared" si="2"/>
        <v>34.297041193424086</v>
      </c>
    </row>
    <row r="51" spans="2:15" ht="18" customHeight="1" x14ac:dyDescent="0.25">
      <c r="B51" s="1377" t="s">
        <v>1500</v>
      </c>
      <c r="C51" s="3815">
        <f>Table5!C10</f>
        <v>30.362806605700698</v>
      </c>
      <c r="D51" s="3799">
        <f>Table5!D10</f>
        <v>559.54808988293303</v>
      </c>
      <c r="E51" s="3800">
        <f>Table5!E10</f>
        <v>1.343791983055437</v>
      </c>
      <c r="F51" s="3801"/>
      <c r="G51" s="3801"/>
      <c r="H51" s="3801"/>
      <c r="I51" s="3801"/>
      <c r="J51" s="3801"/>
      <c r="K51" s="4243" t="str">
        <f>Table5!F10</f>
        <v>NO</v>
      </c>
      <c r="L51" s="4243" t="str">
        <f>Table5!G10</f>
        <v>NO</v>
      </c>
      <c r="M51" s="4243">
        <f>Table5!H10</f>
        <v>225.05880321745462</v>
      </c>
      <c r="N51" s="4244" t="str">
        <f>Table5!I10</f>
        <v>NO</v>
      </c>
      <c r="O51" s="4267">
        <f t="shared" si="2"/>
        <v>16053.814198837517</v>
      </c>
    </row>
    <row r="52" spans="2:15" ht="18" customHeight="1" x14ac:dyDescent="0.25">
      <c r="B52" s="4245" t="s">
        <v>2050</v>
      </c>
      <c r="C52" s="4248"/>
      <c r="D52" s="4246">
        <f>Table5!D11</f>
        <v>464.08864476999997</v>
      </c>
      <c r="E52" s="3816"/>
      <c r="F52" s="3801"/>
      <c r="G52" s="3801"/>
      <c r="H52" s="3801"/>
      <c r="I52" s="3801"/>
      <c r="J52" s="3801"/>
      <c r="K52" s="4247" t="str">
        <f>Table5!F11</f>
        <v>NO</v>
      </c>
      <c r="L52" s="4247" t="str">
        <f>Table5!G11</f>
        <v>NO</v>
      </c>
      <c r="M52" s="4247">
        <f>Table5!H11</f>
        <v>2.9702730498697103</v>
      </c>
      <c r="N52" s="3803"/>
      <c r="O52" s="4267">
        <f t="shared" si="2"/>
        <v>12994.482053559999</v>
      </c>
    </row>
    <row r="53" spans="2:15" ht="18" customHeight="1" x14ac:dyDescent="0.25">
      <c r="B53" s="4245" t="s">
        <v>1501</v>
      </c>
      <c r="C53" s="4248"/>
      <c r="D53" s="4246">
        <f>Table5!D15</f>
        <v>3.4023967574999996</v>
      </c>
      <c r="E53" s="4246">
        <f>Table5!E15</f>
        <v>0.43550678496</v>
      </c>
      <c r="F53" s="3802"/>
      <c r="G53" s="3802"/>
      <c r="H53" s="3802"/>
      <c r="I53" s="3802"/>
      <c r="J53" s="3802"/>
      <c r="K53" s="4247" t="str">
        <f>Table5!F15</f>
        <v>NA,NE</v>
      </c>
      <c r="L53" s="4247" t="str">
        <f>Table5!G15</f>
        <v>NA,NE</v>
      </c>
      <c r="M53" s="4247" t="str">
        <f>Table5!H15</f>
        <v>NA,NE</v>
      </c>
      <c r="N53" s="3803"/>
      <c r="O53" s="3782">
        <f t="shared" si="2"/>
        <v>210.67640722440001</v>
      </c>
    </row>
    <row r="54" spans="2:15" ht="18" customHeight="1" x14ac:dyDescent="0.25">
      <c r="B54" s="4245" t="s">
        <v>2051</v>
      </c>
      <c r="C54" s="4268">
        <f>Table5!C18</f>
        <v>30.362806605700698</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30.362806605700698</v>
      </c>
    </row>
    <row r="55" spans="2:15" ht="18" customHeight="1" x14ac:dyDescent="0.25">
      <c r="B55" s="4245" t="s">
        <v>1502</v>
      </c>
      <c r="C55" s="3791"/>
      <c r="D55" s="4226">
        <f>Table5!D21</f>
        <v>92.057048355433096</v>
      </c>
      <c r="E55" s="4226">
        <f>Table5!E21</f>
        <v>0.90828519809543695</v>
      </c>
      <c r="F55" s="3802"/>
      <c r="G55" s="3802"/>
      <c r="H55" s="3802"/>
      <c r="I55" s="3802"/>
      <c r="J55" s="3802"/>
      <c r="K55" s="4247" t="str">
        <f>Table5!F21</f>
        <v>NO</v>
      </c>
      <c r="L55" s="4247" t="str">
        <f>Table5!G21</f>
        <v>NO</v>
      </c>
      <c r="M55" s="4247">
        <f>Table5!H21</f>
        <v>222.08853016758491</v>
      </c>
      <c r="N55" s="3803"/>
      <c r="O55" s="4270">
        <f t="shared" si="2"/>
        <v>2818.2929314474172</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12442.13430304</v>
      </c>
      <c r="D61" s="3820">
        <f>Table1!D52</f>
        <v>0.21737169390243902</v>
      </c>
      <c r="E61" s="3820">
        <f>Table1!E52</f>
        <v>0.1090583331049037</v>
      </c>
      <c r="F61" s="628"/>
      <c r="G61" s="628"/>
      <c r="H61" s="628"/>
      <c r="I61" s="628"/>
      <c r="J61" s="628"/>
      <c r="K61" s="3820">
        <f>Table1!F52</f>
        <v>109.07285995077535</v>
      </c>
      <c r="L61" s="3820">
        <f>Table1!G52</f>
        <v>17.764182225622594</v>
      </c>
      <c r="M61" s="3820">
        <f>Table1!H52</f>
        <v>9.6823598771044939</v>
      </c>
      <c r="N61" s="3821">
        <f>Table1!I52</f>
        <v>36.044240662989047</v>
      </c>
      <c r="O61" s="4267">
        <f t="shared" ref="O61:O67" si="4">IF(SUM(C61:J61)=0,"NO",SUM(C61,F61:H61)+28*SUM(D61)+265*SUM(E61)+23500*SUM(I61)+16100*SUM(J61))</f>
        <v>12477.121168742067</v>
      </c>
    </row>
    <row r="62" spans="2:15" ht="18" customHeight="1" x14ac:dyDescent="0.25">
      <c r="B62" s="1371" t="s">
        <v>111</v>
      </c>
      <c r="C62" s="4279">
        <f>Table1!C53</f>
        <v>10347.61730304</v>
      </c>
      <c r="D62" s="4233">
        <f>Table1!D53</f>
        <v>1.7661693902439025E-2</v>
      </c>
      <c r="E62" s="4233">
        <f>Table1!E53</f>
        <v>5.1998333104903711E-2</v>
      </c>
      <c r="F62" s="628"/>
      <c r="G62" s="628"/>
      <c r="H62" s="628"/>
      <c r="I62" s="628"/>
      <c r="J62" s="2135"/>
      <c r="K62" s="4233">
        <f>Table1!F53</f>
        <v>52.613459950775351</v>
      </c>
      <c r="L62" s="4233">
        <f>Table1!G53</f>
        <v>16.338692225622594</v>
      </c>
      <c r="M62" s="4233">
        <f>Table1!H53</f>
        <v>7.9092798771044937</v>
      </c>
      <c r="N62" s="4234">
        <f>Table1!I53</f>
        <v>1.2191158316800002</v>
      </c>
      <c r="O62" s="3782">
        <f t="shared" si="4"/>
        <v>10361.891388742068</v>
      </c>
    </row>
    <row r="63" spans="2:15" ht="18" customHeight="1" x14ac:dyDescent="0.25">
      <c r="B63" s="1380" t="s">
        <v>1503</v>
      </c>
      <c r="C63" s="4279">
        <f>Table1!C54</f>
        <v>2094.5169999999998</v>
      </c>
      <c r="D63" s="4219">
        <f>Table1!D54</f>
        <v>0.19971</v>
      </c>
      <c r="E63" s="4219">
        <f>Table1!E54</f>
        <v>5.706E-2</v>
      </c>
      <c r="F63" s="628"/>
      <c r="G63" s="628"/>
      <c r="H63" s="628"/>
      <c r="I63" s="628"/>
      <c r="J63" s="628"/>
      <c r="K63" s="4219">
        <f>Table1!F54</f>
        <v>56.459400000000002</v>
      </c>
      <c r="L63" s="4219">
        <f>Table1!G54</f>
        <v>1.4254899999999999</v>
      </c>
      <c r="M63" s="4219">
        <f>Table1!H54</f>
        <v>1.77308</v>
      </c>
      <c r="N63" s="4220">
        <f>Table1!I54</f>
        <v>34.825124831309047</v>
      </c>
      <c r="O63" s="3783">
        <f t="shared" si="4"/>
        <v>2115.2297799999997</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17225.562430001581</v>
      </c>
      <c r="D65" s="3823"/>
      <c r="E65" s="3823"/>
      <c r="F65" s="3824"/>
      <c r="G65" s="3824"/>
      <c r="H65" s="3824"/>
      <c r="I65" s="3824"/>
      <c r="J65" s="3823"/>
      <c r="K65" s="3823"/>
      <c r="L65" s="3823"/>
      <c r="M65" s="3823"/>
      <c r="N65" s="3825"/>
      <c r="O65" s="3812">
        <f t="shared" si="4"/>
        <v>17225.562430001581</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-278625.58622828347</v>
      </c>
      <c r="D67" s="3824"/>
      <c r="E67" s="3824"/>
      <c r="F67" s="3828"/>
      <c r="G67" s="3824"/>
      <c r="H67" s="3824"/>
      <c r="I67" s="3824"/>
      <c r="J67" s="3824"/>
      <c r="K67" s="3824"/>
      <c r="L67" s="3824"/>
      <c r="M67" s="3824"/>
      <c r="N67" s="3829"/>
      <c r="O67" s="3785">
        <f t="shared" si="4"/>
        <v>-278625.58622828347</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446668.42883700284</v>
      </c>
      <c r="D10" s="4213">
        <f>IFERROR(Summary1!D10*28,Summary1!D10)</f>
        <v>137371.79299436178</v>
      </c>
      <c r="E10" s="4213">
        <f>IFERROR(Summary1!E10*265,Summary1!E10)</f>
        <v>22168.008728909586</v>
      </c>
      <c r="F10" s="4213">
        <f>Summary1!F10</f>
        <v>6735.3322595752779</v>
      </c>
      <c r="G10" s="4213">
        <f>Summary1!G10</f>
        <v>254.72735698266911</v>
      </c>
      <c r="H10" s="4213" t="str">
        <f>Summary1!H10</f>
        <v>NO</v>
      </c>
      <c r="I10" s="4288">
        <f>IFERROR(Summary1!I10*23500,Summary1!I10)</f>
        <v>133.79449716413717</v>
      </c>
      <c r="J10" s="4289" t="str">
        <f>IFERROR(Summary1!J10*16100,Summary1!J10)</f>
        <v>NO</v>
      </c>
      <c r="K10" s="4214">
        <f>IF(SUM(C10:J10)=0,"NO",SUM(C10:J10))</f>
        <v>613332.08467399608</v>
      </c>
    </row>
    <row r="11" spans="2:12" ht="18" customHeight="1" x14ac:dyDescent="0.2">
      <c r="B11" s="1550" t="s">
        <v>1476</v>
      </c>
      <c r="C11" s="4253">
        <f>Summary1!C11</f>
        <v>379886.35301033495</v>
      </c>
      <c r="D11" s="4253">
        <f>IFERROR(Summary1!D11*28,Summary1!D11)</f>
        <v>39477.523798373193</v>
      </c>
      <c r="E11" s="4253">
        <f>IFERROR(Summary1!E11*265,Summary1!E11)</f>
        <v>3215.0699513385116</v>
      </c>
      <c r="F11" s="1929"/>
      <c r="G11" s="1929"/>
      <c r="H11" s="1930"/>
      <c r="I11" s="1930"/>
      <c r="J11" s="627"/>
      <c r="K11" s="4290">
        <f t="shared" ref="K11:K55" si="0">IF(SUM(C11:J11)=0,"NO",SUM(C11:J11))</f>
        <v>422578.94676004665</v>
      </c>
      <c r="L11" s="19"/>
    </row>
    <row r="12" spans="2:12" ht="18" customHeight="1" x14ac:dyDescent="0.2">
      <c r="B12" s="620" t="s">
        <v>131</v>
      </c>
      <c r="C12" s="4247">
        <f>Summary1!C12</f>
        <v>371696.57372116938</v>
      </c>
      <c r="D12" s="4247">
        <f>IFERROR(Summary1!D12*28,Summary1!D12)</f>
        <v>2367.5126902283605</v>
      </c>
      <c r="E12" s="4247">
        <f>IFERROR(Summary1!E12*265,Summary1!E12)</f>
        <v>3187.817934045815</v>
      </c>
      <c r="F12" s="628"/>
      <c r="G12" s="628"/>
      <c r="H12" s="628"/>
      <c r="I12" s="69"/>
      <c r="J12" s="69"/>
      <c r="K12" s="4291">
        <f t="shared" si="0"/>
        <v>377251.90434544353</v>
      </c>
      <c r="L12" s="19"/>
    </row>
    <row r="13" spans="2:12" ht="18" customHeight="1" x14ac:dyDescent="0.2">
      <c r="B13" s="1392" t="s">
        <v>1478</v>
      </c>
      <c r="C13" s="4247">
        <f>Summary1!C13</f>
        <v>225300.59314473628</v>
      </c>
      <c r="D13" s="4247">
        <f>IFERROR(Summary1!D13*28,Summary1!D13)</f>
        <v>652.94242746071313</v>
      </c>
      <c r="E13" s="4247">
        <f>IFERROR(Summary1!E13*265,Summary1!E13)</f>
        <v>1005.4897152928071</v>
      </c>
      <c r="F13" s="628"/>
      <c r="G13" s="628"/>
      <c r="H13" s="628"/>
      <c r="I13" s="69"/>
      <c r="J13" s="69"/>
      <c r="K13" s="4291">
        <f t="shared" si="0"/>
        <v>226959.02528748981</v>
      </c>
      <c r="L13" s="19"/>
    </row>
    <row r="14" spans="2:12" ht="18" customHeight="1" x14ac:dyDescent="0.2">
      <c r="B14" s="1392" t="s">
        <v>1517</v>
      </c>
      <c r="C14" s="4247">
        <f>Summary1!C14</f>
        <v>39306.733886702692</v>
      </c>
      <c r="D14" s="4247">
        <f>IFERROR(Summary1!D14*28,Summary1!D14)</f>
        <v>63.642773256914779</v>
      </c>
      <c r="E14" s="4247">
        <f>IFERROR(Summary1!E14*265,Summary1!E14)</f>
        <v>337.01900606683921</v>
      </c>
      <c r="F14" s="628"/>
      <c r="G14" s="628"/>
      <c r="H14" s="628"/>
      <c r="I14" s="69"/>
      <c r="J14" s="69"/>
      <c r="K14" s="4291">
        <f t="shared" si="0"/>
        <v>39707.395666026445</v>
      </c>
      <c r="L14" s="19"/>
    </row>
    <row r="15" spans="2:12" ht="18" customHeight="1" x14ac:dyDescent="0.2">
      <c r="B15" s="1392" t="s">
        <v>1480</v>
      </c>
      <c r="C15" s="4247">
        <f>Summary1!C15</f>
        <v>86489.532786197247</v>
      </c>
      <c r="D15" s="4247">
        <f>IFERROR(Summary1!D15*28,Summary1!D15)</f>
        <v>497.51727043346705</v>
      </c>
      <c r="E15" s="4247">
        <f>IFERROR(Summary1!E15*265,Summary1!E15)</f>
        <v>1665.7020870854221</v>
      </c>
      <c r="F15" s="628"/>
      <c r="G15" s="628"/>
      <c r="H15" s="628"/>
      <c r="I15" s="69"/>
      <c r="J15" s="69"/>
      <c r="K15" s="4291">
        <f t="shared" si="0"/>
        <v>88652.752143716134</v>
      </c>
      <c r="L15" s="19"/>
    </row>
    <row r="16" spans="2:12" ht="18" customHeight="1" x14ac:dyDescent="0.2">
      <c r="B16" s="1392" t="s">
        <v>1481</v>
      </c>
      <c r="C16" s="4247">
        <f>Summary1!C16</f>
        <v>19718.537468055074</v>
      </c>
      <c r="D16" s="4247">
        <f>IFERROR(Summary1!D16*28,Summary1!D16)</f>
        <v>1152.5405134221894</v>
      </c>
      <c r="E16" s="4247">
        <f>IFERROR(Summary1!E16*265,Summary1!E16)</f>
        <v>173.04849553898345</v>
      </c>
      <c r="F16" s="628"/>
      <c r="G16" s="628"/>
      <c r="H16" s="628"/>
      <c r="I16" s="69"/>
      <c r="J16" s="69"/>
      <c r="K16" s="4291">
        <f t="shared" si="0"/>
        <v>21044.126477016249</v>
      </c>
      <c r="L16" s="19"/>
    </row>
    <row r="17" spans="2:12" ht="18" customHeight="1" x14ac:dyDescent="0.2">
      <c r="B17" s="1392" t="s">
        <v>1482</v>
      </c>
      <c r="C17" s="4247">
        <f>Summary1!C17</f>
        <v>881.17643547805289</v>
      </c>
      <c r="D17" s="4247">
        <f>IFERROR(Summary1!D17*28,Summary1!D17)</f>
        <v>0.86970565507586239</v>
      </c>
      <c r="E17" s="4247">
        <f>IFERROR(Summary1!E17*265,Summary1!E17)</f>
        <v>6.5586300617630604</v>
      </c>
      <c r="F17" s="628"/>
      <c r="G17" s="628"/>
      <c r="H17" s="628"/>
      <c r="I17" s="69"/>
      <c r="J17" s="69"/>
      <c r="K17" s="4291">
        <f t="shared" si="0"/>
        <v>888.6047711948919</v>
      </c>
      <c r="L17" s="19"/>
    </row>
    <row r="18" spans="2:12" ht="18" customHeight="1" x14ac:dyDescent="0.2">
      <c r="B18" s="620" t="s">
        <v>99</v>
      </c>
      <c r="C18" s="4247">
        <f>Summary1!C18</f>
        <v>8189.7792891655736</v>
      </c>
      <c r="D18" s="4247">
        <f>IFERROR(Summary1!D18*28,Summary1!D18)</f>
        <v>37110.011108144827</v>
      </c>
      <c r="E18" s="4247">
        <f>IFERROR(Summary1!E18*265,Summary1!E18)</f>
        <v>27.252017292696511</v>
      </c>
      <c r="F18" s="628"/>
      <c r="G18" s="628"/>
      <c r="H18" s="628"/>
      <c r="I18" s="69"/>
      <c r="J18" s="69"/>
      <c r="K18" s="4291">
        <f t="shared" si="0"/>
        <v>45327.042414603093</v>
      </c>
      <c r="L18" s="19"/>
    </row>
    <row r="19" spans="2:12" ht="18" customHeight="1" x14ac:dyDescent="0.2">
      <c r="B19" s="1392" t="s">
        <v>1483</v>
      </c>
      <c r="C19" s="4247">
        <f>Summary1!C19</f>
        <v>1292.1040585003002</v>
      </c>
      <c r="D19" s="4247">
        <f>IFERROR(Summary1!D19*28,Summary1!D19)</f>
        <v>30854.699236819681</v>
      </c>
      <c r="E19" s="4247">
        <f>IFERROR(Summary1!E19*265,Summary1!E19)</f>
        <v>0.12186949966402397</v>
      </c>
      <c r="F19" s="628"/>
      <c r="G19" s="628"/>
      <c r="H19" s="628"/>
      <c r="I19" s="69"/>
      <c r="J19" s="69"/>
      <c r="K19" s="4291">
        <f t="shared" si="0"/>
        <v>32146.925164819644</v>
      </c>
      <c r="L19" s="19"/>
    </row>
    <row r="20" spans="2:12" ht="18" customHeight="1" x14ac:dyDescent="0.2">
      <c r="B20" s="1393" t="s">
        <v>1484</v>
      </c>
      <c r="C20" s="4247">
        <f>Summary1!C20</f>
        <v>6897.6752306652734</v>
      </c>
      <c r="D20" s="4247">
        <f>IFERROR(Summary1!D20*28,Summary1!D20)</f>
        <v>6255.3118713251515</v>
      </c>
      <c r="E20" s="4247">
        <f>IFERROR(Summary1!E20*265,Summary1!E20)</f>
        <v>27.130147793032489</v>
      </c>
      <c r="F20" s="628"/>
      <c r="G20" s="628"/>
      <c r="H20" s="628"/>
      <c r="I20" s="69"/>
      <c r="J20" s="69"/>
      <c r="K20" s="4291">
        <f t="shared" si="0"/>
        <v>13180.117249783456</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23406.315239742638</v>
      </c>
      <c r="D22" s="4253">
        <f>IFERROR(Summary1!D22*28,Summary1!D22)</f>
        <v>103.44540848731739</v>
      </c>
      <c r="E22" s="4253">
        <f>IFERROR(Summary1!E22*265,Summary1!E22)</f>
        <v>2805.3818973667157</v>
      </c>
      <c r="F22" s="4253">
        <f>Summary1!F22</f>
        <v>6735.3322595752779</v>
      </c>
      <c r="G22" s="4253">
        <f>Summary1!G22</f>
        <v>254.72735698266911</v>
      </c>
      <c r="H22" s="4253" t="str">
        <f>Summary1!H22</f>
        <v>NO</v>
      </c>
      <c r="I22" s="4253">
        <f>IFERROR(Summary1!I22*23500,Summary1!I22)</f>
        <v>133.79449716413717</v>
      </c>
      <c r="J22" s="4293" t="str">
        <f>IFERROR(Summary1!J22*16100,Summary1!J22)</f>
        <v>NO</v>
      </c>
      <c r="K22" s="4290">
        <f t="shared" si="0"/>
        <v>33438.996659318756</v>
      </c>
      <c r="L22" s="19"/>
    </row>
    <row r="23" spans="2:12" ht="18" customHeight="1" x14ac:dyDescent="0.2">
      <c r="B23" s="1394" t="s">
        <v>1487</v>
      </c>
      <c r="C23" s="4247">
        <f>Summary1!C23</f>
        <v>6303.975122199774</v>
      </c>
      <c r="D23" s="628"/>
      <c r="E23" s="628"/>
      <c r="F23" s="628"/>
      <c r="G23" s="628"/>
      <c r="H23" s="628"/>
      <c r="I23" s="69"/>
      <c r="J23" s="69"/>
      <c r="K23" s="4291">
        <f t="shared" si="0"/>
        <v>6303.975122199774</v>
      </c>
      <c r="L23" s="19"/>
    </row>
    <row r="24" spans="2:12" ht="18" customHeight="1" x14ac:dyDescent="0.2">
      <c r="B24" s="1394" t="s">
        <v>621</v>
      </c>
      <c r="C24" s="4247">
        <f>Summary1!C24</f>
        <v>3586.5679135756236</v>
      </c>
      <c r="D24" s="4247">
        <f>IFERROR(Summary1!D24*28,Summary1!D24)</f>
        <v>16.177380799999998</v>
      </c>
      <c r="E24" s="4247">
        <f>IFERROR(Summary1!E24*265,Summary1!E24)</f>
        <v>2786.5815411050421</v>
      </c>
      <c r="F24" s="1924" t="str">
        <f>Summary1!F24</f>
        <v>NO</v>
      </c>
      <c r="G24" s="1924" t="str">
        <f>Summary1!G24</f>
        <v>NO</v>
      </c>
      <c r="H24" s="1924" t="str">
        <f>Summary1!H24</f>
        <v>NO</v>
      </c>
      <c r="I24" s="616" t="str">
        <f>IFERROR(Summary1!I24*23500,Summary1!I24)</f>
        <v>NO</v>
      </c>
      <c r="J24" s="616" t="str">
        <f>IFERROR(Summary1!J24*16100,Summary1!J24)</f>
        <v>NO</v>
      </c>
      <c r="K24" s="4291">
        <f t="shared" si="0"/>
        <v>6389.326835480666</v>
      </c>
      <c r="L24" s="19"/>
    </row>
    <row r="25" spans="2:12" ht="18" customHeight="1" x14ac:dyDescent="0.2">
      <c r="B25" s="1394" t="s">
        <v>459</v>
      </c>
      <c r="C25" s="4247">
        <f>Summary1!C25</f>
        <v>13036.785223962206</v>
      </c>
      <c r="D25" s="4247">
        <f>IFERROR(Summary1!D25*28,Summary1!D25)</f>
        <v>87.268027687317399</v>
      </c>
      <c r="E25" s="4247">
        <f>IFERROR(Summary1!E25*265,Summary1!E25)</f>
        <v>18.800356261673855</v>
      </c>
      <c r="F25" s="1924" t="str">
        <f>Summary1!F25</f>
        <v>NO</v>
      </c>
      <c r="G25" s="4247">
        <f>Summary1!G25</f>
        <v>254.72735698266911</v>
      </c>
      <c r="H25" s="4247" t="str">
        <f>Summary1!H25</f>
        <v>NO</v>
      </c>
      <c r="I25" s="4247" t="str">
        <f>IFERROR(Summary1!I25*23500,Summary1!I25)</f>
        <v>NO</v>
      </c>
      <c r="J25" s="4247" t="str">
        <f>IFERROR(Summary1!J25*16100,Summary1!J25)</f>
        <v>NO</v>
      </c>
      <c r="K25" s="4291">
        <f t="shared" si="0"/>
        <v>13397.580964893867</v>
      </c>
      <c r="L25" s="19"/>
    </row>
    <row r="26" spans="2:12" ht="18" customHeight="1" x14ac:dyDescent="0.2">
      <c r="B26" s="1395" t="s">
        <v>1519</v>
      </c>
      <c r="C26" s="4247">
        <f>Summary1!C26</f>
        <v>247.53411099499993</v>
      </c>
      <c r="D26" s="4247" t="str">
        <f>IFERROR(Summary1!D26*28,Summary1!D26)</f>
        <v>NO</v>
      </c>
      <c r="E26" s="4247" t="str">
        <f>IFERROR(Summary1!E26*265,Summary1!E26)</f>
        <v>NO</v>
      </c>
      <c r="F26" s="628"/>
      <c r="G26" s="628"/>
      <c r="H26" s="628"/>
      <c r="I26" s="69"/>
      <c r="J26" s="69"/>
      <c r="K26" s="4291">
        <f t="shared" si="0"/>
        <v>247.53411099499993</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6735.3322595752779</v>
      </c>
      <c r="G28" s="4247" t="str">
        <f>Summary1!G28</f>
        <v>NO</v>
      </c>
      <c r="H28" s="4247" t="str">
        <f>Summary1!H28</f>
        <v>NO</v>
      </c>
      <c r="I28" s="4247" t="str">
        <f>IFERROR(Summary1!I28*23500,Summary1!I28)</f>
        <v>NO</v>
      </c>
      <c r="J28" s="4247" t="str">
        <f>IFERROR(Summary1!J28*16100,Summary1!J28)</f>
        <v>NO</v>
      </c>
      <c r="K28" s="4291">
        <f t="shared" si="0"/>
        <v>6735.3322595752779</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133.79449716413717</v>
      </c>
      <c r="J29" s="4247" t="str">
        <f>IFERROR(Summary1!J29*16100,Summary1!J29)</f>
        <v>NO</v>
      </c>
      <c r="K29" s="4291">
        <f t="shared" si="0"/>
        <v>133.79449716413717</v>
      </c>
      <c r="L29" s="19"/>
    </row>
    <row r="30" spans="2:12" ht="18" customHeight="1" thickBot="1" x14ac:dyDescent="0.25">
      <c r="B30" s="1407" t="s">
        <v>1523</v>
      </c>
      <c r="C30" s="4266">
        <f>Summary1!C30</f>
        <v>231.45286901003672</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231.45286901003672</v>
      </c>
      <c r="L30" s="19"/>
    </row>
    <row r="31" spans="2:12" ht="18" customHeight="1" x14ac:dyDescent="0.2">
      <c r="B31" s="772" t="s">
        <v>1491</v>
      </c>
      <c r="C31" s="4253">
        <f>Summary1!C31</f>
        <v>2189.1387733806687</v>
      </c>
      <c r="D31" s="4253">
        <f>IFERROR(Summary1!D31*28,Summary1!D31)</f>
        <v>62139.230589161678</v>
      </c>
      <c r="E31" s="4253">
        <f>IFERROR(Summary1!E31*265,Summary1!E31)</f>
        <v>10772.065687668601</v>
      </c>
      <c r="F31" s="1929"/>
      <c r="G31" s="1929"/>
      <c r="H31" s="1929"/>
      <c r="I31" s="4215"/>
      <c r="J31" s="627"/>
      <c r="K31" s="4290">
        <f t="shared" si="0"/>
        <v>75100.435050210945</v>
      </c>
      <c r="L31" s="19"/>
    </row>
    <row r="32" spans="2:12" ht="18" customHeight="1" x14ac:dyDescent="0.2">
      <c r="B32" s="620" t="s">
        <v>1492</v>
      </c>
      <c r="C32" s="628"/>
      <c r="D32" s="4247">
        <f>IFERROR(Summary1!D32*28,Summary1!D32)</f>
        <v>55261.450143362053</v>
      </c>
      <c r="E32" s="628"/>
      <c r="F32" s="628"/>
      <c r="G32" s="628"/>
      <c r="H32" s="628"/>
      <c r="I32" s="69"/>
      <c r="J32" s="69"/>
      <c r="K32" s="4291">
        <f t="shared" si="0"/>
        <v>55261.450143362053</v>
      </c>
      <c r="L32" s="19"/>
    </row>
    <row r="33" spans="2:12" ht="18" customHeight="1" x14ac:dyDescent="0.2">
      <c r="B33" s="620" t="s">
        <v>1493</v>
      </c>
      <c r="C33" s="628"/>
      <c r="D33" s="4247">
        <f>IFERROR(Summary1!D33*28,Summary1!D33)</f>
        <v>6601.8513900990611</v>
      </c>
      <c r="E33" s="4247">
        <f>IFERROR(Summary1!E33*265,Summary1!E33)</f>
        <v>406.43566851035609</v>
      </c>
      <c r="F33" s="628"/>
      <c r="G33" s="628"/>
      <c r="H33" s="628"/>
      <c r="I33" s="69"/>
      <c r="J33" s="69"/>
      <c r="K33" s="4291">
        <f t="shared" si="0"/>
        <v>7008.2870586094168</v>
      </c>
      <c r="L33" s="19"/>
    </row>
    <row r="34" spans="2:12" ht="18" customHeight="1" x14ac:dyDescent="0.2">
      <c r="B34" s="620" t="s">
        <v>1494</v>
      </c>
      <c r="C34" s="628"/>
      <c r="D34" s="4247">
        <f>IFERROR(Summary1!D34*28,Summary1!D34)</f>
        <v>84.227805200000006</v>
      </c>
      <c r="E34" s="628"/>
      <c r="F34" s="628"/>
      <c r="G34" s="628"/>
      <c r="H34" s="628"/>
      <c r="I34" s="69"/>
      <c r="J34" s="69"/>
      <c r="K34" s="4291">
        <f t="shared" si="0"/>
        <v>84.227805200000006</v>
      </c>
      <c r="L34" s="19"/>
    </row>
    <row r="35" spans="2:12" ht="18" customHeight="1" x14ac:dyDescent="0.2">
      <c r="B35" s="620" t="s">
        <v>1495</v>
      </c>
      <c r="C35" s="4294"/>
      <c r="D35" s="4247" t="str">
        <f>IFERROR(Summary1!D35*28,Summary1!D35)</f>
        <v>NE</v>
      </c>
      <c r="E35" s="4247">
        <f>IFERROR(Summary1!E35*265,Summary1!E35)</f>
        <v>10291.085851730119</v>
      </c>
      <c r="F35" s="628"/>
      <c r="G35" s="628"/>
      <c r="H35" s="628"/>
      <c r="I35" s="69"/>
      <c r="J35" s="69"/>
      <c r="K35" s="4291">
        <f t="shared" si="0"/>
        <v>10291.085851730119</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191.70125050056134</v>
      </c>
      <c r="E37" s="4247">
        <f>IFERROR(Summary1!E37*265,Summary1!E37)</f>
        <v>74.544167428125974</v>
      </c>
      <c r="F37" s="628"/>
      <c r="G37" s="628"/>
      <c r="H37" s="628"/>
      <c r="I37" s="69"/>
      <c r="J37" s="69"/>
      <c r="K37" s="4291">
        <f t="shared" si="0"/>
        <v>266.24541792868729</v>
      </c>
      <c r="L37" s="19"/>
    </row>
    <row r="38" spans="2:12" ht="18" customHeight="1" x14ac:dyDescent="0.2">
      <c r="B38" s="620" t="s">
        <v>721</v>
      </c>
      <c r="C38" s="1924">
        <f>Summary1!C38</f>
        <v>1252.8287349164823</v>
      </c>
      <c r="D38" s="4295"/>
      <c r="E38" s="4295"/>
      <c r="F38" s="628"/>
      <c r="G38" s="628"/>
      <c r="H38" s="628"/>
      <c r="I38" s="69"/>
      <c r="J38" s="69"/>
      <c r="K38" s="4291">
        <f t="shared" si="0"/>
        <v>1252.8287349164823</v>
      </c>
      <c r="L38" s="19"/>
    </row>
    <row r="39" spans="2:12" ht="18" customHeight="1" x14ac:dyDescent="0.2">
      <c r="B39" s="620" t="s">
        <v>722</v>
      </c>
      <c r="C39" s="1924">
        <f>Summary1!C39</f>
        <v>936.31003846418662</v>
      </c>
      <c r="D39" s="4295"/>
      <c r="E39" s="4295"/>
      <c r="F39" s="628"/>
      <c r="G39" s="628"/>
      <c r="H39" s="628"/>
      <c r="I39" s="69"/>
      <c r="J39" s="69"/>
      <c r="K39" s="4291">
        <f t="shared" si="0"/>
        <v>936.31003846418662</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41156.259006938919</v>
      </c>
      <c r="D42" s="1927">
        <f>IFERROR(Summary1!D42*28,Summary1!D42)</f>
        <v>19984.246681617478</v>
      </c>
      <c r="E42" s="1927">
        <f>IFERROR(Summary1!E42*265,Summary1!E42)</f>
        <v>5019.3863170260638</v>
      </c>
      <c r="F42" s="1929"/>
      <c r="G42" s="1929"/>
      <c r="H42" s="1929"/>
      <c r="I42" s="4215"/>
      <c r="J42" s="627"/>
      <c r="K42" s="4290">
        <f t="shared" si="0"/>
        <v>66159.892005582456</v>
      </c>
      <c r="L42" s="19"/>
    </row>
    <row r="43" spans="2:12" ht="18" customHeight="1" x14ac:dyDescent="0.2">
      <c r="B43" s="620" t="s">
        <v>981</v>
      </c>
      <c r="C43" s="1924">
        <f>Summary1!C43</f>
        <v>-27019.47421927566</v>
      </c>
      <c r="D43" s="1924">
        <f>IFERROR(Summary1!D43*28,Summary1!D43)</f>
        <v>8490.69321739521</v>
      </c>
      <c r="E43" s="1924">
        <f>IFERROR(Summary1!E43*265,Summary1!E43)</f>
        <v>1717.4629447784378</v>
      </c>
      <c r="F43" s="1931"/>
      <c r="G43" s="1931"/>
      <c r="H43" s="1931"/>
      <c r="I43" s="3352"/>
      <c r="J43" s="69"/>
      <c r="K43" s="4291">
        <f t="shared" si="0"/>
        <v>-16811.318057102013</v>
      </c>
      <c r="L43" s="19"/>
    </row>
    <row r="44" spans="2:12" ht="18" customHeight="1" x14ac:dyDescent="0.2">
      <c r="B44" s="620" t="s">
        <v>984</v>
      </c>
      <c r="C44" s="1924">
        <f>Summary1!C44</f>
        <v>5069.6846030701599</v>
      </c>
      <c r="D44" s="1924">
        <f>IFERROR(Summary1!D44*28,Summary1!D44)</f>
        <v>57.509423999999996</v>
      </c>
      <c r="E44" s="1924">
        <f>IFERROR(Summary1!E44*265,Summary1!E44)</f>
        <v>47.084964409953933</v>
      </c>
      <c r="F44" s="1931"/>
      <c r="G44" s="1931"/>
      <c r="H44" s="1931"/>
      <c r="I44" s="3352"/>
      <c r="J44" s="69"/>
      <c r="K44" s="4291">
        <f t="shared" si="0"/>
        <v>5174.2789914801133</v>
      </c>
      <c r="L44" s="19"/>
    </row>
    <row r="45" spans="2:12" ht="18" customHeight="1" x14ac:dyDescent="0.2">
      <c r="B45" s="620" t="s">
        <v>987</v>
      </c>
      <c r="C45" s="1924">
        <f>Summary1!C45</f>
        <v>61752.143609332081</v>
      </c>
      <c r="D45" s="1924">
        <f>IFERROR(Summary1!D45*28,Summary1!D45)</f>
        <v>8801.7079231757089</v>
      </c>
      <c r="E45" s="1924">
        <f>IFERROR(Summary1!E45*265,Summary1!E45)</f>
        <v>3094.2887827538252</v>
      </c>
      <c r="F45" s="1931"/>
      <c r="G45" s="1931"/>
      <c r="H45" s="1931"/>
      <c r="I45" s="3352"/>
      <c r="J45" s="69"/>
      <c r="K45" s="4291">
        <f t="shared" si="0"/>
        <v>73648.140315261611</v>
      </c>
      <c r="L45" s="19"/>
    </row>
    <row r="46" spans="2:12" ht="18" customHeight="1" x14ac:dyDescent="0.2">
      <c r="B46" s="620" t="s">
        <v>1525</v>
      </c>
      <c r="C46" s="1924">
        <f>Summary1!C46</f>
        <v>1008.7166343037356</v>
      </c>
      <c r="D46" s="1924">
        <f>IFERROR(Summary1!D46*28,Summary1!D46)</f>
        <v>2555.2391634465607</v>
      </c>
      <c r="E46" s="1924">
        <f>IFERROR(Summary1!E46*265,Summary1!E46)</f>
        <v>100.68111157223103</v>
      </c>
      <c r="F46" s="1931"/>
      <c r="G46" s="1931"/>
      <c r="H46" s="1931"/>
      <c r="I46" s="3352"/>
      <c r="J46" s="69"/>
      <c r="K46" s="4291">
        <f t="shared" si="0"/>
        <v>3664.6369093225276</v>
      </c>
      <c r="L46" s="19"/>
    </row>
    <row r="47" spans="2:12" ht="18" customHeight="1" x14ac:dyDescent="0.2">
      <c r="B47" s="620" t="s">
        <v>1526</v>
      </c>
      <c r="C47" s="1924">
        <f>Summary1!C47</f>
        <v>4573.2206086710739</v>
      </c>
      <c r="D47" s="1924">
        <f>IFERROR(Summary1!D47*28,Summary1!D47)</f>
        <v>79.096953600000006</v>
      </c>
      <c r="E47" s="1924">
        <f>IFERROR(Summary1!E47*265,Summary1!E47)</f>
        <v>25.978163849260394</v>
      </c>
      <c r="F47" s="1931"/>
      <c r="G47" s="1931"/>
      <c r="H47" s="1931"/>
      <c r="I47" s="3352"/>
      <c r="J47" s="69"/>
      <c r="K47" s="4291">
        <f t="shared" si="0"/>
        <v>4678.2957261203346</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-4228.4389206935439</v>
      </c>
      <c r="D49" s="3835"/>
      <c r="E49" s="3835"/>
      <c r="F49" s="1931"/>
      <c r="G49" s="1931"/>
      <c r="H49" s="1931"/>
      <c r="I49" s="3352"/>
      <c r="J49" s="69"/>
      <c r="K49" s="4291">
        <f t="shared" si="0"/>
        <v>-4228.4389206935439</v>
      </c>
      <c r="L49" s="19"/>
    </row>
    <row r="50" spans="2:12" ht="18" customHeight="1" thickBot="1" x14ac:dyDescent="0.25">
      <c r="B50" s="1552" t="s">
        <v>1529</v>
      </c>
      <c r="C50" s="1926">
        <f>Summary1!C50</f>
        <v>0.40669153106816663</v>
      </c>
      <c r="D50" s="1926" t="str">
        <f>IFERROR(Summary1!D50*28,Summary1!D50)</f>
        <v>NO</v>
      </c>
      <c r="E50" s="1926">
        <f>IFERROR(Summary1!E50*265,Summary1!E50)</f>
        <v>33.890349662355916</v>
      </c>
      <c r="F50" s="3024"/>
      <c r="G50" s="3024"/>
      <c r="H50" s="3024"/>
      <c r="I50" s="3828"/>
      <c r="J50" s="87"/>
      <c r="K50" s="4292">
        <f t="shared" si="0"/>
        <v>34.297041193424086</v>
      </c>
      <c r="L50" s="19"/>
    </row>
    <row r="51" spans="2:12" ht="18" customHeight="1" x14ac:dyDescent="0.2">
      <c r="B51" s="1550" t="s">
        <v>1500</v>
      </c>
      <c r="C51" s="1927">
        <f>Summary1!C51</f>
        <v>30.362806605700698</v>
      </c>
      <c r="D51" s="1927">
        <f>IFERROR(Summary1!D51*28,Summary1!D51)</f>
        <v>15667.346516722126</v>
      </c>
      <c r="E51" s="1927">
        <f>IFERROR(Summary1!E51*265,Summary1!E51)</f>
        <v>356.10487550969083</v>
      </c>
      <c r="F51" s="1929"/>
      <c r="G51" s="1929"/>
      <c r="H51" s="1929"/>
      <c r="I51" s="4215"/>
      <c r="J51" s="627"/>
      <c r="K51" s="4290">
        <f t="shared" si="0"/>
        <v>16053.814198837517</v>
      </c>
      <c r="L51" s="19"/>
    </row>
    <row r="52" spans="2:12" ht="18" customHeight="1" x14ac:dyDescent="0.2">
      <c r="B52" s="620" t="s">
        <v>1530</v>
      </c>
      <c r="C52" s="628"/>
      <c r="D52" s="1924">
        <f>IFERROR(Summary1!D52*28,Summary1!D52)</f>
        <v>12994.482053559999</v>
      </c>
      <c r="E52" s="1931"/>
      <c r="F52" s="628"/>
      <c r="G52" s="628"/>
      <c r="H52" s="628"/>
      <c r="I52" s="69"/>
      <c r="J52" s="69"/>
      <c r="K52" s="4291">
        <f t="shared" si="0"/>
        <v>12994.482053559999</v>
      </c>
      <c r="L52" s="19"/>
    </row>
    <row r="53" spans="2:12" ht="18" customHeight="1" x14ac:dyDescent="0.2">
      <c r="B53" s="1396" t="s">
        <v>1531</v>
      </c>
      <c r="C53" s="628"/>
      <c r="D53" s="1924">
        <f>IFERROR(Summary1!D53*28,Summary1!D53)</f>
        <v>95.267109209999987</v>
      </c>
      <c r="E53" s="1924">
        <f>IFERROR(Summary1!E53*265,Summary1!E53)</f>
        <v>115.40929801440001</v>
      </c>
      <c r="F53" s="628"/>
      <c r="G53" s="628"/>
      <c r="H53" s="628"/>
      <c r="I53" s="69"/>
      <c r="J53" s="69"/>
      <c r="K53" s="4291">
        <f t="shared" si="0"/>
        <v>210.67640722440001</v>
      </c>
      <c r="L53" s="19"/>
    </row>
    <row r="54" spans="2:12" ht="18" customHeight="1" x14ac:dyDescent="0.2">
      <c r="B54" s="1397" t="s">
        <v>1532</v>
      </c>
      <c r="C54" s="1924">
        <f>Summary1!C54</f>
        <v>30.362806605700698</v>
      </c>
      <c r="D54" s="1924" t="str">
        <f>IFERROR(Summary1!D54*28,Summary1!D54)</f>
        <v>NO,NE</v>
      </c>
      <c r="E54" s="1924" t="str">
        <f>IFERROR(Summary1!E54*265,Summary1!E54)</f>
        <v>NO,NE</v>
      </c>
      <c r="F54" s="628"/>
      <c r="G54" s="628"/>
      <c r="H54" s="628"/>
      <c r="I54" s="69"/>
      <c r="J54" s="69"/>
      <c r="K54" s="4291">
        <f t="shared" si="0"/>
        <v>30.362806605700698</v>
      </c>
      <c r="L54" s="19"/>
    </row>
    <row r="55" spans="2:12" ht="18" customHeight="1" x14ac:dyDescent="0.2">
      <c r="B55" s="620" t="s">
        <v>1533</v>
      </c>
      <c r="C55" s="628"/>
      <c r="D55" s="1924">
        <f>IFERROR(Summary1!D55*28,Summary1!D55)</f>
        <v>2577.5973539521265</v>
      </c>
      <c r="E55" s="1924">
        <f>IFERROR(Summary1!E55*265,Summary1!E55)</f>
        <v>240.69557749529079</v>
      </c>
      <c r="F55" s="628"/>
      <c r="G55" s="628"/>
      <c r="H55" s="628"/>
      <c r="I55" s="69"/>
      <c r="J55" s="69"/>
      <c r="K55" s="4291">
        <f t="shared" si="0"/>
        <v>2818.2929314474172</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12442.13430304</v>
      </c>
      <c r="D60" s="4219">
        <f>IFERROR(Summary1!D61*28,Summary1!D61)</f>
        <v>6.0864074292682924</v>
      </c>
      <c r="E60" s="4219">
        <f>IFERROR(Summary1!E61*265,Summary1!E61)</f>
        <v>28.900458272799483</v>
      </c>
      <c r="F60" s="1931"/>
      <c r="G60" s="1931"/>
      <c r="H60" s="1932"/>
      <c r="I60" s="630"/>
      <c r="J60" s="630"/>
      <c r="K60" s="4220">
        <f t="shared" ref="K60:K66" si="2">IF(SUM(C60:J60)=0,"NO",SUM(C60:J60))</f>
        <v>12477.121168742067</v>
      </c>
    </row>
    <row r="61" spans="2:12" ht="18" customHeight="1" x14ac:dyDescent="0.2">
      <c r="B61" s="1386" t="s">
        <v>111</v>
      </c>
      <c r="C61" s="4219">
        <f>Summary1!C62</f>
        <v>10347.61730304</v>
      </c>
      <c r="D61" s="4219">
        <f>IFERROR(Summary1!D62*28,Summary1!D62)</f>
        <v>0.49452742926829274</v>
      </c>
      <c r="E61" s="4219">
        <f>IFERROR(Summary1!E62*265,Summary1!E62)</f>
        <v>13.779558272799484</v>
      </c>
      <c r="F61" s="628"/>
      <c r="G61" s="628"/>
      <c r="H61" s="628"/>
      <c r="I61" s="631"/>
      <c r="J61" s="631"/>
      <c r="K61" s="4234">
        <f t="shared" si="2"/>
        <v>10361.891388742068</v>
      </c>
    </row>
    <row r="62" spans="2:12" ht="18" customHeight="1" x14ac:dyDescent="0.2">
      <c r="B62" s="1387" t="s">
        <v>1503</v>
      </c>
      <c r="C62" s="4219">
        <f>Summary1!C63</f>
        <v>2094.5169999999998</v>
      </c>
      <c r="D62" s="4219">
        <f>IFERROR(Summary1!D63*28,Summary1!D63)</f>
        <v>5.5918799999999997</v>
      </c>
      <c r="E62" s="4219">
        <f>IFERROR(Summary1!E63*265,Summary1!E63)</f>
        <v>15.120900000000001</v>
      </c>
      <c r="F62" s="628"/>
      <c r="G62" s="628"/>
      <c r="H62" s="628"/>
      <c r="I62" s="632"/>
      <c r="J62" s="632"/>
      <c r="K62" s="4220">
        <f t="shared" si="2"/>
        <v>2115.2297799999997</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17225.562430001581</v>
      </c>
      <c r="D64" s="1931"/>
      <c r="E64" s="1931"/>
      <c r="F64" s="1931"/>
      <c r="G64" s="1931"/>
      <c r="H64" s="1931"/>
      <c r="I64" s="3352"/>
      <c r="J64" s="3352"/>
      <c r="K64" s="3821">
        <f t="shared" si="2"/>
        <v>17225.562430001581</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-278625.58622828347</v>
      </c>
      <c r="D66" s="4301"/>
      <c r="E66" s="4301"/>
      <c r="F66" s="4301"/>
      <c r="G66" s="4301"/>
      <c r="H66" s="4301"/>
      <c r="I66" s="3824"/>
      <c r="J66" s="3824"/>
      <c r="K66" s="4302">
        <f t="shared" si="2"/>
        <v>-278625.58622828347</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547172.19266841363</v>
      </c>
      <c r="N71" s="1126"/>
    </row>
    <row r="72" spans="2:14" s="634" customFormat="1" ht="18" customHeight="1" x14ac:dyDescent="0.25">
      <c r="B72" s="637"/>
      <c r="C72" s="638"/>
      <c r="D72" s="638"/>
      <c r="E72" s="638"/>
      <c r="F72" s="638"/>
      <c r="G72" s="638"/>
      <c r="H72" s="638"/>
      <c r="I72" s="638"/>
      <c r="J72" s="2553" t="s">
        <v>2122</v>
      </c>
      <c r="K72" s="3821">
        <f>K10</f>
        <v>613332.08467399608</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736860.9724908534</v>
      </c>
      <c r="D10" s="3076" t="s">
        <v>1814</v>
      </c>
      <c r="E10" s="628"/>
      <c r="F10" s="628"/>
      <c r="G10" s="628"/>
      <c r="H10" s="1913">
        <f>IF(SUM(H11:H15)=0,"NO",SUM(H11:H15))</f>
        <v>39306.733886702692</v>
      </c>
      <c r="I10" s="1913">
        <f t="shared" ref="I10:K10" si="0">IF(SUM(I11:I16)=0,"NO",SUM(I11:I16))</f>
        <v>2.2729561877469564</v>
      </c>
      <c r="J10" s="1847">
        <f t="shared" si="0"/>
        <v>1.2717698342144876</v>
      </c>
      <c r="K10" s="3065" t="str">
        <f t="shared" si="0"/>
        <v>NO</v>
      </c>
    </row>
    <row r="11" spans="2:11" ht="18" customHeight="1" x14ac:dyDescent="0.2">
      <c r="B11" s="282" t="s">
        <v>132</v>
      </c>
      <c r="C11" s="1913">
        <f>IF(SUM(C18,C25,C32,C39,C46,C53,C62,C69,C76,C83,C90,C97,C114,C104:C107)=0,"NO",SUM(C18,C25,C32,C39,C46,C53,C62,C69,C76,C83,C90,C97,C114,C104:C107))</f>
        <v>188064.12818664624</v>
      </c>
      <c r="D11" s="3077" t="s">
        <v>1814</v>
      </c>
      <c r="E11" s="1913">
        <f>IFERROR(H11*1000/$C11,"NA")</f>
        <v>69.311021612388188</v>
      </c>
      <c r="F11" s="1913">
        <f t="shared" ref="F11:G16" si="1">IFERROR(I11*1000000/$C11,"NA")</f>
        <v>4.6163871170080686</v>
      </c>
      <c r="G11" s="1913">
        <f t="shared" si="1"/>
        <v>2.0730501373701</v>
      </c>
      <c r="H11" s="1913">
        <f>IF(SUM(H18,H25,H32,H39,H46,H53,H62,H69,H76,H83,H90,H97,H114,H104:H107)=0,"NO",SUM(H18,H25,H32,H39,H46,H53,H62,H69,H76,H83,H90,H97,H114,H104:H107))</f>
        <v>13034.91685325958</v>
      </c>
      <c r="I11" s="1913">
        <f>IF(SUM(I18,I25,I32,I39,I46,I53,I62,I69,I76,I83,I90,I97,I114,I104:I107)=0,"NO",SUM(I18,I25,I32,I39,I46,I53,I62,I69,I76,I83,I90,I97,I114,I104:I107))</f>
        <v>0.86817681853218776</v>
      </c>
      <c r="J11" s="1913">
        <f>IF(SUM(J18,J25,J32,J39,J46,J53,J62,J69,J76,J83,J90,J97,J114,J104:J107)=0,"NO",SUM(J18,J25,J32,J39,J46,J53,J62,J69,J76,J83,J90,J97,J114,J104:J107))</f>
        <v>0.3898663667717151</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119875.6419850563</v>
      </c>
      <c r="D12" s="3077" t="s">
        <v>1814</v>
      </c>
      <c r="E12" s="1913">
        <f t="shared" ref="E12:E16" si="2">IFERROR(H12*1000/$C12,"NA")</f>
        <v>81.78930350384806</v>
      </c>
      <c r="F12" s="1913">
        <f t="shared" si="1"/>
        <v>0.95293919849985265</v>
      </c>
      <c r="G12" s="1913">
        <f t="shared" si="1"/>
        <v>0.7060477391459492</v>
      </c>
      <c r="H12" s="1913">
        <f>IF(SUM(H19,H26,H33,H40,H47,H54,H63,H70,H77,H84,H91,H98,H115)=0,"NO",SUM(H19,H26,H33,H40,H47,H54,H63,H70,H77,H84,H91,H98,H115))</f>
        <v>9804.5452650343996</v>
      </c>
      <c r="I12" s="1913">
        <f>IF(SUM(I19,I26,I33,I40,I47,I54,I63,I70,I77,I84,I91,I98,I115)=0,"NO",SUM(I19,I26,I33,I40,I47,I54,I63,I70,I77,I84,I91,I98,I115))</f>
        <v>0.11423419819289483</v>
      </c>
      <c r="J12" s="1913">
        <f>IF(SUM(J19,J26,J33,J40,J47,J54,J63,J70,J77,J84,J91,J98,J115)=0,"NO",SUM(J19,J26,J33,J40,J47,J54,J63,J70,J77,J84,J91,J98,J115))</f>
        <v>8.4637926002218228E-2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320284.17524402234</v>
      </c>
      <c r="D13" s="3077" t="s">
        <v>1814</v>
      </c>
      <c r="E13" s="1913">
        <f t="shared" si="2"/>
        <v>51.414565692677165</v>
      </c>
      <c r="F13" s="1913">
        <f t="shared" si="1"/>
        <v>0.96242075270052474</v>
      </c>
      <c r="G13" s="1913">
        <f t="shared" si="1"/>
        <v>0.53086134883733382</v>
      </c>
      <c r="H13" s="1913">
        <f t="shared" ref="H13:K14" si="3">IF(SUM(H20,H27,H34,H41,H48,H55,H64,H71,H78,H85,H92,H99,H116,H109)=0,"NO",SUM(H20,H27,H34,H41,H48,H55,H64,H71,H78,H85,H92,H99,H116,H109))</f>
        <v>16467.271768408711</v>
      </c>
      <c r="I13" s="1913">
        <f t="shared" si="3"/>
        <v>0.30824813701641873</v>
      </c>
      <c r="J13" s="1913">
        <f t="shared" si="3"/>
        <v>0.17002648928129468</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108637.02707512851</v>
      </c>
      <c r="D16" s="3092" t="s">
        <v>1814</v>
      </c>
      <c r="E16" s="1913">
        <f t="shared" si="2"/>
        <v>94.290170097885749</v>
      </c>
      <c r="F16" s="1913">
        <f t="shared" si="1"/>
        <v>9.0420095289071405</v>
      </c>
      <c r="G16" s="1913">
        <f t="shared" si="1"/>
        <v>5.7737133374009693</v>
      </c>
      <c r="H16" s="1913">
        <f>IF(SUM(H23,H30,H37,H44,H51,H58,H67,H74,H81,H88,H95,H102,H119,H111)=0,"NO",SUM(H23,H30,H37,H44,H51,H58,H67,H74,H81,H88,H95,H102,H119,H111))</f>
        <v>10243.403761842488</v>
      </c>
      <c r="I16" s="1913">
        <f>IF(SUM(I23,I30,I37,I44,I51,I58,I67,I74,I81,I88,I95,I102,I119,I111)=0,"NO",SUM(I23,I30,I37,I44,I51,I58,I67,I74,I81,I88,I95,I102,I119,I111))</f>
        <v>0.98229703400545498</v>
      </c>
      <c r="J16" s="1913">
        <f>IF(SUM(J23,J30,J37,J44,J51,J58,J67,J74,J81,J88,J95,J102,J119,J111)=0,"NO",SUM(J23,J30,J37,J44,J51,J58,J67,J74,J81,J88,J95,J102,J119,J111))</f>
        <v>0.62723905215925968</v>
      </c>
      <c r="K16" s="3065" t="str">
        <f>IF(SUM(K23,K30,K37,K44,K51,K58,K67,K74,K81,K88,K95,K102,K119,K111)=0,"NO",SUM(K23,K30,K37,K44,K51,K58,K67,K74,K81,K88,K95,K102,K119,K111))</f>
        <v>NO</v>
      </c>
    </row>
    <row r="17" spans="2:11" ht="18" customHeight="1" x14ac:dyDescent="0.2">
      <c r="B17" s="1241" t="s">
        <v>151</v>
      </c>
      <c r="C17" s="1913">
        <f>IF(SUM(C18:C23)=0,"NO",SUM(C18:C23))</f>
        <v>37963.90427291923</v>
      </c>
      <c r="D17" s="3076" t="s">
        <v>1814</v>
      </c>
      <c r="E17" s="628"/>
      <c r="F17" s="628"/>
      <c r="G17" s="628"/>
      <c r="H17" s="1913">
        <f>IF(SUM(H18:H22)=0,"NO",SUM(H18:H22))</f>
        <v>1732.5027997461846</v>
      </c>
      <c r="I17" s="1913">
        <f t="shared" ref="I17:K17" si="4">IF(SUM(I18:I23)=0,"NO",SUM(I18:I23))</f>
        <v>3.9420812888970883E-2</v>
      </c>
      <c r="J17" s="1913">
        <f t="shared" si="4"/>
        <v>2.1970355390692059E-2</v>
      </c>
      <c r="K17" s="3065" t="str">
        <f t="shared" si="4"/>
        <v>NO</v>
      </c>
    </row>
    <row r="18" spans="2:11" ht="18" customHeight="1" x14ac:dyDescent="0.2">
      <c r="B18" s="282" t="s">
        <v>132</v>
      </c>
      <c r="C18" s="691">
        <v>942.36904760000004</v>
      </c>
      <c r="D18" s="3077" t="s">
        <v>1814</v>
      </c>
      <c r="E18" s="1913">
        <f>IFERROR(H18*1000/$C18,"NA")</f>
        <v>72.099430291087813</v>
      </c>
      <c r="F18" s="1913">
        <f t="shared" ref="F18:G23" si="5">IFERROR(I18*1000000/$C18,"NA")</f>
        <v>4.3211852223953828</v>
      </c>
      <c r="G18" s="1913">
        <f t="shared" si="5"/>
        <v>1.1604950941923844</v>
      </c>
      <c r="H18" s="691">
        <v>67.944271455915015</v>
      </c>
      <c r="I18" s="691">
        <v>4.0721512025319317E-3</v>
      </c>
      <c r="J18" s="691">
        <v>1.0936146566585497E-3</v>
      </c>
      <c r="K18" s="3093" t="s">
        <v>2146</v>
      </c>
    </row>
    <row r="19" spans="2:11" ht="18" customHeight="1" x14ac:dyDescent="0.2">
      <c r="B19" s="282" t="s">
        <v>133</v>
      </c>
      <c r="C19" s="691">
        <v>20717.30496891923</v>
      </c>
      <c r="D19" s="3077" t="s">
        <v>1814</v>
      </c>
      <c r="E19" s="1913">
        <f t="shared" ref="E19:E23" si="6">IFERROR(H19*1000/$C19,"NA")</f>
        <v>39.885823711305164</v>
      </c>
      <c r="F19" s="1913">
        <f t="shared" si="5"/>
        <v>0.95495631373595224</v>
      </c>
      <c r="G19" s="1913">
        <f t="shared" si="5"/>
        <v>0.56918441795356234</v>
      </c>
      <c r="H19" s="691">
        <v>826.32677376365893</v>
      </c>
      <c r="I19" s="691">
        <v>1.9784121183662635E-2</v>
      </c>
      <c r="J19" s="691">
        <v>1.1791967170300737E-2</v>
      </c>
      <c r="K19" s="3093" t="s">
        <v>2146</v>
      </c>
    </row>
    <row r="20" spans="2:11" ht="18" customHeight="1" x14ac:dyDescent="0.2">
      <c r="B20" s="282" t="s">
        <v>134</v>
      </c>
      <c r="C20" s="691">
        <v>16304.2302564</v>
      </c>
      <c r="D20" s="3077" t="s">
        <v>1814</v>
      </c>
      <c r="E20" s="1913">
        <f t="shared" si="6"/>
        <v>51.411918339265007</v>
      </c>
      <c r="F20" s="1913">
        <f t="shared" si="5"/>
        <v>0.95463203463203472</v>
      </c>
      <c r="G20" s="1913">
        <f t="shared" si="5"/>
        <v>0.55720346320346326</v>
      </c>
      <c r="H20" s="691">
        <v>838.23175452661064</v>
      </c>
      <c r="I20" s="691">
        <v>1.5564540502776314E-2</v>
      </c>
      <c r="J20" s="691">
        <v>9.0847735637327696E-3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202113.59230335918</v>
      </c>
      <c r="D24" s="3077" t="s">
        <v>1814</v>
      </c>
      <c r="E24" s="628"/>
      <c r="F24" s="628"/>
      <c r="G24" s="628"/>
      <c r="H24" s="1913">
        <f>IF(SUM(H25:H29)=0,"NO",SUM(H25:H29))</f>
        <v>12815.707590539963</v>
      </c>
      <c r="I24" s="1913">
        <f t="shared" ref="I24:K24" si="7">IF(SUM(I25:I30)=0,"NO",SUM(I25:I30))</f>
        <v>0.23817940725615142</v>
      </c>
      <c r="J24" s="1913">
        <f t="shared" si="7"/>
        <v>0.13952267884818512</v>
      </c>
      <c r="K24" s="3065" t="str">
        <f t="shared" si="7"/>
        <v>NO</v>
      </c>
    </row>
    <row r="25" spans="2:11" ht="18" customHeight="1" x14ac:dyDescent="0.2">
      <c r="B25" s="282" t="s">
        <v>132</v>
      </c>
      <c r="C25" s="691">
        <v>32328.442726700003</v>
      </c>
      <c r="D25" s="3077" t="s">
        <v>1814</v>
      </c>
      <c r="E25" s="1913">
        <f>IFERROR(H25*1000/$C25,"NA")</f>
        <v>73.143748564612295</v>
      </c>
      <c r="F25" s="1913">
        <f t="shared" ref="F25:G30" si="8">IFERROR(I25*1000000/$C25,"NA")</f>
        <v>1.9196901869289671</v>
      </c>
      <c r="G25" s="1913">
        <f t="shared" si="8"/>
        <v>0.85462033907145718</v>
      </c>
      <c r="H25" s="691">
        <v>2364.6234862872143</v>
      </c>
      <c r="I25" s="691">
        <v>6.206059426114114E-2</v>
      </c>
      <c r="J25" s="691">
        <v>2.762854468474454E-2</v>
      </c>
      <c r="K25" s="3093" t="s">
        <v>2146</v>
      </c>
    </row>
    <row r="26" spans="2:11" ht="18" customHeight="1" x14ac:dyDescent="0.2">
      <c r="B26" s="282" t="s">
        <v>133</v>
      </c>
      <c r="C26" s="691">
        <v>45747.832190000001</v>
      </c>
      <c r="D26" s="3077" t="s">
        <v>1814</v>
      </c>
      <c r="E26" s="1913">
        <f t="shared" ref="E26:E30" si="9">IFERROR(H26*1000/$C26,"NA")</f>
        <v>90.947317509604915</v>
      </c>
      <c r="F26" s="1913">
        <f t="shared" si="8"/>
        <v>0.95238095238095244</v>
      </c>
      <c r="G26" s="1913">
        <f t="shared" si="8"/>
        <v>0.70609523809523822</v>
      </c>
      <c r="H26" s="691">
        <v>4160.6426195600543</v>
      </c>
      <c r="I26" s="691">
        <v>4.3569363990476194E-2</v>
      </c>
      <c r="J26" s="691">
        <v>3.2302326462539055E-2</v>
      </c>
      <c r="K26" s="3093" t="s">
        <v>2146</v>
      </c>
    </row>
    <row r="27" spans="2:11" ht="18" customHeight="1" x14ac:dyDescent="0.2">
      <c r="B27" s="282" t="s">
        <v>134</v>
      </c>
      <c r="C27" s="691">
        <v>122353.75935950001</v>
      </c>
      <c r="D27" s="3077" t="s">
        <v>1814</v>
      </c>
      <c r="E27" s="1913">
        <f t="shared" si="9"/>
        <v>51.411918339264993</v>
      </c>
      <c r="F27" s="1913">
        <f t="shared" si="8"/>
        <v>0.95727272727272728</v>
      </c>
      <c r="G27" s="1913">
        <f t="shared" si="8"/>
        <v>0.57027272727272715</v>
      </c>
      <c r="H27" s="691">
        <v>6290.4414846926948</v>
      </c>
      <c r="I27" s="691">
        <v>0.11712591691413955</v>
      </c>
      <c r="J27" s="691">
        <v>6.9775012042013043E-2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1683.5580271591969</v>
      </c>
      <c r="D30" s="3077" t="s">
        <v>1814</v>
      </c>
      <c r="E30" s="1913">
        <f t="shared" si="9"/>
        <v>93.980132620809798</v>
      </c>
      <c r="F30" s="1913">
        <f t="shared" si="8"/>
        <v>9.1612714510469786</v>
      </c>
      <c r="G30" s="1913">
        <f t="shared" si="8"/>
        <v>5.830981469318953</v>
      </c>
      <c r="H30" s="691">
        <v>158.22100666725021</v>
      </c>
      <c r="I30" s="691">
        <v>1.5423532090394524E-2</v>
      </c>
      <c r="J30" s="691">
        <v>9.8167956588884522E-3</v>
      </c>
      <c r="K30" s="3093" t="s">
        <v>2146</v>
      </c>
    </row>
    <row r="31" spans="2:11" ht="18" customHeight="1" x14ac:dyDescent="0.2">
      <c r="B31" s="1241" t="s">
        <v>153</v>
      </c>
      <c r="C31" s="1913">
        <f>IF(SUM(C32:C37)=0,"NO",SUM(C32:C37))</f>
        <v>117079.63425053566</v>
      </c>
      <c r="D31" s="3077" t="s">
        <v>1814</v>
      </c>
      <c r="E31" s="628"/>
      <c r="F31" s="628"/>
      <c r="G31" s="628"/>
      <c r="H31" s="1913">
        <f>IF(SUM(H32:H36)=0,"NO",SUM(H32:H36))</f>
        <v>6989.95822335105</v>
      </c>
      <c r="I31" s="1913">
        <f t="shared" ref="I31:K31" si="10">IF(SUM(I32:I37)=0,"NO",SUM(I32:I37))</f>
        <v>0.26050399548162329</v>
      </c>
      <c r="J31" s="1913">
        <f t="shared" si="10"/>
        <v>9.3211959582689366E-2</v>
      </c>
      <c r="K31" s="3065" t="str">
        <f t="shared" si="10"/>
        <v>NO</v>
      </c>
    </row>
    <row r="32" spans="2:11" ht="18" customHeight="1" x14ac:dyDescent="0.2">
      <c r="B32" s="282" t="s">
        <v>132</v>
      </c>
      <c r="C32" s="691">
        <v>60024.24798137795</v>
      </c>
      <c r="D32" s="3077" t="s">
        <v>1814</v>
      </c>
      <c r="E32" s="1913">
        <f>IFERROR(H32*1000/$C32,"NA")</f>
        <v>67.769172403672741</v>
      </c>
      <c r="F32" s="1913">
        <f t="shared" ref="F32:G37" si="11">IFERROR(I32*1000000/$C32,"NA")</f>
        <v>3.1537958126001215</v>
      </c>
      <c r="G32" s="1913">
        <f t="shared" si="11"/>
        <v>0.866726090667022</v>
      </c>
      <c r="H32" s="691">
        <v>4067.793609850808</v>
      </c>
      <c r="I32" s="691">
        <v>0.18930422193814106</v>
      </c>
      <c r="J32" s="691">
        <v>5.2024581798127599E-2</v>
      </c>
      <c r="K32" s="3093" t="s">
        <v>2146</v>
      </c>
    </row>
    <row r="33" spans="2:11" ht="18" customHeight="1" x14ac:dyDescent="0.2">
      <c r="B33" s="282" t="s">
        <v>133</v>
      </c>
      <c r="C33" s="691">
        <v>2532.6075626496436</v>
      </c>
      <c r="D33" s="3077" t="s">
        <v>1814</v>
      </c>
      <c r="E33" s="1913">
        <f t="shared" ref="E33:E37" si="12">IFERROR(H33*1000/$C33,"NA")</f>
        <v>91.567282208663343</v>
      </c>
      <c r="F33" s="1913">
        <f t="shared" si="11"/>
        <v>0.95238095238095233</v>
      </c>
      <c r="G33" s="1913">
        <f t="shared" si="11"/>
        <v>0.66666666666666652</v>
      </c>
      <c r="H33" s="691">
        <v>231.90399141293494</v>
      </c>
      <c r="I33" s="691">
        <v>2.4120072025234701E-3</v>
      </c>
      <c r="J33" s="691">
        <v>1.6884050417664287E-3</v>
      </c>
      <c r="K33" s="3093" t="s">
        <v>2146</v>
      </c>
    </row>
    <row r="34" spans="2:11" ht="18" customHeight="1" x14ac:dyDescent="0.2">
      <c r="B34" s="282" t="s">
        <v>134</v>
      </c>
      <c r="C34" s="691">
        <v>52327.567400508065</v>
      </c>
      <c r="D34" s="3077" t="s">
        <v>1814</v>
      </c>
      <c r="E34" s="1913">
        <f t="shared" si="12"/>
        <v>51.411918339265014</v>
      </c>
      <c r="F34" s="1913">
        <f t="shared" si="11"/>
        <v>0.95263348858080132</v>
      </c>
      <c r="G34" s="1913">
        <f t="shared" si="11"/>
        <v>0.52156195163086883</v>
      </c>
      <c r="H34" s="691">
        <v>2690.2606220873067</v>
      </c>
      <c r="I34" s="691">
        <v>4.9848993081693015E-2</v>
      </c>
      <c r="J34" s="691">
        <v>2.7292068177504816E-2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2195.2113060000001</v>
      </c>
      <c r="D37" s="3077" t="s">
        <v>1814</v>
      </c>
      <c r="E37" s="1913">
        <f t="shared" si="12"/>
        <v>93.145208750711916</v>
      </c>
      <c r="F37" s="1913">
        <f t="shared" si="11"/>
        <v>8.6273121897203495</v>
      </c>
      <c r="G37" s="1913">
        <f t="shared" si="11"/>
        <v>5.5606968367584217</v>
      </c>
      <c r="H37" s="691">
        <v>204.47341534929294</v>
      </c>
      <c r="I37" s="691">
        <v>1.8938773259265729E-2</v>
      </c>
      <c r="J37" s="691">
        <v>1.2206904565290524E-2</v>
      </c>
      <c r="K37" s="3093" t="s">
        <v>2146</v>
      </c>
    </row>
    <row r="38" spans="2:11" ht="18" customHeight="1" x14ac:dyDescent="0.2">
      <c r="B38" s="1241" t="s">
        <v>154</v>
      </c>
      <c r="C38" s="1913">
        <f>IF(SUM(C39:C44)=0,"NO",SUM(C39:C44))</f>
        <v>44370.313806855687</v>
      </c>
      <c r="D38" s="3077" t="s">
        <v>1814</v>
      </c>
      <c r="E38" s="628"/>
      <c r="F38" s="628"/>
      <c r="G38" s="628"/>
      <c r="H38" s="1913">
        <f>IF(SUM(H39:H43)=0,"NO",SUM(H39:H43))</f>
        <v>1286.2234762290598</v>
      </c>
      <c r="I38" s="1913">
        <f t="shared" ref="I38:K38" si="13">IF(SUM(I39:I44)=0,"NO",SUM(I39:I44))</f>
        <v>0.22474731593951297</v>
      </c>
      <c r="J38" s="1913">
        <f t="shared" si="13"/>
        <v>0.14889345535954096</v>
      </c>
      <c r="K38" s="3065" t="str">
        <f t="shared" si="13"/>
        <v>NO</v>
      </c>
    </row>
    <row r="39" spans="2:11" ht="18" customHeight="1" x14ac:dyDescent="0.2">
      <c r="B39" s="282" t="s">
        <v>132</v>
      </c>
      <c r="C39" s="691">
        <v>447.09787749999998</v>
      </c>
      <c r="D39" s="3077" t="s">
        <v>1814</v>
      </c>
      <c r="E39" s="1913">
        <f>IFERROR(H39*1000/$C39,"NA")</f>
        <v>67.93084837133901</v>
      </c>
      <c r="F39" s="1913">
        <f t="shared" ref="F39:G44" si="14">IFERROR(I39*1000000/$C39,"NA")</f>
        <v>0.97837354899436701</v>
      </c>
      <c r="G39" s="1913">
        <f t="shared" si="14"/>
        <v>1.0405140814471563</v>
      </c>
      <c r="H39" s="691">
        <v>30.371738123600004</v>
      </c>
      <c r="I39" s="691">
        <v>4.3742873715752378E-4</v>
      </c>
      <c r="J39" s="691">
        <v>4.6521163732388571E-4</v>
      </c>
      <c r="K39" s="3093" t="s">
        <v>2146</v>
      </c>
    </row>
    <row r="40" spans="2:11" ht="18" customHeight="1" x14ac:dyDescent="0.2">
      <c r="B40" s="282" t="s">
        <v>133</v>
      </c>
      <c r="C40" s="691">
        <v>4254.1888500000005</v>
      </c>
      <c r="D40" s="3077" t="s">
        <v>1814</v>
      </c>
      <c r="E40" s="1913">
        <f t="shared" ref="E40:E44" si="15">IFERROR(H40*1000/$C40,"NA")</f>
        <v>89.999999999999986</v>
      </c>
      <c r="F40" s="1913">
        <f t="shared" si="14"/>
        <v>0.95238095238095222</v>
      </c>
      <c r="G40" s="1913">
        <f t="shared" si="14"/>
        <v>0.66666666666666663</v>
      </c>
      <c r="H40" s="691">
        <v>382.87699650000002</v>
      </c>
      <c r="I40" s="691">
        <v>4.0516084285714283E-3</v>
      </c>
      <c r="J40" s="691">
        <v>2.8361259E-3</v>
      </c>
      <c r="K40" s="3093" t="s">
        <v>2146</v>
      </c>
    </row>
    <row r="41" spans="2:11" ht="18" customHeight="1" x14ac:dyDescent="0.2">
      <c r="B41" s="282" t="s">
        <v>134</v>
      </c>
      <c r="C41" s="691">
        <v>16980.007161855694</v>
      </c>
      <c r="D41" s="3077" t="s">
        <v>1814</v>
      </c>
      <c r="E41" s="1913">
        <f t="shared" si="15"/>
        <v>51.411918339265</v>
      </c>
      <c r="F41" s="1913">
        <f t="shared" si="14"/>
        <v>0.91363636363636358</v>
      </c>
      <c r="G41" s="1913">
        <f t="shared" si="14"/>
        <v>0.86863636363636354</v>
      </c>
      <c r="H41" s="691">
        <v>872.97474160545983</v>
      </c>
      <c r="I41" s="691">
        <v>1.5513551997877247E-2</v>
      </c>
      <c r="J41" s="691">
        <v>1.4749451675593741E-2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22689.019917499998</v>
      </c>
      <c r="D44" s="3076" t="s">
        <v>1814</v>
      </c>
      <c r="E44" s="1913">
        <f t="shared" si="15"/>
        <v>93.514767075881437</v>
      </c>
      <c r="F44" s="1913">
        <f t="shared" si="14"/>
        <v>9.0239564124137228</v>
      </c>
      <c r="G44" s="1913">
        <f t="shared" si="14"/>
        <v>5.7667835200631403</v>
      </c>
      <c r="H44" s="691">
        <v>2121.7584127650471</v>
      </c>
      <c r="I44" s="691">
        <v>0.20474472677590677</v>
      </c>
      <c r="J44" s="691">
        <v>0.13084266614662335</v>
      </c>
      <c r="K44" s="3093" t="s">
        <v>2146</v>
      </c>
    </row>
    <row r="45" spans="2:11" ht="18" customHeight="1" x14ac:dyDescent="0.2">
      <c r="B45" s="1241" t="s">
        <v>155</v>
      </c>
      <c r="C45" s="1913">
        <f>IF(SUM(C46:C51)=0,"NO",SUM(C46:C51))</f>
        <v>126301.96962594619</v>
      </c>
      <c r="D45" s="3076" t="s">
        <v>1814</v>
      </c>
      <c r="E45" s="628"/>
      <c r="F45" s="628"/>
      <c r="G45" s="628"/>
      <c r="H45" s="1913">
        <f>IF(SUM(H46:H50)=0,"NO",SUM(H46:H50))</f>
        <v>2999.5246135157122</v>
      </c>
      <c r="I45" s="1913">
        <f t="shared" ref="I45:K45" si="16">IF(SUM(I46:I51)=0,"NO",SUM(I46:I51))</f>
        <v>0.77482009988388745</v>
      </c>
      <c r="J45" s="1913">
        <f t="shared" si="16"/>
        <v>0.50344070927169227</v>
      </c>
      <c r="K45" s="3065" t="str">
        <f t="shared" si="16"/>
        <v>NO</v>
      </c>
    </row>
    <row r="46" spans="2:11" ht="18" customHeight="1" x14ac:dyDescent="0.2">
      <c r="B46" s="282" t="s">
        <v>132</v>
      </c>
      <c r="C46" s="691">
        <v>2688.0893466719021</v>
      </c>
      <c r="D46" s="3076" t="s">
        <v>1814</v>
      </c>
      <c r="E46" s="1913">
        <f>IFERROR(H46*1000/$C46,"NA")</f>
        <v>66.960833125837183</v>
      </c>
      <c r="F46" s="1913">
        <f t="shared" ref="F46:G51" si="17">IFERROR(I46*1000000/$C46,"NA")</f>
        <v>3.8652467924485645</v>
      </c>
      <c r="G46" s="1913">
        <f t="shared" si="17"/>
        <v>2.6791572954718266</v>
      </c>
      <c r="H46" s="691">
        <v>179.99670216983793</v>
      </c>
      <c r="I46" s="691">
        <v>1.0390128725038727E-2</v>
      </c>
      <c r="J46" s="691">
        <v>7.2018141840161226E-3</v>
      </c>
      <c r="K46" s="3093" t="s">
        <v>2146</v>
      </c>
    </row>
    <row r="47" spans="2:11" ht="18" customHeight="1" x14ac:dyDescent="0.2">
      <c r="B47" s="282" t="s">
        <v>133</v>
      </c>
      <c r="C47" s="691">
        <v>13442.206866365312</v>
      </c>
      <c r="D47" s="3076" t="s">
        <v>1814</v>
      </c>
      <c r="E47" s="1913">
        <f t="shared" ref="E47:E51" si="18">IFERROR(H47*1000/$C47,"NA")</f>
        <v>90.896970278585655</v>
      </c>
      <c r="F47" s="1913">
        <f t="shared" si="17"/>
        <v>0.95238095238095222</v>
      </c>
      <c r="G47" s="1913">
        <f t="shared" si="17"/>
        <v>0.67523809523809519</v>
      </c>
      <c r="H47" s="691">
        <v>1221.8558780106077</v>
      </c>
      <c r="I47" s="691">
        <v>1.2802101777490771E-2</v>
      </c>
      <c r="J47" s="691">
        <v>9.0766901602409578E-3</v>
      </c>
      <c r="K47" s="3093" t="s">
        <v>2146</v>
      </c>
    </row>
    <row r="48" spans="2:11" ht="18" customHeight="1" x14ac:dyDescent="0.2">
      <c r="B48" s="282" t="s">
        <v>134</v>
      </c>
      <c r="C48" s="691">
        <v>31059.51188038223</v>
      </c>
      <c r="D48" s="3076" t="s">
        <v>1814</v>
      </c>
      <c r="E48" s="1913">
        <f t="shared" si="18"/>
        <v>51.439058008647777</v>
      </c>
      <c r="F48" s="1913">
        <f t="shared" si="17"/>
        <v>0.91409090909090918</v>
      </c>
      <c r="G48" s="1913">
        <f t="shared" si="17"/>
        <v>0.86459090909090908</v>
      </c>
      <c r="H48" s="691">
        <v>1597.6720333352664</v>
      </c>
      <c r="I48" s="691">
        <v>2.8391217450658486E-2</v>
      </c>
      <c r="J48" s="691">
        <v>2.6853771612579562E-2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79112.161532526748</v>
      </c>
      <c r="D51" s="3076" t="s">
        <v>1814</v>
      </c>
      <c r="E51" s="1913">
        <f t="shared" si="18"/>
        <v>94.836767436211915</v>
      </c>
      <c r="F51" s="1913">
        <f t="shared" si="17"/>
        <v>9.1419149460774438</v>
      </c>
      <c r="G51" s="1913">
        <f t="shared" si="17"/>
        <v>5.8184282213753074</v>
      </c>
      <c r="H51" s="691">
        <v>7502.741664636269</v>
      </c>
      <c r="I51" s="691">
        <v>0.72323665193069941</v>
      </c>
      <c r="J51" s="691">
        <v>0.4603084333148556</v>
      </c>
      <c r="K51" s="3093" t="s">
        <v>2146</v>
      </c>
    </row>
    <row r="52" spans="2:11" ht="18" customHeight="1" x14ac:dyDescent="0.2">
      <c r="B52" s="1241" t="s">
        <v>156</v>
      </c>
      <c r="C52" s="3094">
        <f>IF(SUM(C53:C58)=0,"NO",SUM(C53:C58))</f>
        <v>103268.98264605926</v>
      </c>
      <c r="D52" s="3076" t="s">
        <v>1814</v>
      </c>
      <c r="E52" s="628"/>
      <c r="F52" s="628"/>
      <c r="G52" s="628"/>
      <c r="H52" s="1913">
        <f>IF(SUM(H53:H57)=0,"NO",SUM(H53:H57))</f>
        <v>6311.3220776319922</v>
      </c>
      <c r="I52" s="1913">
        <f t="shared" ref="I52:K52" si="19">IF(SUM(I53:I58)=0,"NO",SUM(I53:I58))</f>
        <v>0.36492270218199113</v>
      </c>
      <c r="J52" s="1913">
        <f t="shared" si="19"/>
        <v>6.2276378944083929E-2</v>
      </c>
      <c r="K52" s="3065" t="str">
        <f t="shared" si="19"/>
        <v>NO</v>
      </c>
    </row>
    <row r="53" spans="2:11" ht="18" customHeight="1" x14ac:dyDescent="0.2">
      <c r="B53" s="282" t="s">
        <v>132</v>
      </c>
      <c r="C53" s="2147">
        <v>9988.0381770108434</v>
      </c>
      <c r="D53" s="3076" t="s">
        <v>1814</v>
      </c>
      <c r="E53" s="1913">
        <f>IFERROR(H53*1000/$C53,"NA")</f>
        <v>64.600816303401714</v>
      </c>
      <c r="F53" s="1913">
        <f t="shared" ref="F53:G58" si="20">IFERROR(I53*1000000/$C53,"NA")</f>
        <v>25.635446938931771</v>
      </c>
      <c r="G53" s="1913">
        <f t="shared" si="20"/>
        <v>1.9038246114123911</v>
      </c>
      <c r="H53" s="691">
        <v>645.23541950444087</v>
      </c>
      <c r="I53" s="691">
        <v>0.2560478227107863</v>
      </c>
      <c r="J53" s="691">
        <v>1.9015472901119795E-2</v>
      </c>
      <c r="K53" s="3093" t="s">
        <v>2146</v>
      </c>
    </row>
    <row r="54" spans="2:11" ht="18" customHeight="1" x14ac:dyDescent="0.2">
      <c r="B54" s="282" t="s">
        <v>133</v>
      </c>
      <c r="C54" s="691">
        <v>26722.213615451321</v>
      </c>
      <c r="D54" s="3076" t="s">
        <v>1814</v>
      </c>
      <c r="E54" s="1913">
        <f t="shared" ref="E54:E58" si="21">IFERROR(H54*1000/$C54,"NA")</f>
        <v>89.657621414702405</v>
      </c>
      <c r="F54" s="1913">
        <f t="shared" si="20"/>
        <v>0.95287879549550514</v>
      </c>
      <c r="G54" s="1913">
        <f t="shared" si="20"/>
        <v>0.8267701473829866</v>
      </c>
      <c r="H54" s="691">
        <v>2395.8501116969405</v>
      </c>
      <c r="I54" s="691">
        <v>2.5463030722864842E-2</v>
      </c>
      <c r="J54" s="691">
        <v>2.2093128489246341E-2</v>
      </c>
      <c r="K54" s="3093" t="s">
        <v>2146</v>
      </c>
    </row>
    <row r="55" spans="2:11" ht="18" customHeight="1" x14ac:dyDescent="0.2">
      <c r="B55" s="282" t="s">
        <v>134</v>
      </c>
      <c r="C55" s="691">
        <v>63608.51676165453</v>
      </c>
      <c r="D55" s="3076" t="s">
        <v>1814</v>
      </c>
      <c r="E55" s="1913">
        <f t="shared" si="21"/>
        <v>51.411928982472759</v>
      </c>
      <c r="F55" s="1913">
        <f t="shared" si="20"/>
        <v>0.99861797432256549</v>
      </c>
      <c r="G55" s="1913">
        <f t="shared" si="20"/>
        <v>0.11230002852916739</v>
      </c>
      <c r="H55" s="691">
        <v>3270.2365464306104</v>
      </c>
      <c r="I55" s="691">
        <v>6.3520608158186401E-2</v>
      </c>
      <c r="J55" s="691">
        <v>7.1432382470318252E-3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2950.2140919425788</v>
      </c>
      <c r="D58" s="3076" t="s">
        <v>1814</v>
      </c>
      <c r="E58" s="3095">
        <f t="shared" si="21"/>
        <v>86.626910879239531</v>
      </c>
      <c r="F58" s="3095">
        <f t="shared" si="20"/>
        <v>6.7423041075151833</v>
      </c>
      <c r="G58" s="3095">
        <f t="shared" si="20"/>
        <v>4.7537361254523285</v>
      </c>
      <c r="H58" s="2190">
        <v>255.56793321738635</v>
      </c>
      <c r="I58" s="691">
        <v>1.9891240590153625E-2</v>
      </c>
      <c r="J58" s="691">
        <v>1.4024539306685974E-2</v>
      </c>
      <c r="K58" s="3093" t="s">
        <v>2146</v>
      </c>
    </row>
    <row r="59" spans="2:11" ht="18" customHeight="1" x14ac:dyDescent="0.2">
      <c r="B59" s="1241" t="s">
        <v>157</v>
      </c>
      <c r="C59" s="3094">
        <f>IF(SUM(C61,C68,C75,C82,C89,C96,C103,C112)=0,"NO",SUM(C61,C68,C75,C82,C89,C96,C103,C112))</f>
        <v>105762.57558517811</v>
      </c>
      <c r="D59" s="3076" t="s">
        <v>1814</v>
      </c>
      <c r="E59" s="1914"/>
      <c r="F59" s="1914"/>
      <c r="G59" s="1914"/>
      <c r="H59" s="1913">
        <f>IF(SUM(H61,H68,H75,H82,H89,H96,H103,H112)=0,"NO",SUM(H61,H68,H75,H82,H89,H96,H103,H112))</f>
        <v>7171.4951056887312</v>
      </c>
      <c r="I59" s="1913">
        <f>IF(SUM(I61,I68,I75,I82,I89,I96,I103,I112)=0,"NO",SUM(I61,I68,I75,I82,I89,I96,I103,I112))</f>
        <v>0.37036185411481926</v>
      </c>
      <c r="J59" s="1913">
        <f>IF(SUM(J61,J68,J75,J82,J89,J96,J103,J112)=0,"NO",SUM(J61,J68,J75,J82,J89,J96,J103,J112))</f>
        <v>0.302454296817604</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6735.2559089749329</v>
      </c>
      <c r="D61" s="3076" t="s">
        <v>1814</v>
      </c>
      <c r="E61" s="628"/>
      <c r="F61" s="628"/>
      <c r="G61" s="628"/>
      <c r="H61" s="1913">
        <f>IF(SUM(H62:H66)=0,"NO",SUM(H62:H66))</f>
        <v>369.12148277074726</v>
      </c>
      <c r="I61" s="1913">
        <f t="shared" ref="I61:K61" si="22">IF(SUM(I62:I67)=0,"NO",SUM(I62:I67))</f>
        <v>4.1389968399164319E-2</v>
      </c>
      <c r="J61" s="1913">
        <f t="shared" si="22"/>
        <v>8.7595852514220935E-3</v>
      </c>
      <c r="K61" s="3065" t="str">
        <f t="shared" si="22"/>
        <v>NO</v>
      </c>
    </row>
    <row r="62" spans="2:11" ht="18" customHeight="1" x14ac:dyDescent="0.2">
      <c r="B62" s="158" t="s">
        <v>132</v>
      </c>
      <c r="C62" s="691">
        <v>1590.5300917809748</v>
      </c>
      <c r="D62" s="3076" t="s">
        <v>1814</v>
      </c>
      <c r="E62" s="1913">
        <f>IFERROR(H62*1000/$C62,"NA")</f>
        <v>65.774911268861487</v>
      </c>
      <c r="F62" s="1913">
        <f t="shared" ref="F62:G67" si="23">IFERROR(I62*1000000/$C62,"NA")</f>
        <v>23.01457456123044</v>
      </c>
      <c r="G62" s="1913">
        <f t="shared" si="23"/>
        <v>2.8776086574498301</v>
      </c>
      <c r="H62" s="691">
        <v>104.61697565734774</v>
      </c>
      <c r="I62" s="691">
        <v>3.660537338917394E-2</v>
      </c>
      <c r="J62" s="691">
        <v>4.5769231620434057E-3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5144.7258171939584</v>
      </c>
      <c r="D64" s="3076" t="s">
        <v>1814</v>
      </c>
      <c r="E64" s="1913">
        <f t="shared" si="24"/>
        <v>51.412750943774469</v>
      </c>
      <c r="F64" s="1913">
        <f t="shared" si="23"/>
        <v>0.92999999999999983</v>
      </c>
      <c r="G64" s="1913">
        <f t="shared" si="23"/>
        <v>0.81299999999999983</v>
      </c>
      <c r="H64" s="691">
        <v>264.50450711339954</v>
      </c>
      <c r="I64" s="691">
        <v>4.78459500999038E-3</v>
      </c>
      <c r="J64" s="691">
        <v>4.1826620893786878E-3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64343.51867550001</v>
      </c>
      <c r="D75" s="3077" t="s">
        <v>1814</v>
      </c>
      <c r="E75" s="628"/>
      <c r="F75" s="628"/>
      <c r="G75" s="628"/>
      <c r="H75" s="1913">
        <f>IF(SUM(H76:H80)=0,"NO",SUM(H76:H80))</f>
        <v>4569.0267591147813</v>
      </c>
      <c r="I75" s="1913">
        <f t="shared" ref="I75:K75" si="28">IF(SUM(I76:I81)=0,"NO",SUM(I76:I81))</f>
        <v>0.20696457967140097</v>
      </c>
      <c r="J75" s="1913">
        <f t="shared" si="28"/>
        <v>0.20314833741464577</v>
      </c>
      <c r="K75" s="3065" t="str">
        <f t="shared" si="28"/>
        <v>NO</v>
      </c>
    </row>
    <row r="76" spans="2:11" ht="18" customHeight="1" x14ac:dyDescent="0.2">
      <c r="B76" s="158" t="s">
        <v>132</v>
      </c>
      <c r="C76" s="691">
        <v>56515.94395310001</v>
      </c>
      <c r="D76" s="3077" t="s">
        <v>1814</v>
      </c>
      <c r="E76" s="1913">
        <f>IFERROR(H76*1000/$C76,"NA")</f>
        <v>69.671852256561337</v>
      </c>
      <c r="F76" s="1913">
        <f t="shared" ref="F76:G81" si="29">IFERROR(I76*1000000/$C76,"NA")</f>
        <v>3.4937971992023207</v>
      </c>
      <c r="G76" s="1913">
        <f t="shared" si="29"/>
        <v>3.4844235618675263</v>
      </c>
      <c r="H76" s="691">
        <v>3937.5704972404847</v>
      </c>
      <c r="I76" s="691">
        <v>0.19745524669361617</v>
      </c>
      <c r="J76" s="691">
        <v>0.19692548673136623</v>
      </c>
      <c r="K76" s="3093" t="s">
        <v>2146</v>
      </c>
    </row>
    <row r="77" spans="2:11" ht="18" customHeight="1" x14ac:dyDescent="0.2">
      <c r="B77" s="158" t="s">
        <v>133</v>
      </c>
      <c r="C77" s="691">
        <v>5866.8634245000003</v>
      </c>
      <c r="D77" s="3077" t="s">
        <v>1814</v>
      </c>
      <c r="E77" s="1913">
        <f t="shared" ref="E77:E81" si="30">IFERROR(H77*1000/$C77,"NA")</f>
        <v>90.509166435689622</v>
      </c>
      <c r="F77" s="1913">
        <f t="shared" si="29"/>
        <v>0.95238095238095244</v>
      </c>
      <c r="G77" s="1913">
        <f t="shared" si="29"/>
        <v>0.75923809523809527</v>
      </c>
      <c r="H77" s="691">
        <v>531.00491814353052</v>
      </c>
      <c r="I77" s="691">
        <v>5.5874889757142861E-3</v>
      </c>
      <c r="J77" s="691">
        <v>4.454346211439429E-3</v>
      </c>
      <c r="K77" s="3093" t="s">
        <v>2146</v>
      </c>
    </row>
    <row r="78" spans="2:11" ht="18" customHeight="1" x14ac:dyDescent="0.2">
      <c r="B78" s="158" t="s">
        <v>134</v>
      </c>
      <c r="C78" s="691">
        <v>1953.8532499</v>
      </c>
      <c r="D78" s="3077" t="s">
        <v>1814</v>
      </c>
      <c r="E78" s="1913">
        <f t="shared" si="30"/>
        <v>51.411918339265007</v>
      </c>
      <c r="F78" s="1913">
        <f t="shared" si="29"/>
        <v>1.9754545454545456</v>
      </c>
      <c r="G78" s="1913">
        <f t="shared" si="29"/>
        <v>0.88481818181818173</v>
      </c>
      <c r="H78" s="691">
        <v>100.45134373076634</v>
      </c>
      <c r="I78" s="691">
        <v>3.8597482836660911E-3</v>
      </c>
      <c r="J78" s="691">
        <v>1.7288048801160634E-3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6.858048000000001</v>
      </c>
      <c r="D81" s="3076" t="s">
        <v>1814</v>
      </c>
      <c r="E81" s="1913">
        <f t="shared" si="30"/>
        <v>93.473597137534725</v>
      </c>
      <c r="F81" s="1913">
        <f t="shared" si="29"/>
        <v>9.0544304158332576</v>
      </c>
      <c r="G81" s="1913">
        <f t="shared" si="29"/>
        <v>5.7887596768152525</v>
      </c>
      <c r="H81" s="691">
        <v>0.64104641590187594</v>
      </c>
      <c r="I81" s="691">
        <v>6.2095718404444448E-5</v>
      </c>
      <c r="J81" s="691">
        <v>3.9699591724063493E-5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25050.052024697165</v>
      </c>
      <c r="D89" s="3077" t="s">
        <v>1814</v>
      </c>
      <c r="E89" s="628"/>
      <c r="F89" s="628"/>
      <c r="G89" s="628"/>
      <c r="H89" s="1913">
        <f>IF(SUM(H90:H94)=0,"NO",SUM(H90:H94))</f>
        <v>1694.4786834361619</v>
      </c>
      <c r="I89" s="1913">
        <f t="shared" ref="I89:K89" si="36">IF(SUM(I90:I95)=0,"NO",SUM(I90:I95))</f>
        <v>8.4010681288512135E-2</v>
      </c>
      <c r="J89" s="1913">
        <f t="shared" si="36"/>
        <v>8.1563806733265631E-2</v>
      </c>
      <c r="K89" s="3065" t="str">
        <f t="shared" si="36"/>
        <v>NO</v>
      </c>
    </row>
    <row r="90" spans="2:11" ht="18" customHeight="1" x14ac:dyDescent="0.2">
      <c r="B90" s="158" t="s">
        <v>132</v>
      </c>
      <c r="C90" s="691">
        <v>22042.658058922905</v>
      </c>
      <c r="D90" s="3077" t="s">
        <v>1814</v>
      </c>
      <c r="E90" s="1913">
        <f>IFERROR(H90*1000/$C90,"NA")</f>
        <v>69.858307756601889</v>
      </c>
      <c r="F90" s="1913">
        <f t="shared" ref="F90:G95" si="37">IFERROR(I90*1000000/$C90,"NA")</f>
        <v>3.6872452749078031</v>
      </c>
      <c r="G90" s="1913">
        <f t="shared" si="37"/>
        <v>3.5762389457842607</v>
      </c>
      <c r="H90" s="691">
        <v>1539.8627904537773</v>
      </c>
      <c r="I90" s="691">
        <v>8.1276686774171894E-2</v>
      </c>
      <c r="J90" s="691">
        <v>7.8829812218925391E-2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3007.3939657742608</v>
      </c>
      <c r="D92" s="3077" t="s">
        <v>1814</v>
      </c>
      <c r="E92" s="1913">
        <f t="shared" si="38"/>
        <v>51.411918339265007</v>
      </c>
      <c r="F92" s="1913">
        <f t="shared" si="37"/>
        <v>0.90909090909090906</v>
      </c>
      <c r="G92" s="1913">
        <f t="shared" si="37"/>
        <v>0.90909090909090906</v>
      </c>
      <c r="H92" s="691">
        <v>154.61589298238462</v>
      </c>
      <c r="I92" s="691">
        <v>2.7339945143402371E-3</v>
      </c>
      <c r="J92" s="691">
        <v>2.7339945143402371E-3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6512.2116249321571</v>
      </c>
      <c r="D96" s="3076" t="s">
        <v>1814</v>
      </c>
      <c r="E96" s="628"/>
      <c r="F96" s="628"/>
      <c r="G96" s="628"/>
      <c r="H96" s="1913">
        <f>IF(SUM(H97:H101)=0,"NO",SUM(H97:H101))</f>
        <v>371.47167011161207</v>
      </c>
      <c r="I96" s="1913">
        <f t="shared" ref="I96:K96" si="42">IF(SUM(I97:I102)=0,"NO",SUM(I97:I102))</f>
        <v>5.8917603043585664E-3</v>
      </c>
      <c r="J96" s="1913">
        <f t="shared" si="42"/>
        <v>5.5755545865133031E-3</v>
      </c>
      <c r="K96" s="3065" t="str">
        <f t="shared" si="42"/>
        <v>NO</v>
      </c>
    </row>
    <row r="97" spans="2:11" ht="18" customHeight="1" x14ac:dyDescent="0.2">
      <c r="B97" s="158" t="s">
        <v>132</v>
      </c>
      <c r="C97" s="691">
        <v>794.19616444098699</v>
      </c>
      <c r="D97" s="3076" t="s">
        <v>1814</v>
      </c>
      <c r="E97" s="1913">
        <f>IFERROR(H97*1000/$C97,"NA")</f>
        <v>67.834307800153056</v>
      </c>
      <c r="F97" s="1913">
        <f t="shared" ref="F97:G102" si="43">IFERROR(I97*1000000/$C97,"NA")</f>
        <v>0.79406865422825479</v>
      </c>
      <c r="G97" s="1913">
        <f t="shared" si="43"/>
        <v>1.0736866863429473</v>
      </c>
      <c r="H97" s="691">
        <v>53.873747072390884</v>
      </c>
      <c r="I97" s="691">
        <v>6.3064627949089625E-4</v>
      </c>
      <c r="J97" s="691">
        <v>8.527178481049217E-4</v>
      </c>
      <c r="K97" s="3093" t="s">
        <v>2146</v>
      </c>
    </row>
    <row r="98" spans="2:11" ht="18" customHeight="1" x14ac:dyDescent="0.2">
      <c r="B98" s="158" t="s">
        <v>133</v>
      </c>
      <c r="C98" s="691">
        <v>592.28690717077393</v>
      </c>
      <c r="D98" s="3076" t="s">
        <v>1814</v>
      </c>
      <c r="E98" s="1913">
        <f t="shared" ref="E98:E102" si="44">IFERROR(H98*1000/$C98,"NA")</f>
        <v>91.297620413349378</v>
      </c>
      <c r="F98" s="1913">
        <f t="shared" si="43"/>
        <v>0.95238095238095222</v>
      </c>
      <c r="G98" s="1913">
        <f t="shared" si="43"/>
        <v>0.66666666666666663</v>
      </c>
      <c r="H98" s="691">
        <v>54.074385226674025</v>
      </c>
      <c r="I98" s="691">
        <v>5.6408276873407036E-4</v>
      </c>
      <c r="J98" s="691">
        <v>3.9485793811384927E-4</v>
      </c>
      <c r="K98" s="3093" t="s">
        <v>2146</v>
      </c>
    </row>
    <row r="99" spans="2:11" ht="18" customHeight="1" x14ac:dyDescent="0.2">
      <c r="B99" s="158" t="s">
        <v>134</v>
      </c>
      <c r="C99" s="691">
        <v>5125.7285533203958</v>
      </c>
      <c r="D99" s="3076" t="s">
        <v>1814</v>
      </c>
      <c r="E99" s="1913">
        <f t="shared" si="44"/>
        <v>51.411918339265014</v>
      </c>
      <c r="F99" s="1913">
        <f t="shared" si="43"/>
        <v>0.91636363636363649</v>
      </c>
      <c r="G99" s="1913">
        <f t="shared" si="43"/>
        <v>0.84436363636363654</v>
      </c>
      <c r="H99" s="691">
        <v>263.52353781254715</v>
      </c>
      <c r="I99" s="691">
        <v>4.6970312561335995E-3</v>
      </c>
      <c r="J99" s="691">
        <v>4.3279788002945317E-3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3121.537351073855</v>
      </c>
      <c r="D112" s="3076" t="s">
        <v>1814</v>
      </c>
      <c r="E112" s="628"/>
      <c r="F112" s="628"/>
      <c r="G112" s="628"/>
      <c r="H112" s="1913">
        <f>H113</f>
        <v>167.39651025542855</v>
      </c>
      <c r="I112" s="1913">
        <f>I113</f>
        <v>3.2104864451383282E-2</v>
      </c>
      <c r="J112" s="1913">
        <f>J113</f>
        <v>3.4070128317571472E-3</v>
      </c>
      <c r="K112" s="3065" t="str">
        <f>K113</f>
        <v>NO</v>
      </c>
    </row>
    <row r="113" spans="2:11" ht="18" customHeight="1" x14ac:dyDescent="0.2">
      <c r="B113" s="3090" t="s">
        <v>2259</v>
      </c>
      <c r="C113" s="3099">
        <f>IF(SUM(C114:C119)=0,"NO",SUM(C114:C119))</f>
        <v>3121.537351073855</v>
      </c>
      <c r="D113" s="3099" t="s">
        <v>1814</v>
      </c>
      <c r="E113" s="628"/>
      <c r="F113" s="628"/>
      <c r="G113" s="628"/>
      <c r="H113" s="3099">
        <f>IF(SUM(H114:H118)=0,"NO",SUM(H114:H118))</f>
        <v>167.39651025542855</v>
      </c>
      <c r="I113" s="3099">
        <f t="shared" ref="I113" si="51">IF(SUM(I114:I119)=0,"NO",SUM(I114:I119))</f>
        <v>3.2104864451383282E-2</v>
      </c>
      <c r="J113" s="3099">
        <f t="shared" ref="J113" si="52">IF(SUM(J114:J119)=0,"NO",SUM(J114:J119))</f>
        <v>3.4070128317571472E-3</v>
      </c>
      <c r="K113" s="3100" t="str">
        <f t="shared" ref="K113" si="53">IF(SUM(K114:K119)=0,"NO",SUM(K114:K119))</f>
        <v>NO</v>
      </c>
    </row>
    <row r="114" spans="2:11" ht="18" customHeight="1" x14ac:dyDescent="0.2">
      <c r="B114" s="158" t="s">
        <v>132</v>
      </c>
      <c r="C114" s="691">
        <v>702.51476154070053</v>
      </c>
      <c r="D114" s="3076" t="s">
        <v>1814</v>
      </c>
      <c r="E114" s="1913">
        <f>IFERROR(H114*1000/$C114,"NA")</f>
        <v>61.247987657079655</v>
      </c>
      <c r="F114" s="1913">
        <f t="shared" ref="F114:G119" si="54">IFERROR(I114*1000000/$C114,"NA")</f>
        <v>42.556426508920019</v>
      </c>
      <c r="G114" s="1913">
        <f t="shared" si="54"/>
        <v>1.7824350715969373</v>
      </c>
      <c r="H114" s="691">
        <v>43.027615443761086</v>
      </c>
      <c r="I114" s="691">
        <v>2.9896517820938294E-2</v>
      </c>
      <c r="J114" s="691">
        <v>1.2521869492847038E-3</v>
      </c>
      <c r="K114" s="3093" t="s">
        <v>2146</v>
      </c>
    </row>
    <row r="115" spans="2:11" ht="18" customHeight="1" x14ac:dyDescent="0.2">
      <c r="B115" s="158" t="s">
        <v>133</v>
      </c>
      <c r="C115" s="691">
        <v>0.13759999999999997</v>
      </c>
      <c r="D115" s="3076" t="s">
        <v>1814</v>
      </c>
      <c r="E115" s="1913">
        <f t="shared" ref="E115:E119" si="55">IFERROR(H115*1000/$C115,"NA")</f>
        <v>69.7</v>
      </c>
      <c r="F115" s="1913">
        <f t="shared" si="54"/>
        <v>2.8571428571428577</v>
      </c>
      <c r="G115" s="1913">
        <f t="shared" si="54"/>
        <v>0.57142857142857151</v>
      </c>
      <c r="H115" s="691">
        <v>9.5907199999999988E-3</v>
      </c>
      <c r="I115" s="691">
        <v>3.9314285714285711E-7</v>
      </c>
      <c r="J115" s="691">
        <v>7.8628571428571422E-8</v>
      </c>
      <c r="K115" s="3093" t="s">
        <v>2146</v>
      </c>
    </row>
    <row r="116" spans="2:11" ht="18" customHeight="1" x14ac:dyDescent="0.2">
      <c r="B116" s="158" t="s">
        <v>134</v>
      </c>
      <c r="C116" s="691">
        <v>2418.8808375331546</v>
      </c>
      <c r="D116" s="3076" t="s">
        <v>1814</v>
      </c>
      <c r="E116" s="1913">
        <f t="shared" si="55"/>
        <v>51.411918339264993</v>
      </c>
      <c r="F116" s="1913">
        <f t="shared" si="54"/>
        <v>0.91279397178123689</v>
      </c>
      <c r="G116" s="1913">
        <f t="shared" si="54"/>
        <v>0.89079777940068916</v>
      </c>
      <c r="H116" s="691">
        <v>124.35930409166745</v>
      </c>
      <c r="I116" s="691">
        <v>2.207939846957413E-3</v>
      </c>
      <c r="J116" s="691">
        <v>2.1547336787094131E-3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v>4.1520000000000003E-3</v>
      </c>
      <c r="D119" s="3101" t="s">
        <v>1814</v>
      </c>
      <c r="E119" s="3095">
        <f t="shared" si="55"/>
        <v>68.109668109668092</v>
      </c>
      <c r="F119" s="3095">
        <f t="shared" si="54"/>
        <v>3.2853156146179399</v>
      </c>
      <c r="G119" s="3095">
        <f t="shared" si="54"/>
        <v>3.2695548172757469</v>
      </c>
      <c r="H119" s="2190">
        <v>2.8279134199134194E-4</v>
      </c>
      <c r="I119" s="2190">
        <v>1.3640630431893686E-8</v>
      </c>
      <c r="J119" s="2190">
        <v>1.3575191601328903E-8</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4906.1354640843492</v>
      </c>
      <c r="D10" s="4413">
        <f t="shared" ref="D10:F10" si="0">SUM(D11:D16)</f>
        <v>27877.451498285973</v>
      </c>
      <c r="E10" s="4413">
        <f t="shared" si="0"/>
        <v>1868.354903349933</v>
      </c>
      <c r="F10" s="4413">
        <f t="shared" si="0"/>
        <v>3289.1967840659809</v>
      </c>
      <c r="G10" s="4414" t="s">
        <v>2146</v>
      </c>
      <c r="H10" s="4415" t="s">
        <v>2312</v>
      </c>
      <c r="I10" s="4416" t="s">
        <v>2313</v>
      </c>
    </row>
    <row r="11" spans="2:9" ht="18" customHeight="1" x14ac:dyDescent="0.2">
      <c r="B11" s="1558" t="s">
        <v>1476</v>
      </c>
      <c r="C11" s="4417">
        <f>Table1!D10</f>
        <v>1409.911564227614</v>
      </c>
      <c r="D11" s="4418">
        <f>Table1!G10</f>
        <v>2702.232366307655</v>
      </c>
      <c r="E11" s="4418">
        <f>Table1!H10</f>
        <v>716.87506308536081</v>
      </c>
      <c r="F11" s="4418">
        <f>Table1!F10</f>
        <v>2315.7608536176413</v>
      </c>
      <c r="G11" s="4419" t="s">
        <v>2146</v>
      </c>
      <c r="H11" s="4420" t="s">
        <v>2154</v>
      </c>
      <c r="I11" s="4421" t="s">
        <v>2154</v>
      </c>
    </row>
    <row r="12" spans="2:9" ht="18" customHeight="1" x14ac:dyDescent="0.2">
      <c r="B12" s="2393" t="s">
        <v>1551</v>
      </c>
      <c r="C12" s="4422">
        <f>'Table2(I)'!D10</f>
        <v>3.69447887454705</v>
      </c>
      <c r="D12" s="4388">
        <f>'Table2(I)'!L10</f>
        <v>24.050581571109213</v>
      </c>
      <c r="E12" s="4388">
        <f>'Table2(I)'!M10</f>
        <v>237.82332907922432</v>
      </c>
      <c r="F12" s="4388">
        <f>'Table2(I)'!K10</f>
        <v>9.2107075958317477</v>
      </c>
      <c r="G12" s="4423" t="s">
        <v>2146</v>
      </c>
      <c r="H12" s="4424" t="s">
        <v>2146</v>
      </c>
      <c r="I12" s="4425" t="s">
        <v>2146</v>
      </c>
    </row>
    <row r="13" spans="2:9" ht="18" customHeight="1" x14ac:dyDescent="0.2">
      <c r="B13" s="2393" t="s">
        <v>1552</v>
      </c>
      <c r="C13" s="4422">
        <f>Table3!D10</f>
        <v>2219.2582353272028</v>
      </c>
      <c r="D13" s="4388">
        <f>Table3!G10</f>
        <v>267.01245605435321</v>
      </c>
      <c r="E13" s="4388">
        <f>Table3!H10</f>
        <v>15.575726603170608</v>
      </c>
      <c r="F13" s="4388">
        <f>Table3!F10</f>
        <v>16.252068641231766</v>
      </c>
      <c r="G13" s="4426"/>
      <c r="H13" s="4424" t="s">
        <v>2154</v>
      </c>
      <c r="I13" s="4425" t="s">
        <v>2153</v>
      </c>
    </row>
    <row r="14" spans="2:9" ht="18" customHeight="1" x14ac:dyDescent="0.2">
      <c r="B14" s="2393" t="s">
        <v>1553</v>
      </c>
      <c r="C14" s="4422">
        <f>Table4!D10</f>
        <v>713.72309577205283</v>
      </c>
      <c r="D14" s="4388">
        <f>Table4!G10</f>
        <v>24884.156094352857</v>
      </c>
      <c r="E14" s="4423">
        <f>Table4!H10</f>
        <v>673.02198136472259</v>
      </c>
      <c r="F14" s="4423">
        <f>Table4!F10</f>
        <v>947.97315421127655</v>
      </c>
      <c r="G14" s="4426"/>
      <c r="H14" s="4427" t="s">
        <v>2154</v>
      </c>
      <c r="I14" s="4425" t="s">
        <v>2154</v>
      </c>
    </row>
    <row r="15" spans="2:9" ht="18" customHeight="1" x14ac:dyDescent="0.2">
      <c r="B15" s="2393" t="s">
        <v>1554</v>
      </c>
      <c r="C15" s="4422">
        <f>Table5!D10</f>
        <v>559.54808988293303</v>
      </c>
      <c r="D15" s="4388" t="str">
        <f>Table5!G10</f>
        <v>NO</v>
      </c>
      <c r="E15" s="4423">
        <f>Table5!H10</f>
        <v>225.05880321745462</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2010</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446578.01155137434</v>
      </c>
      <c r="D10" s="4193">
        <f>SUM(D11,D22,D30,D41,D50,D56)</f>
        <v>446668.42883700284</v>
      </c>
      <c r="E10" s="3840">
        <f>IF(D10="NO",IF(C10="NO","NA",-C10),IF(C10="NO",D10,D10-C10))</f>
        <v>90.417285628500395</v>
      </c>
      <c r="F10" s="3838">
        <f>IF(E10="NA","NA",E10/C10*100)</f>
        <v>2.0246694483321823E-2</v>
      </c>
      <c r="G10" s="3841">
        <f>IF(E10="NA","NA",E10/Table8s2!$G$35*100)</f>
        <v>1.6524466491537021E-2</v>
      </c>
      <c r="H10" s="3842">
        <f>IF(E10="NA","NA",E10/Table8s2!$G$34*100)</f>
        <v>1.474197875634695E-2</v>
      </c>
      <c r="I10" s="4194">
        <f>SUM(I11,I22,I30,I41,I50,I56)</f>
        <v>138810.52545217978</v>
      </c>
      <c r="J10" s="4193">
        <f>SUM(J11,J22,J30,J41,J50,J56)</f>
        <v>137371.79299436178</v>
      </c>
      <c r="K10" s="3840">
        <f t="shared" ref="K10:K12" si="0">IF(J10="NO",IF(I10="NO","NA",-I10),IF(I10="NO",J10,J10-I10))</f>
        <v>-1438.7324578179978</v>
      </c>
      <c r="L10" s="3838">
        <f t="shared" ref="L10:L12" si="1">IF(K10="NA","NA",K10/I10*100)</f>
        <v>-1.0364721645792208</v>
      </c>
      <c r="M10" s="3841">
        <f>IF(K10="NA","NA",K10/Table8s2!$G$35*100)</f>
        <v>-0.26293961518798703</v>
      </c>
      <c r="N10" s="3842">
        <f>IF(K10="NA","NA",K10/Table8s2!$G$34*100)</f>
        <v>-0.23457642177365073</v>
      </c>
      <c r="O10" s="4194">
        <f>SUM(O11,O22,O30,O41,O50,O56)</f>
        <v>22451.633723905292</v>
      </c>
      <c r="P10" s="4193">
        <f>SUM(P11,P22,P30,P41,P50,P56)</f>
        <v>22168.008728909583</v>
      </c>
      <c r="Q10" s="3840">
        <f t="shared" ref="Q10:Q12" si="2">IF(P10="NO",IF(O10="NO","NA",-O10),IF(O10="NO",P10,P10-O10))</f>
        <v>-283.62499499570913</v>
      </c>
      <c r="R10" s="3838">
        <f t="shared" ref="R10:R12" si="3">IF(Q10="NA","NA",Q10/O10*100)</f>
        <v>-1.2632710763213659</v>
      </c>
      <c r="S10" s="3841">
        <f>IF(Q10="NA","NA",Q10/Table8s2!$G$35*100)</f>
        <v>-5.1834687287843573E-2</v>
      </c>
      <c r="T10" s="3842">
        <f>IF(Q10="NA","NA",Q10/Table8s2!$G$34*100)</f>
        <v>-4.6243299850596289E-2</v>
      </c>
    </row>
    <row r="11" spans="2:20" ht="18" customHeight="1" x14ac:dyDescent="0.2">
      <c r="B11" s="1405" t="s">
        <v>1476</v>
      </c>
      <c r="C11" s="3839">
        <f>SUM(C12,C18,C21)</f>
        <v>379525.93193733145</v>
      </c>
      <c r="D11" s="3839">
        <f>Summary2!C11</f>
        <v>379886.35301033495</v>
      </c>
      <c r="E11" s="3843">
        <f t="shared" ref="E11:E38" si="4">IF(D11="NO",IF(C11="NO","NA",-C11),IF(C11="NO",D11,D11-C11))</f>
        <v>360.42107300349744</v>
      </c>
      <c r="F11" s="3839">
        <f t="shared" ref="F11:F38" si="5">IF(E11="NA","NA",E11/C11*100)</f>
        <v>9.4966125546069757E-2</v>
      </c>
      <c r="G11" s="3844">
        <f>IF(E11="NA","NA",E11/Table8s2!$G$35*100)</f>
        <v>6.5869771496577606E-2</v>
      </c>
      <c r="H11" s="3845">
        <f>IF(E11="NA","NA",E11/Table8s2!$G$34*100)</f>
        <v>5.8764425017007182E-2</v>
      </c>
      <c r="I11" s="3846">
        <f>SUM(I12,I18,I21)</f>
        <v>39476.542346563947</v>
      </c>
      <c r="J11" s="3839">
        <f>Summary2!D11</f>
        <v>39477.523798373193</v>
      </c>
      <c r="K11" s="3843">
        <f t="shared" si="0"/>
        <v>0.98145180924620945</v>
      </c>
      <c r="L11" s="3839">
        <f t="shared" si="1"/>
        <v>2.4861645699110614E-3</v>
      </c>
      <c r="M11" s="3844">
        <f>IF(K11="NA","NA",K11/Table8s2!$G$35*100)</f>
        <v>1.7936799830048551E-4</v>
      </c>
      <c r="N11" s="3845">
        <f>IF(K11="NA","NA",K11/Table8s2!$G$34*100)</f>
        <v>1.6001964250213322E-4</v>
      </c>
      <c r="O11" s="3846">
        <f>SUM(O12,O18,O21)</f>
        <v>3213.9281310387551</v>
      </c>
      <c r="P11" s="3839">
        <f>Summary2!E11</f>
        <v>3215.0699513385116</v>
      </c>
      <c r="Q11" s="3843">
        <f t="shared" si="2"/>
        <v>1.1418202997565459</v>
      </c>
      <c r="R11" s="3839">
        <f t="shared" si="3"/>
        <v>3.5527250554526393E-2</v>
      </c>
      <c r="S11" s="3844">
        <f>IF(Q11="NA","NA",Q11/Table8s2!$G$35*100)</f>
        <v>2.0867659487376199E-4</v>
      </c>
      <c r="T11" s="3845">
        <f>IF(Q11="NA","NA",Q11/Table8s2!$G$34*100)</f>
        <v>1.8616673223013545E-4</v>
      </c>
    </row>
    <row r="12" spans="2:20" ht="18" customHeight="1" x14ac:dyDescent="0.2">
      <c r="B12" s="620" t="s">
        <v>131</v>
      </c>
      <c r="C12" s="3839">
        <f>SUM(C13:C17)</f>
        <v>371336.15628816589</v>
      </c>
      <c r="D12" s="3839">
        <f>Summary2!C12</f>
        <v>371696.57372116938</v>
      </c>
      <c r="E12" s="3839">
        <f t="shared" si="4"/>
        <v>360.41743300348753</v>
      </c>
      <c r="F12" s="3847">
        <f t="shared" si="5"/>
        <v>9.7059612133162387E-2</v>
      </c>
      <c r="G12" s="3844">
        <f>IF(E12="NA","NA",E12/Table8s2!$G$35*100)</f>
        <v>6.5869106258091684E-2</v>
      </c>
      <c r="H12" s="3845">
        <f>IF(E12="NA","NA",E12/Table8s2!$G$34*100)</f>
        <v>5.8763831537536462E-2</v>
      </c>
      <c r="I12" s="3846">
        <f>SUM(I13:I17)</f>
        <v>2366.7244863845281</v>
      </c>
      <c r="J12" s="3839">
        <f>Summary2!D12</f>
        <v>2367.5126902283605</v>
      </c>
      <c r="K12" s="3839">
        <f t="shared" si="0"/>
        <v>0.78820384383243436</v>
      </c>
      <c r="L12" s="3847">
        <f t="shared" si="1"/>
        <v>3.3303574132387319E-2</v>
      </c>
      <c r="M12" s="3844">
        <f>IF(K12="NA","NA",K12/Table8s2!$G$35*100)</f>
        <v>1.4405042039665307E-4</v>
      </c>
      <c r="N12" s="3845">
        <f>IF(K12="NA","NA",K12/Table8s2!$G$34*100)</f>
        <v>1.2851175790866832E-4</v>
      </c>
      <c r="O12" s="3848">
        <f>SUM(O13:O17)</f>
        <v>3186.1080768428328</v>
      </c>
      <c r="P12" s="3847">
        <f>Summary2!E12</f>
        <v>3187.817934045815</v>
      </c>
      <c r="Q12" s="3839">
        <f t="shared" si="2"/>
        <v>1.7098572029822208</v>
      </c>
      <c r="R12" s="3847">
        <f t="shared" si="3"/>
        <v>5.3666013887279887E-2</v>
      </c>
      <c r="S12" s="3844">
        <f>IF(Q12="NA","NA",Q12/Table8s2!$G$35*100)</f>
        <v>3.1248978400084639E-4</v>
      </c>
      <c r="T12" s="3845">
        <f>IF(Q12="NA","NA",Q12/Table8s2!$G$34*100)</f>
        <v>2.78781633263334E-4</v>
      </c>
    </row>
    <row r="13" spans="2:20" ht="18" customHeight="1" x14ac:dyDescent="0.2">
      <c r="B13" s="1392" t="s">
        <v>1478</v>
      </c>
      <c r="C13" s="3847">
        <v>224948.31350382845</v>
      </c>
      <c r="D13" s="3839">
        <f>Summary2!C13</f>
        <v>225300.59314473628</v>
      </c>
      <c r="E13" s="3839">
        <f t="shared" si="4"/>
        <v>352.27964090782916</v>
      </c>
      <c r="F13" s="3847">
        <f t="shared" si="5"/>
        <v>0.15660470417433631</v>
      </c>
      <c r="G13" s="3844">
        <f>IF(E13="NA","NA",E13/Table8s2!$G$35*100)</f>
        <v>6.4381861071896723E-2</v>
      </c>
      <c r="H13" s="3845">
        <f>IF(E13="NA","NA",E13/Table8s2!$G$34*100)</f>
        <v>5.7437014907686768E-2</v>
      </c>
      <c r="I13" s="3846">
        <v>652.28661913326312</v>
      </c>
      <c r="J13" s="3839">
        <f>Summary2!D13</f>
        <v>652.94242746071313</v>
      </c>
      <c r="K13" s="3839">
        <f t="shared" ref="K13" si="6">IF(J13="NO",IF(I13="NO","NA",-I13),IF(I13="NO",J13,J13-I13))</f>
        <v>0.65580832745001771</v>
      </c>
      <c r="L13" s="3847">
        <f t="shared" ref="L13" si="7">IF(K13="NA","NA",K13/I13*100)</f>
        <v>0.10053990197153426</v>
      </c>
      <c r="M13" s="3844">
        <f>IF(K13="NA","NA",K13/Table8s2!$G$35*100)</f>
        <v>1.1985410374233648E-4</v>
      </c>
      <c r="N13" s="3845">
        <f>IF(K13="NA","NA",K13/Table8s2!$G$34*100)</f>
        <v>1.0692548846496414E-4</v>
      </c>
      <c r="O13" s="3848">
        <v>1003.8389819457873</v>
      </c>
      <c r="P13" s="3847">
        <f>Summary2!E13</f>
        <v>1005.4897152928071</v>
      </c>
      <c r="Q13" s="3839">
        <f t="shared" ref="Q13" si="8">IF(P13="NO",IF(O13="NO","NA",-O13),IF(O13="NO",P13,P13-O13))</f>
        <v>1.6507333470198091</v>
      </c>
      <c r="R13" s="3847">
        <f t="shared" ref="R13" si="9">IF(Q13="NA","NA",Q13/O13*100)</f>
        <v>0.16444204466139747</v>
      </c>
      <c r="S13" s="3844">
        <f>IF(Q13="NA","NA",Q13/Table8s2!$G$35*100)</f>
        <v>3.016844366614503E-4</v>
      </c>
      <c r="T13" s="3845">
        <f>IF(Q13="NA","NA",Q13/Table8s2!$G$34*100)</f>
        <v>2.6914185451381076E-4</v>
      </c>
    </row>
    <row r="14" spans="2:20" ht="18" customHeight="1" x14ac:dyDescent="0.2">
      <c r="B14" s="1392" t="s">
        <v>1517</v>
      </c>
      <c r="C14" s="3847">
        <v>39306.733886702707</v>
      </c>
      <c r="D14" s="3839">
        <f>Summary2!C14</f>
        <v>39306.733886702692</v>
      </c>
      <c r="E14" s="3839">
        <f t="shared" si="4"/>
        <v>-1.4551915228366852E-11</v>
      </c>
      <c r="F14" s="3847">
        <f t="shared" si="5"/>
        <v>-3.7021430654378786E-14</v>
      </c>
      <c r="G14" s="3844">
        <f>IF(E14="NA","NA",E14/Table8s2!$G$35*100)</f>
        <v>-2.6594763811737255E-15</v>
      </c>
      <c r="H14" s="3845">
        <f>IF(E14="NA","NA",E14/Table8s2!$G$34*100)</f>
        <v>-2.3725997044654233E-15</v>
      </c>
      <c r="I14" s="3846">
        <v>63.642773256914793</v>
      </c>
      <c r="J14" s="3839">
        <f>Summary2!D14</f>
        <v>63.642773256914779</v>
      </c>
      <c r="K14" s="3839">
        <f t="shared" ref="K14:K20" si="10">IF(J14="NO",IF(I14="NO","NA",-I14),IF(I14="NO",J14,J14-I14))</f>
        <v>-1.4210854715202004E-14</v>
      </c>
      <c r="L14" s="3847">
        <f t="shared" ref="L14:L20" si="11">IF(K14="NA","NA",K14/I14*100)</f>
        <v>-2.2329094079284159E-14</v>
      </c>
      <c r="M14" s="3844">
        <f>IF(K14="NA","NA",K14/Table8s2!$G$35*100)</f>
        <v>-2.5971449034899663E-18</v>
      </c>
      <c r="N14" s="3845">
        <f>IF(K14="NA","NA",K14/Table8s2!$G$34*100)</f>
        <v>-2.3169918988920149E-18</v>
      </c>
      <c r="O14" s="3848">
        <v>337.01900606683932</v>
      </c>
      <c r="P14" s="3847">
        <f>Summary2!E14</f>
        <v>337.01900606683921</v>
      </c>
      <c r="Q14" s="3839">
        <f t="shared" ref="Q14:Q20" si="12">IF(P14="NO",IF(O14="NO","NA",-O14),IF(O14="NO",P14,P14-O14))</f>
        <v>-1.1368683772161603E-13</v>
      </c>
      <c r="R14" s="3847">
        <f t="shared" ref="R14:R20" si="13">IF(Q14="NA","NA",Q14/O14*100)</f>
        <v>-3.3733064211538589E-14</v>
      </c>
      <c r="S14" s="3844">
        <f>IF(Q14="NA","NA",Q14/Table8s2!$G$35*100)</f>
        <v>-2.077715922791973E-17</v>
      </c>
      <c r="T14" s="3845">
        <f>IF(Q14="NA","NA",Q14/Table8s2!$G$34*100)</f>
        <v>-1.8535935191136119E-17</v>
      </c>
    </row>
    <row r="15" spans="2:20" ht="18" customHeight="1" x14ac:dyDescent="0.2">
      <c r="B15" s="1392" t="s">
        <v>1480</v>
      </c>
      <c r="C15" s="3847">
        <v>86490.725858699734</v>
      </c>
      <c r="D15" s="3839">
        <f>Summary2!C15</f>
        <v>86489.532786197247</v>
      </c>
      <c r="E15" s="3839">
        <f t="shared" si="4"/>
        <v>-1.193072502486757</v>
      </c>
      <c r="F15" s="3847">
        <f t="shared" si="5"/>
        <v>-1.3794224648269048E-3</v>
      </c>
      <c r="G15" s="3844">
        <f>IF(E15="NA","NA",E15/Table8s2!$G$35*100)</f>
        <v>-2.1804333598687809E-4</v>
      </c>
      <c r="H15" s="3845">
        <f>IF(E15="NA","NA",E15/Table8s2!$G$34*100)</f>
        <v>-1.9452308664414807E-4</v>
      </c>
      <c r="I15" s="3846">
        <v>497.3865443955342</v>
      </c>
      <c r="J15" s="3839">
        <f>Summary2!D15</f>
        <v>497.51727043346705</v>
      </c>
      <c r="K15" s="3839">
        <f t="shared" si="10"/>
        <v>0.13072603793284543</v>
      </c>
      <c r="L15" s="3847">
        <f t="shared" si="11"/>
        <v>2.6282584321157029E-2</v>
      </c>
      <c r="M15" s="3844">
        <f>IF(K15="NA","NA",K15/Table8s2!$G$35*100)</f>
        <v>2.3891206403477709E-5</v>
      </c>
      <c r="N15" s="3845">
        <f>IF(K15="NA","NA",K15/Table8s2!$G$34*100)</f>
        <v>2.1314071316247893E-5</v>
      </c>
      <c r="O15" s="3848">
        <v>1665.7131873230082</v>
      </c>
      <c r="P15" s="3847">
        <f>Summary2!E15</f>
        <v>1665.7020870854221</v>
      </c>
      <c r="Q15" s="3839">
        <f t="shared" si="12"/>
        <v>-1.1100237586106232E-2</v>
      </c>
      <c r="R15" s="3847">
        <f t="shared" si="13"/>
        <v>-6.6639549176803869E-4</v>
      </c>
      <c r="S15" s="3844">
        <f>IF(Q15="NA","NA",Q15/Table8s2!$G$35*100)</f>
        <v>-2.028655281616801E-6</v>
      </c>
      <c r="T15" s="3845">
        <f>IF(Q15="NA","NA",Q15/Table8s2!$G$34*100)</f>
        <v>-1.809825030106868E-6</v>
      </c>
    </row>
    <row r="16" spans="2:20" ht="18" customHeight="1" x14ac:dyDescent="0.2">
      <c r="B16" s="1392" t="s">
        <v>1481</v>
      </c>
      <c r="C16" s="3847">
        <v>19709.206603456943</v>
      </c>
      <c r="D16" s="3839">
        <f>Summary2!C16</f>
        <v>19718.537468055074</v>
      </c>
      <c r="E16" s="3839">
        <f t="shared" si="4"/>
        <v>9.3308645981305744</v>
      </c>
      <c r="F16" s="3847">
        <f t="shared" si="5"/>
        <v>4.7342669777960339E-2</v>
      </c>
      <c r="G16" s="3844">
        <f>IF(E16="NA","NA",E16/Table8s2!$G$35*100)</f>
        <v>1.7052885221791741E-3</v>
      </c>
      <c r="H16" s="3845">
        <f>IF(E16="NA","NA",E16/Table8s2!$G$34*100)</f>
        <v>1.5213397164914667E-3</v>
      </c>
      <c r="I16" s="3846">
        <v>1152.5388439437402</v>
      </c>
      <c r="J16" s="3839">
        <f>Summary2!D16</f>
        <v>1152.5405134221894</v>
      </c>
      <c r="K16" s="3839">
        <f t="shared" si="10"/>
        <v>1.6694784492301551E-3</v>
      </c>
      <c r="L16" s="3847">
        <f t="shared" si="11"/>
        <v>1.4485225014347966E-4</v>
      </c>
      <c r="M16" s="3844">
        <f>IF(K16="NA","NA",K16/Table8s2!$G$35*100)</f>
        <v>3.0511025077655199E-7</v>
      </c>
      <c r="N16" s="3845">
        <f>IF(K16="NA","NA",K16/Table8s2!$G$34*100)</f>
        <v>2.721981274006775E-7</v>
      </c>
      <c r="O16" s="3848">
        <v>172.97827144543484</v>
      </c>
      <c r="P16" s="3847">
        <f>Summary2!E16</f>
        <v>173.04849553898345</v>
      </c>
      <c r="Q16" s="3839">
        <f t="shared" si="12"/>
        <v>7.022409354860315E-2</v>
      </c>
      <c r="R16" s="3847">
        <f t="shared" si="13"/>
        <v>4.0597060521994521E-2</v>
      </c>
      <c r="S16" s="3844">
        <f>IF(Q16="NA","NA",Q16/Table8s2!$G$35*100)</f>
        <v>1.283400262102847E-5</v>
      </c>
      <c r="T16" s="3845">
        <f>IF(Q16="NA","NA",Q16/Table8s2!$G$34*100)</f>
        <v>1.1449603779643993E-5</v>
      </c>
    </row>
    <row r="17" spans="2:20" ht="18" customHeight="1" x14ac:dyDescent="0.2">
      <c r="B17" s="1392" t="s">
        <v>1482</v>
      </c>
      <c r="C17" s="3847">
        <v>881.17643547805289</v>
      </c>
      <c r="D17" s="3839">
        <f>Summary2!C17</f>
        <v>881.17643547805289</v>
      </c>
      <c r="E17" s="3839">
        <f t="shared" si="4"/>
        <v>0</v>
      </c>
      <c r="F17" s="3847">
        <f t="shared" si="5"/>
        <v>0</v>
      </c>
      <c r="G17" s="3844">
        <f>IF(E17="NA","NA",E17/Table8s2!$G$35*100)</f>
        <v>0</v>
      </c>
      <c r="H17" s="3845">
        <f>IF(E17="NA","NA",E17/Table8s2!$G$34*100)</f>
        <v>0</v>
      </c>
      <c r="I17" s="3846">
        <v>0.86970565507586239</v>
      </c>
      <c r="J17" s="3839">
        <f>Summary2!D17</f>
        <v>0.86970565507586239</v>
      </c>
      <c r="K17" s="3839">
        <f t="shared" si="10"/>
        <v>0</v>
      </c>
      <c r="L17" s="3847">
        <f t="shared" si="11"/>
        <v>0</v>
      </c>
      <c r="M17" s="3844">
        <f>IF(K17="NA","NA",K17/Table8s2!$G$35*100)</f>
        <v>0</v>
      </c>
      <c r="N17" s="3845">
        <f>IF(K17="NA","NA",K17/Table8s2!$G$34*100)</f>
        <v>0</v>
      </c>
      <c r="O17" s="3848">
        <v>6.5586300617630595</v>
      </c>
      <c r="P17" s="3847">
        <f>Summary2!E17</f>
        <v>6.5586300617630604</v>
      </c>
      <c r="Q17" s="3839">
        <f t="shared" si="12"/>
        <v>8.8817841970012523E-16</v>
      </c>
      <c r="R17" s="3847">
        <f t="shared" si="13"/>
        <v>1.3542133209772307E-14</v>
      </c>
      <c r="S17" s="3844">
        <f>IF(Q17="NA","NA",Q17/Table8s2!$G$35*100)</f>
        <v>1.6232155646812289E-19</v>
      </c>
      <c r="T17" s="3845">
        <f>IF(Q17="NA","NA",Q17/Table8s2!$G$34*100)</f>
        <v>1.4481199368075093E-19</v>
      </c>
    </row>
    <row r="18" spans="2:20" ht="18" customHeight="1" x14ac:dyDescent="0.2">
      <c r="B18" s="620" t="s">
        <v>99</v>
      </c>
      <c r="C18" s="3847">
        <f>SUM(C19:C20)</f>
        <v>8189.7756491655737</v>
      </c>
      <c r="D18" s="3839">
        <f>Summary2!C18</f>
        <v>8189.7792891655736</v>
      </c>
      <c r="E18" s="3839">
        <f t="shared" si="4"/>
        <v>3.6399999999048305E-3</v>
      </c>
      <c r="F18" s="3847">
        <f t="shared" si="5"/>
        <v>4.4445661955046311E-5</v>
      </c>
      <c r="G18" s="3844">
        <f>IF(E18="NA","NA",E18/Table8s2!$G$35*100)</f>
        <v>6.6523848409648092E-7</v>
      </c>
      <c r="H18" s="3845">
        <f>IF(E18="NA","NA",E18/Table8s2!$G$34*100)</f>
        <v>5.9347946909374502E-7</v>
      </c>
      <c r="I18" s="3846">
        <f>SUM(I19:I20)</f>
        <v>37109.817860179421</v>
      </c>
      <c r="J18" s="3839">
        <f>Summary2!D18</f>
        <v>37110.011108144827</v>
      </c>
      <c r="K18" s="3839">
        <f t="shared" si="10"/>
        <v>0.19324796540604439</v>
      </c>
      <c r="L18" s="3847">
        <f t="shared" si="11"/>
        <v>5.2074619749995735E-4</v>
      </c>
      <c r="M18" s="3844">
        <f>IF(K18="NA","NA",K18/Table8s2!$G$35*100)</f>
        <v>3.5317577902419591E-5</v>
      </c>
      <c r="N18" s="3845">
        <f>IF(K18="NA","NA",K18/Table8s2!$G$34*100)</f>
        <v>3.1507884592204454E-5</v>
      </c>
      <c r="O18" s="3848">
        <f>SUM(O19:O20)</f>
        <v>27.820054195922314</v>
      </c>
      <c r="P18" s="3847">
        <f>Summary2!E18</f>
        <v>27.252017292696511</v>
      </c>
      <c r="Q18" s="3839">
        <f t="shared" si="12"/>
        <v>-0.5680369032258028</v>
      </c>
      <c r="R18" s="3847">
        <f t="shared" si="13"/>
        <v>-2.0418252934570562</v>
      </c>
      <c r="S18" s="3844">
        <f>IF(Q18="NA","NA",Q18/Table8s2!$G$35*100)</f>
        <v>-1.0381318912710779E-4</v>
      </c>
      <c r="T18" s="3845">
        <f>IF(Q18="NA","NA",Q18/Table8s2!$G$34*100)</f>
        <v>-9.2614901033219381E-5</v>
      </c>
    </row>
    <row r="19" spans="2:20" ht="18" customHeight="1" x14ac:dyDescent="0.2">
      <c r="B19" s="1392" t="s">
        <v>1483</v>
      </c>
      <c r="C19" s="3847">
        <v>1292.1040585003002</v>
      </c>
      <c r="D19" s="3839">
        <f>Summary2!C19</f>
        <v>1292.1040585003002</v>
      </c>
      <c r="E19" s="3839">
        <f t="shared" si="4"/>
        <v>0</v>
      </c>
      <c r="F19" s="3847">
        <f t="shared" si="5"/>
        <v>0</v>
      </c>
      <c r="G19" s="3844">
        <f>IF(E19="NA","NA",E19/Table8s2!$G$35*100)</f>
        <v>0</v>
      </c>
      <c r="H19" s="3845">
        <f>IF(E19="NA","NA",E19/Table8s2!$G$34*100)</f>
        <v>0</v>
      </c>
      <c r="I19" s="3846">
        <v>30854.699236819673</v>
      </c>
      <c r="J19" s="3839">
        <f>Summary2!D19</f>
        <v>30854.699236819681</v>
      </c>
      <c r="K19" s="3839">
        <f t="shared" si="10"/>
        <v>7.2759576141834259E-12</v>
      </c>
      <c r="L19" s="3847">
        <f t="shared" si="11"/>
        <v>2.3581359709061257E-14</v>
      </c>
      <c r="M19" s="3844">
        <f>IF(K19="NA","NA",K19/Table8s2!$G$35*100)</f>
        <v>1.3297381905868627E-15</v>
      </c>
      <c r="N19" s="3845">
        <f>IF(K19="NA","NA",K19/Table8s2!$G$34*100)</f>
        <v>1.1862998522327116E-15</v>
      </c>
      <c r="O19" s="3848">
        <v>0.12186949966402397</v>
      </c>
      <c r="P19" s="3847">
        <f>Summary2!E19</f>
        <v>0.12186949966402397</v>
      </c>
      <c r="Q19" s="3839">
        <f t="shared" si="12"/>
        <v>0</v>
      </c>
      <c r="R19" s="3847">
        <f t="shared" si="13"/>
        <v>0</v>
      </c>
      <c r="S19" s="3844">
        <f>IF(Q19="NA","NA",Q19/Table8s2!$G$35*100)</f>
        <v>0</v>
      </c>
      <c r="T19" s="3845">
        <f>IF(Q19="NA","NA",Q19/Table8s2!$G$34*100)</f>
        <v>0</v>
      </c>
    </row>
    <row r="20" spans="2:20" ht="18" customHeight="1" x14ac:dyDescent="0.2">
      <c r="B20" s="1393" t="s">
        <v>1484</v>
      </c>
      <c r="C20" s="3849">
        <v>6897.6715906652735</v>
      </c>
      <c r="D20" s="3850">
        <f>Summary2!C20</f>
        <v>6897.6752306652734</v>
      </c>
      <c r="E20" s="3850">
        <f t="shared" si="4"/>
        <v>3.6399999999048305E-3</v>
      </c>
      <c r="F20" s="3849">
        <f t="shared" si="5"/>
        <v>5.2771430939549216E-5</v>
      </c>
      <c r="G20" s="3851">
        <f>IF(E20="NA","NA",E20/Table8s2!$G$35*100)</f>
        <v>6.6523848409648092E-7</v>
      </c>
      <c r="H20" s="3852">
        <f>IF(E20="NA","NA",E20/Table8s2!$G$34*100)</f>
        <v>5.9347946909374502E-7</v>
      </c>
      <c r="I20" s="3853">
        <v>6255.11862335975</v>
      </c>
      <c r="J20" s="3850">
        <f>Summary2!D20</f>
        <v>6255.3118713251515</v>
      </c>
      <c r="K20" s="3839">
        <f t="shared" si="10"/>
        <v>0.19324796540149691</v>
      </c>
      <c r="L20" s="3847">
        <f t="shared" si="11"/>
        <v>3.0894372599076232E-3</v>
      </c>
      <c r="M20" s="3844">
        <f>IF(K20="NA","NA",K20/Table8s2!$G$35*100)</f>
        <v>3.5317577901588502E-5</v>
      </c>
      <c r="N20" s="3845">
        <f>IF(K20="NA","NA",K20/Table8s2!$G$34*100)</f>
        <v>3.1507884591463015E-5</v>
      </c>
      <c r="O20" s="3854">
        <v>27.698184696258291</v>
      </c>
      <c r="P20" s="3849">
        <f>Summary2!E20</f>
        <v>27.130147793032489</v>
      </c>
      <c r="Q20" s="3839">
        <f t="shared" si="12"/>
        <v>-0.5680369032258028</v>
      </c>
      <c r="R20" s="3847">
        <f t="shared" si="13"/>
        <v>-2.0508091394976438</v>
      </c>
      <c r="S20" s="3844">
        <f>IF(Q20="NA","NA",Q20/Table8s2!$G$35*100)</f>
        <v>-1.0381318912710779E-4</v>
      </c>
      <c r="T20" s="3845">
        <f>IF(Q20="NA","NA",Q20/Table8s2!$G$34*100)</f>
        <v>-9.2614901033219381E-5</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23357.88694344764</v>
      </c>
      <c r="D22" s="3839">
        <f>Summary2!C22</f>
        <v>23406.315239742638</v>
      </c>
      <c r="E22" s="3861">
        <f t="shared" si="4"/>
        <v>48.42829629499829</v>
      </c>
      <c r="F22" s="3861">
        <f t="shared" si="5"/>
        <v>0.20733166665396252</v>
      </c>
      <c r="G22" s="3862">
        <f>IF(E22="NA","NA",E22/Table8s2!$G$35*100)</f>
        <v>8.8506501141489557E-3</v>
      </c>
      <c r="H22" s="3863">
        <f>IF(E22="NA","NA",E22/Table8s2!$G$34*100)</f>
        <v>7.8959339491817618E-3</v>
      </c>
      <c r="I22" s="3839">
        <f>SUM(I23:I29)</f>
        <v>103.44540848731739</v>
      </c>
      <c r="J22" s="3839">
        <f>Summary2!D22</f>
        <v>103.44540848731739</v>
      </c>
      <c r="K22" s="3861">
        <f t="shared" ref="K22" si="14">IF(J22="NO",IF(I22="NO","NA",-I22),IF(I22="NO",J22,J22-I22))</f>
        <v>0</v>
      </c>
      <c r="L22" s="3861">
        <f t="shared" ref="L22" si="15">IF(K22="NA","NA",K22/I22*100)</f>
        <v>0</v>
      </c>
      <c r="M22" s="3862">
        <f>IF(K22="NA","NA",K22/Table8s2!$G$35*100)</f>
        <v>0</v>
      </c>
      <c r="N22" s="3863">
        <f>IF(K22="NA","NA",K22/Table8s2!$G$34*100)</f>
        <v>0</v>
      </c>
      <c r="O22" s="3839">
        <f>SUM(O23:O29)</f>
        <v>2805.3818973667157</v>
      </c>
      <c r="P22" s="3839">
        <f>Summary2!E22</f>
        <v>2805.3818973667157</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6303.975122199774</v>
      </c>
      <c r="D23" s="3839">
        <f>Summary2!C23</f>
        <v>6303.975122199774</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3538.2731075756228</v>
      </c>
      <c r="D24" s="3839">
        <f>Summary2!C24</f>
        <v>3586.5679135756236</v>
      </c>
      <c r="E24" s="3839">
        <f t="shared" si="4"/>
        <v>48.29480600000079</v>
      </c>
      <c r="F24" s="3847">
        <f t="shared" si="5"/>
        <v>1.3649258983598285</v>
      </c>
      <c r="G24" s="3844">
        <f>IF(E24="NA","NA",E24/Table8s2!$G$35*100)</f>
        <v>8.8262537181357549E-3</v>
      </c>
      <c r="H24" s="3845">
        <f>IF(E24="NA","NA",E24/Table8s2!$G$34*100)</f>
        <v>7.8741691828613358E-3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2786.5815411050421</v>
      </c>
      <c r="P24" s="3847">
        <f>Summary2!E24</f>
        <v>2786.5815411050421</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13036.785223962208</v>
      </c>
      <c r="D25" s="3839">
        <f>Summary2!C25</f>
        <v>13036.785223962206</v>
      </c>
      <c r="E25" s="3839">
        <f t="shared" si="4"/>
        <v>-1.8189894035458565E-12</v>
      </c>
      <c r="F25" s="3847">
        <f t="shared" si="5"/>
        <v>-1.3952745038726808E-14</v>
      </c>
      <c r="G25" s="3844">
        <f>IF(E25="NA","NA",E25/Table8s2!$G$35*100)</f>
        <v>-3.3243454764671568E-16</v>
      </c>
      <c r="H25" s="3845">
        <f>IF(E25="NA","NA",E25/Table8s2!$G$34*100)</f>
        <v>-2.9657496305817791E-16</v>
      </c>
      <c r="I25" s="3846">
        <v>87.268027687317399</v>
      </c>
      <c r="J25" s="3839">
        <f>Summary2!D25</f>
        <v>87.268027687317399</v>
      </c>
      <c r="K25" s="3839">
        <f t="shared" ref="K25:K26" si="22">IF(J25="NO",IF(I25="NO","NA",-I25),IF(I25="NO",J25,J25-I25))</f>
        <v>0</v>
      </c>
      <c r="L25" s="3847">
        <f t="shared" ref="L25:L26" si="23">IF(K25="NA","NA",K25/I25*100)</f>
        <v>0</v>
      </c>
      <c r="M25" s="3844">
        <f>IF(K25="NA","NA",K25/Table8s2!$G$35*100)</f>
        <v>0</v>
      </c>
      <c r="N25" s="3845">
        <f>IF(K25="NA","NA",K25/Table8s2!$G$34*100)</f>
        <v>0</v>
      </c>
      <c r="O25" s="3848">
        <v>18.800356261673851</v>
      </c>
      <c r="P25" s="3847">
        <f>Summary2!E25</f>
        <v>18.800356261673855</v>
      </c>
      <c r="Q25" s="3839">
        <f t="shared" ref="Q25:Q29" si="24">IF(P25="NO",IF(O25="NO","NA",-O25),IF(O25="NO",P25,P25-O25))</f>
        <v>3.5527136788005009E-15</v>
      </c>
      <c r="R25" s="3847">
        <f t="shared" ref="R25:R29" si="25">IF(Q25="NA","NA",Q25/O25*100)</f>
        <v>1.8897055084232709E-14</v>
      </c>
      <c r="S25" s="3844">
        <f>IF(Q25="NA","NA",Q25/Table8s2!$G$35*100)</f>
        <v>6.4928622587249157E-19</v>
      </c>
      <c r="T25" s="3845">
        <f>IF(Q25="NA","NA",Q25/Table8s2!$G$34*100)</f>
        <v>5.7924797472300373E-19</v>
      </c>
    </row>
    <row r="26" spans="2:20" ht="18" customHeight="1" x14ac:dyDescent="0.2">
      <c r="B26" s="1395" t="s">
        <v>1519</v>
      </c>
      <c r="C26" s="3839">
        <v>247.40062070000002</v>
      </c>
      <c r="D26" s="3839">
        <f>Summary2!C26</f>
        <v>247.53411099499993</v>
      </c>
      <c r="E26" s="3839">
        <f t="shared" si="4"/>
        <v>0.13349029499991616</v>
      </c>
      <c r="F26" s="3847">
        <f t="shared" si="5"/>
        <v>5.395713827322509E-2</v>
      </c>
      <c r="G26" s="3844">
        <f>IF(E26="NA","NA",E26/Table8s2!$G$35*100)</f>
        <v>2.4396396013642321E-5</v>
      </c>
      <c r="H26" s="3845">
        <f>IF(E26="NA","NA",E26/Table8s2!$G$34*100)</f>
        <v>2.1764766320821151E-5</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231.45286901003672</v>
      </c>
      <c r="D29" s="3855">
        <f>Summary2!C30</f>
        <v>231.45286901003672</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2189.1387733806687</v>
      </c>
      <c r="D30" s="3875">
        <f>Summary2!C31</f>
        <v>2189.1387733806687</v>
      </c>
      <c r="E30" s="3861">
        <f t="shared" si="4"/>
        <v>0</v>
      </c>
      <c r="F30" s="3876">
        <f t="shared" si="5"/>
        <v>0</v>
      </c>
      <c r="G30" s="3877">
        <f>IF(E30="NA","NA",E30/Table8s2!$G$35*100)</f>
        <v>0</v>
      </c>
      <c r="H30" s="3878">
        <f>IF(E30="NA","NA",E30/Table8s2!$G$34*100)</f>
        <v>0</v>
      </c>
      <c r="I30" s="3874">
        <f>SUM(I31:I40)</f>
        <v>62139.230589161678</v>
      </c>
      <c r="J30" s="3875">
        <f>Summary2!D31</f>
        <v>62139.230589161678</v>
      </c>
      <c r="K30" s="3861">
        <f t="shared" ref="K30" si="28">IF(J30="NO",IF(I30="NO","NA",-I30),IF(I30="NO",J30,J30-I30))</f>
        <v>0</v>
      </c>
      <c r="L30" s="3876">
        <f t="shared" ref="L30" si="29">IF(K30="NA","NA",K30/I30*100)</f>
        <v>0</v>
      </c>
      <c r="M30" s="3877">
        <f>IF(K30="NA","NA",K30/Table8s2!$G$35*100)</f>
        <v>0</v>
      </c>
      <c r="N30" s="3878">
        <f>IF(K30="NA","NA",K30/Table8s2!$G$34*100)</f>
        <v>0</v>
      </c>
      <c r="O30" s="3874">
        <f>SUM(O31:O40)</f>
        <v>10772.004071239409</v>
      </c>
      <c r="P30" s="3875">
        <f>Summary2!E31</f>
        <v>10772.065687668601</v>
      </c>
      <c r="Q30" s="3861">
        <f t="shared" ref="Q30" si="30">IF(P30="NO",IF(O30="NO","NA",-O30),IF(O30="NO",P30,P30-O30))</f>
        <v>6.161642919141741E-2</v>
      </c>
      <c r="R30" s="3880">
        <f t="shared" ref="R30" si="31">IF(Q30="NA","NA",Q30/O30*100)</f>
        <v>5.7200525346931032E-4</v>
      </c>
      <c r="S30" s="3881">
        <f>IF(Q30="NA","NA",Q30/Table8s2!$G$35*100)</f>
        <v>1.1260884602145155E-5</v>
      </c>
      <c r="T30" s="3882">
        <f>IF(Q30="NA","NA",Q30/Table8s2!$G$34*100)</f>
        <v>1.0046177385970008E-5</v>
      </c>
    </row>
    <row r="31" spans="2:20" ht="18" customHeight="1" x14ac:dyDescent="0.2">
      <c r="B31" s="620" t="s">
        <v>1492</v>
      </c>
      <c r="C31" s="3867"/>
      <c r="D31" s="3867"/>
      <c r="E31" s="3868"/>
      <c r="F31" s="3868"/>
      <c r="G31" s="3869"/>
      <c r="H31" s="3870"/>
      <c r="I31" s="3846">
        <v>55261.450143362061</v>
      </c>
      <c r="J31" s="3839">
        <f>Summary2!D32</f>
        <v>55261.450143362053</v>
      </c>
      <c r="K31" s="3883">
        <f t="shared" ref="K31:K33" si="32">IF(J31="NO",IF(I31="NO","NA",-I31),IF(I31="NO",J31,J31-I31))</f>
        <v>-7.2759576141834259E-12</v>
      </c>
      <c r="L31" s="3883">
        <f t="shared" ref="L31:L33" si="33">IF(K31="NA","NA",K31/I31*100)</f>
        <v>-1.3166425411037471E-14</v>
      </c>
      <c r="M31" s="3884">
        <f>IF(K31="NA","NA",K31/Table8s2!$G$35*100)</f>
        <v>-1.3297381905868627E-15</v>
      </c>
      <c r="N31" s="3885">
        <f>IF(K31="NA","NA",K31/Table8s2!$G$34*100)</f>
        <v>-1.1862998522327116E-15</v>
      </c>
      <c r="O31" s="3886"/>
      <c r="P31" s="3887"/>
      <c r="Q31" s="3868"/>
      <c r="R31" s="3888"/>
      <c r="S31" s="3889"/>
      <c r="T31" s="3890"/>
    </row>
    <row r="32" spans="2:20" ht="18" customHeight="1" x14ac:dyDescent="0.2">
      <c r="B32" s="620" t="s">
        <v>1493</v>
      </c>
      <c r="C32" s="3891"/>
      <c r="D32" s="3891"/>
      <c r="E32" s="3892"/>
      <c r="F32" s="3892"/>
      <c r="G32" s="3869"/>
      <c r="H32" s="3870"/>
      <c r="I32" s="3846">
        <v>6601.8513900990602</v>
      </c>
      <c r="J32" s="3847">
        <f>Summary2!D33</f>
        <v>6601.8513900990611</v>
      </c>
      <c r="K32" s="3893">
        <f t="shared" si="32"/>
        <v>9.0949470177292824E-13</v>
      </c>
      <c r="L32" s="3893">
        <f t="shared" si="33"/>
        <v>1.3776358297566605E-14</v>
      </c>
      <c r="M32" s="3884">
        <f>IF(K32="NA","NA",K32/Table8s2!$G$35*100)</f>
        <v>1.6621727382335784E-16</v>
      </c>
      <c r="N32" s="3885">
        <f>IF(K32="NA","NA",K32/Table8s2!$G$34*100)</f>
        <v>1.4828748152908895E-16</v>
      </c>
      <c r="O32" s="3848">
        <v>406.43566851035598</v>
      </c>
      <c r="P32" s="3847">
        <f>Summary2!E33</f>
        <v>406.43566851035609</v>
      </c>
      <c r="Q32" s="3893">
        <f t="shared" ref="Q32" si="34">IF(P32="NO",IF(O32="NO","NA",-O32),IF(O32="NO",P32,P32-O32))</f>
        <v>1.1368683772161603E-13</v>
      </c>
      <c r="R32" s="3894">
        <f t="shared" ref="R32" si="35">IF(Q32="NA","NA",Q32/O32*100)</f>
        <v>2.7971668465588738E-14</v>
      </c>
      <c r="S32" s="3895">
        <f>IF(Q32="NA","NA",Q32/Table8s2!$G$35*100)</f>
        <v>2.077715922791973E-17</v>
      </c>
      <c r="T32" s="3896">
        <f>IF(Q32="NA","NA",Q32/Table8s2!$G$34*100)</f>
        <v>1.8535935191136119E-17</v>
      </c>
    </row>
    <row r="33" spans="2:21" ht="18" customHeight="1" x14ac:dyDescent="0.2">
      <c r="B33" s="620" t="s">
        <v>1494</v>
      </c>
      <c r="C33" s="3891"/>
      <c r="D33" s="3891"/>
      <c r="E33" s="3892"/>
      <c r="F33" s="3892"/>
      <c r="G33" s="3897"/>
      <c r="H33" s="3898"/>
      <c r="I33" s="3848">
        <v>84.227805200000006</v>
      </c>
      <c r="J33" s="3847">
        <f>Summary2!D34</f>
        <v>84.227805200000006</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10291.024235300927</v>
      </c>
      <c r="P34" s="3847">
        <f>Summary2!E35</f>
        <v>10291.085851730119</v>
      </c>
      <c r="Q34" s="3893">
        <f t="shared" ref="Q34" si="36">IF(P34="NO",IF(O34="NO","NA",-O34),IF(O34="NO",P34,P34-O34))</f>
        <v>6.161642919141741E-2</v>
      </c>
      <c r="R34" s="3894">
        <f t="shared" ref="R34" si="37">IF(Q34="NA","NA",Q34/O34*100)</f>
        <v>5.9873952079577081E-4</v>
      </c>
      <c r="S34" s="3895">
        <f>IF(Q34="NA","NA",Q34/Table8s2!$G$35*100)</f>
        <v>1.1260884602145155E-5</v>
      </c>
      <c r="T34" s="3896">
        <f>IF(Q34="NA","NA",Q34/Table8s2!$G$34*100)</f>
        <v>1.0046177385970008E-5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191.70125050056131</v>
      </c>
      <c r="J36" s="3847">
        <f>Summary2!D37</f>
        <v>191.70125050056134</v>
      </c>
      <c r="K36" s="3893">
        <f t="shared" ref="K36" si="38">IF(J36="NO",IF(I36="NO","NA",-I36),IF(I36="NO",J36,J36-I36))</f>
        <v>2.8421709430404007E-14</v>
      </c>
      <c r="L36" s="3893">
        <f t="shared" ref="L36" si="39">IF(K36="NA","NA",K36/I36*100)</f>
        <v>1.4826042791161023E-14</v>
      </c>
      <c r="M36" s="3884">
        <f>IF(K36="NA","NA",K36/Table8s2!$G$35*100)</f>
        <v>5.1942898069799326E-18</v>
      </c>
      <c r="N36" s="3885">
        <f>IF(K36="NA","NA",K36/Table8s2!$G$34*100)</f>
        <v>4.6339837977840298E-18</v>
      </c>
      <c r="O36" s="3848">
        <v>74.544167428125974</v>
      </c>
      <c r="P36" s="3847">
        <f>Summary2!E37</f>
        <v>74.544167428125974</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1252.8287349164823</v>
      </c>
      <c r="D37" s="3847">
        <f>Summary2!C38</f>
        <v>1252.8287349164823</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936.31003846418662</v>
      </c>
      <c r="D38" s="3847">
        <f>Summary2!C39</f>
        <v>936.31003846418662</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41474.691090608889</v>
      </c>
      <c r="D41" s="3839">
        <f>Summary2!C42</f>
        <v>41156.259006938919</v>
      </c>
      <c r="E41" s="3929">
        <f t="shared" ref="E41" si="42">IF(D41="NO",IF(C41="NO","NA",-C41),IF(C41="NO",D41,D41-C41))</f>
        <v>-318.43208366996987</v>
      </c>
      <c r="F41" s="3929">
        <f t="shared" ref="F41" si="43">IF(E41="NA","NA",E41/C41*100)</f>
        <v>-0.7677744554487409</v>
      </c>
      <c r="G41" s="3869"/>
      <c r="H41" s="3929">
        <f>IF(E41="NA","NA",E41/Table8s2!$G$34*100)</f>
        <v>-5.1918380209837849E-2</v>
      </c>
      <c r="I41" s="3846">
        <f>SUM(I42:I49)</f>
        <v>21469.863094025059</v>
      </c>
      <c r="J41" s="3839">
        <f>Summary2!D42</f>
        <v>19984.246681617478</v>
      </c>
      <c r="K41" s="3929">
        <f t="shared" ref="K41:K46" si="44">IF(J41="NO",IF(I41="NO","NA",-I41),IF(I41="NO",J41,J41-I41))</f>
        <v>-1485.6164124075804</v>
      </c>
      <c r="L41" s="3929">
        <f t="shared" ref="L41:L46" si="45">IF(K41="NA","NA",K41/I41*100)</f>
        <v>-6.9195430166530443</v>
      </c>
      <c r="M41" s="3889"/>
      <c r="N41" s="3930">
        <f>IF(K41="NA","NA",K41/Table8s2!$G$34*100)</f>
        <v>-0.24222056036693873</v>
      </c>
      <c r="O41" s="3846">
        <f>SUM(O42:O49)</f>
        <v>5077.3518465897123</v>
      </c>
      <c r="P41" s="3839">
        <f>Summary2!E42</f>
        <v>5019.3863170260638</v>
      </c>
      <c r="Q41" s="3929">
        <f t="shared" ref="Q41" si="46">IF(P41="NO",IF(O41="NO","NA",-O41),IF(O41="NO",P41,P41-O41))</f>
        <v>-57.965529563648488</v>
      </c>
      <c r="R41" s="3929">
        <f t="shared" ref="R41" si="47">IF(Q41="NA","NA",Q41/O41*100)</f>
        <v>-1.1416488617502842</v>
      </c>
      <c r="S41" s="3889"/>
      <c r="T41" s="3930">
        <f>IF(Q41="NA","NA",Q41/Table8s2!$G$34*100)</f>
        <v>-9.4509208000195955E-3</v>
      </c>
      <c r="U41" s="713"/>
    </row>
    <row r="42" spans="2:21" ht="18" customHeight="1" x14ac:dyDescent="0.2">
      <c r="B42" s="620" t="s">
        <v>981</v>
      </c>
      <c r="C42" s="3847">
        <v>-24960.831269630999</v>
      </c>
      <c r="D42" s="3847">
        <f>Summary2!C43</f>
        <v>-27019.47421927566</v>
      </c>
      <c r="E42" s="3931">
        <f t="shared" ref="E42:E50" si="48">IF(D42="NO",IF(C42="NO","NA",-C42),IF(C42="NO",D42,D42-C42))</f>
        <v>-2058.6429496446617</v>
      </c>
      <c r="F42" s="3931">
        <f t="shared" ref="F42:F50" si="49">IF(E42="NA","NA",E42/C42*100)</f>
        <v>8.2474935526259614</v>
      </c>
      <c r="G42" s="3889"/>
      <c r="H42" s="3931">
        <f>IF(E42="NA","NA",E42/Table8s2!$G$34*100)</f>
        <v>-0.33564899034083479</v>
      </c>
      <c r="I42" s="3848">
        <v>8931.1130233091717</v>
      </c>
      <c r="J42" s="3847">
        <f>Summary2!D43</f>
        <v>8490.69321739521</v>
      </c>
      <c r="K42" s="3931">
        <f t="shared" si="44"/>
        <v>-440.41980591396168</v>
      </c>
      <c r="L42" s="3931">
        <f t="shared" si="45"/>
        <v>-4.9312980897735468</v>
      </c>
      <c r="M42" s="3889"/>
      <c r="N42" s="3932">
        <f>IF(K42="NA","NA",K42/Table8s2!$G$34*100)</f>
        <v>-7.1807723241489582E-2</v>
      </c>
      <c r="O42" s="3848">
        <v>1755.7129556257105</v>
      </c>
      <c r="P42" s="3847">
        <f>Summary2!E43</f>
        <v>1717.4629447784378</v>
      </c>
      <c r="Q42" s="3931">
        <f t="shared" ref="Q42:Q46" si="50">IF(P42="NO",IF(O42="NO","NA",-O42),IF(O42="NO",P42,P42-O42))</f>
        <v>-38.250010847272733</v>
      </c>
      <c r="R42" s="3931">
        <f t="shared" ref="R42:R46" si="51">IF(Q42="NA","NA",Q42/O42*100)</f>
        <v>-2.178602756487662</v>
      </c>
      <c r="S42" s="3889"/>
      <c r="T42" s="3932">
        <f>IF(Q42="NA","NA",Q42/Table8s2!$G$34*100)</f>
        <v>-6.2364275085337716E-3</v>
      </c>
      <c r="U42" s="713"/>
    </row>
    <row r="43" spans="2:21" ht="18" customHeight="1" x14ac:dyDescent="0.2">
      <c r="B43" s="620" t="s">
        <v>984</v>
      </c>
      <c r="C43" s="3847">
        <v>5075.1509106719805</v>
      </c>
      <c r="D43" s="3847">
        <f>Summary2!C44</f>
        <v>5069.6846030701599</v>
      </c>
      <c r="E43" s="3931">
        <f t="shared" si="48"/>
        <v>-5.4663076018205174</v>
      </c>
      <c r="F43" s="3931">
        <f t="shared" si="49"/>
        <v>-0.10770729182310651</v>
      </c>
      <c r="G43" s="3889"/>
      <c r="H43" s="3931">
        <f>IF(E43="NA","NA",E43/Table8s2!$G$34*100)</f>
        <v>-8.9124761909790181E-4</v>
      </c>
      <c r="I43" s="3848">
        <v>57.138592941610824</v>
      </c>
      <c r="J43" s="3847">
        <f>Summary2!D44</f>
        <v>57.509423999999996</v>
      </c>
      <c r="K43" s="3931">
        <f t="shared" si="44"/>
        <v>0.37083105838917163</v>
      </c>
      <c r="L43" s="3931">
        <f t="shared" si="45"/>
        <v>0.64900278305438674</v>
      </c>
      <c r="M43" s="3889"/>
      <c r="N43" s="3932">
        <f>IF(K43="NA","NA",K43/Table8s2!$G$34*100)</f>
        <v>6.0461708698360233E-5</v>
      </c>
      <c r="O43" s="3848">
        <v>47.298720972525985</v>
      </c>
      <c r="P43" s="3847">
        <f>Summary2!E44</f>
        <v>47.084964409953933</v>
      </c>
      <c r="Q43" s="3931">
        <f t="shared" si="50"/>
        <v>-0.21375656257205122</v>
      </c>
      <c r="R43" s="3931">
        <f t="shared" si="51"/>
        <v>-0.45192884326875182</v>
      </c>
      <c r="S43" s="3889"/>
      <c r="T43" s="3932">
        <f>IF(Q43="NA","NA",Q43/Table8s2!$G$34*100)</f>
        <v>-3.4851684415901553E-5</v>
      </c>
      <c r="U43" s="713"/>
    </row>
    <row r="44" spans="2:21" ht="18" customHeight="1" x14ac:dyDescent="0.2">
      <c r="B44" s="620" t="s">
        <v>987</v>
      </c>
      <c r="C44" s="3847">
        <v>60521.314429185077</v>
      </c>
      <c r="D44" s="3847">
        <f>Summary2!C45</f>
        <v>61752.143609332081</v>
      </c>
      <c r="E44" s="3931">
        <f t="shared" si="48"/>
        <v>1230.8291801470041</v>
      </c>
      <c r="F44" s="3931">
        <f t="shared" si="49"/>
        <v>2.0337119108461787</v>
      </c>
      <c r="G44" s="3889"/>
      <c r="H44" s="3931">
        <f>IF(E44="NA","NA",E44/Table8s2!$G$34*100)</f>
        <v>0.20067907923017358</v>
      </c>
      <c r="I44" s="3848">
        <v>8782.4827777851242</v>
      </c>
      <c r="J44" s="3847">
        <f>Summary2!D45</f>
        <v>8801.7079231757089</v>
      </c>
      <c r="K44" s="3931">
        <f t="shared" si="44"/>
        <v>19.225145390584657</v>
      </c>
      <c r="L44" s="3931">
        <f t="shared" si="45"/>
        <v>0.21890330874560615</v>
      </c>
      <c r="M44" s="3889"/>
      <c r="N44" s="3932">
        <f>IF(K44="NA","NA",K44/Table8s2!$G$34*100)</f>
        <v>3.1345409560309214E-3</v>
      </c>
      <c r="O44" s="3848">
        <v>3114.7352815740883</v>
      </c>
      <c r="P44" s="3847">
        <f>Summary2!E45</f>
        <v>3094.2887827538252</v>
      </c>
      <c r="Q44" s="3931">
        <f t="shared" si="50"/>
        <v>-20.446498820263059</v>
      </c>
      <c r="R44" s="3931">
        <f t="shared" si="51"/>
        <v>-0.65644419097888951</v>
      </c>
      <c r="S44" s="3889"/>
      <c r="T44" s="3932">
        <f>IF(Q44="NA","NA",Q44/Table8s2!$G$34*100)</f>
        <v>-3.3336750728002388E-3</v>
      </c>
      <c r="U44" s="713"/>
    </row>
    <row r="45" spans="2:21" ht="18" customHeight="1" x14ac:dyDescent="0.2">
      <c r="B45" s="620" t="s">
        <v>1525</v>
      </c>
      <c r="C45" s="3847">
        <v>993.46517699656249</v>
      </c>
      <c r="D45" s="3847">
        <f>Summary2!C46</f>
        <v>1008.7166343037356</v>
      </c>
      <c r="E45" s="3931">
        <f t="shared" si="48"/>
        <v>15.251457307173155</v>
      </c>
      <c r="F45" s="3931">
        <f t="shared" si="49"/>
        <v>1.5351778462211692</v>
      </c>
      <c r="G45" s="3889"/>
      <c r="H45" s="3931">
        <f>IF(E45="NA","NA",E45/Table8s2!$G$34*100)</f>
        <v>2.4866557103856305E-3</v>
      </c>
      <c r="I45" s="3848">
        <v>3622.2939001923396</v>
      </c>
      <c r="J45" s="3847">
        <f>Summary2!D46</f>
        <v>2555.2391634465607</v>
      </c>
      <c r="K45" s="3931">
        <f t="shared" si="44"/>
        <v>-1067.0547367457789</v>
      </c>
      <c r="L45" s="3931">
        <f t="shared" si="45"/>
        <v>-29.457983425616558</v>
      </c>
      <c r="M45" s="3889"/>
      <c r="N45" s="3932">
        <f>IF(K45="NA","NA",K45/Table8s2!$G$34*100)</f>
        <v>-0.17397666996549671</v>
      </c>
      <c r="O45" s="3848">
        <v>100.1905785025083</v>
      </c>
      <c r="P45" s="3847">
        <f>Summary2!E46</f>
        <v>100.68111157223103</v>
      </c>
      <c r="Q45" s="3931">
        <f t="shared" si="50"/>
        <v>0.49053306972272992</v>
      </c>
      <c r="R45" s="3931">
        <f t="shared" si="51"/>
        <v>0.48959999737944349</v>
      </c>
      <c r="S45" s="3889"/>
      <c r="T45" s="3932">
        <f>IF(Q45="NA","NA",Q45/Table8s2!$G$34*100)</f>
        <v>7.9978380714170949E-5</v>
      </c>
      <c r="U45" s="713"/>
    </row>
    <row r="46" spans="2:21" ht="18" customHeight="1" x14ac:dyDescent="0.2">
      <c r="B46" s="620" t="s">
        <v>1526</v>
      </c>
      <c r="C46" s="3847">
        <v>4539.5178162562297</v>
      </c>
      <c r="D46" s="3847">
        <f>Summary2!C47</f>
        <v>4573.2206086710739</v>
      </c>
      <c r="E46" s="3931">
        <f t="shared" si="48"/>
        <v>33.702792414844225</v>
      </c>
      <c r="F46" s="3931">
        <f t="shared" si="49"/>
        <v>0.74243110786244559</v>
      </c>
      <c r="G46" s="3889"/>
      <c r="H46" s="3931">
        <f>IF(E46="NA","NA",E46/Table8s2!$G$34*100)</f>
        <v>5.4950316895223646E-3</v>
      </c>
      <c r="I46" s="3848">
        <v>76.83479979681367</v>
      </c>
      <c r="J46" s="3847">
        <f>Summary2!D47</f>
        <v>79.096953600000006</v>
      </c>
      <c r="K46" s="3931">
        <f t="shared" si="44"/>
        <v>2.2621538031863366</v>
      </c>
      <c r="L46" s="3931">
        <f t="shared" si="45"/>
        <v>2.9441786913852908</v>
      </c>
      <c r="M46" s="3889"/>
      <c r="N46" s="3932">
        <f>IF(K46="NA","NA",K46/Table8s2!$G$34*100)</f>
        <v>3.6883017531827596E-4</v>
      </c>
      <c r="O46" s="3848">
        <v>25.523960252522382</v>
      </c>
      <c r="P46" s="3847">
        <f>Summary2!E47</f>
        <v>25.978163849260394</v>
      </c>
      <c r="Q46" s="3931">
        <f t="shared" si="50"/>
        <v>0.45420359673801158</v>
      </c>
      <c r="R46" s="3931">
        <f t="shared" si="51"/>
        <v>1.7795185082735163</v>
      </c>
      <c r="S46" s="3889"/>
      <c r="T46" s="3932">
        <f>IF(Q46="NA","NA",Q46/Table8s2!$G$34*100)</f>
        <v>7.4055085016371528E-5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-4694.3326644010267</v>
      </c>
      <c r="D48" s="3847">
        <f>Summary2!C49</f>
        <v>-4228.4389206935439</v>
      </c>
      <c r="E48" s="3931">
        <f t="shared" si="48"/>
        <v>465.89374370748283</v>
      </c>
      <c r="F48" s="3931">
        <f t="shared" si="49"/>
        <v>-9.9246000872613607</v>
      </c>
      <c r="G48" s="3889"/>
      <c r="H48" s="3931">
        <f>IF(E48="NA","NA",E48/Table8s2!$G$34*100)</f>
        <v>7.5961091120011925E-2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0.40669153106816663</v>
      </c>
      <c r="D49" s="3855">
        <f>Summary2!C50</f>
        <v>0.40669153106816663</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33.890349662355916</v>
      </c>
      <c r="P49" s="3855">
        <f>Summary2!E50</f>
        <v>33.890349662355916</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30.362806605700698</v>
      </c>
      <c r="D50" s="3839">
        <f>Summary2!C51</f>
        <v>30.362806605700698</v>
      </c>
      <c r="E50" s="3839">
        <f t="shared" si="48"/>
        <v>0</v>
      </c>
      <c r="F50" s="3839">
        <f t="shared" si="49"/>
        <v>0</v>
      </c>
      <c r="G50" s="3844">
        <f>IF(E50="NA","NA",E50/Table8s2!$G$35*100)</f>
        <v>0</v>
      </c>
      <c r="H50" s="3845">
        <f>IF(E50="NA","NA",E50/Table8s2!$G$34*100)</f>
        <v>0</v>
      </c>
      <c r="I50" s="3839">
        <f>SUM(I51:I55)</f>
        <v>15621.444013941782</v>
      </c>
      <c r="J50" s="3839">
        <f>Summary2!D51</f>
        <v>15667.346516722126</v>
      </c>
      <c r="K50" s="3839">
        <f t="shared" ref="K50" si="54">IF(J50="NO",IF(I50="NO","NA",-I50),IF(I50="NO",J50,J50-I50))</f>
        <v>45.902502780343639</v>
      </c>
      <c r="L50" s="3839">
        <f t="shared" ref="L50" si="55">IF(K50="NA","NA",K50/I50*100)</f>
        <v>0.29384289147262382</v>
      </c>
      <c r="M50" s="3844">
        <f>IF(K50="NA","NA",K50/Table8s2!$G$35*100)</f>
        <v>8.3890415842386486E-3</v>
      </c>
      <c r="N50" s="3845">
        <f>IF(K50="NA","NA",K50/Table8s2!$G$34*100)</f>
        <v>7.4841189507870208E-3</v>
      </c>
      <c r="O50" s="3839">
        <f>SUM(O51:O55)</f>
        <v>582.96777767070046</v>
      </c>
      <c r="P50" s="3839">
        <f>Summary2!E51</f>
        <v>356.10487550969083</v>
      </c>
      <c r="Q50" s="3839">
        <f t="shared" si="52"/>
        <v>-226.86290216100963</v>
      </c>
      <c r="R50" s="3839">
        <f t="shared" si="53"/>
        <v>-38.91517007465842</v>
      </c>
      <c r="S50" s="3844">
        <f>IF(Q50="NA","NA",Q50/Table8s2!$G$35*100)</f>
        <v>-4.1460970641556079E-2</v>
      </c>
      <c r="T50" s="3845">
        <f>IF(Q50="NA","NA",Q50/Table8s2!$G$34*100)</f>
        <v>-3.6988591960192968E-2</v>
      </c>
    </row>
    <row r="51" spans="2:21" ht="18" customHeight="1" x14ac:dyDescent="0.2">
      <c r="B51" s="620" t="s">
        <v>1530</v>
      </c>
      <c r="C51" s="3918"/>
      <c r="D51" s="3918"/>
      <c r="E51" s="3888"/>
      <c r="F51" s="3903"/>
      <c r="G51" s="3904"/>
      <c r="H51" s="3905"/>
      <c r="I51" s="3839">
        <v>12948.579550779654</v>
      </c>
      <c r="J51" s="3839">
        <f>Summary2!D52</f>
        <v>12994.482053559999</v>
      </c>
      <c r="K51" s="3839">
        <f t="shared" ref="K51:K52" si="56">IF(J51="NO",IF(I51="NO","NA",-I51),IF(I51="NO",J51,J51-I51))</f>
        <v>45.902502780345458</v>
      </c>
      <c r="L51" s="3839">
        <f t="shared" ref="L51:L52" si="57">IF(K51="NA","NA",K51/I51*100)</f>
        <v>0.35449836486181679</v>
      </c>
      <c r="M51" s="3844">
        <f>IF(K51="NA","NA",K51/Table8s2!$G$35*100)</f>
        <v>8.3890415842389817E-3</v>
      </c>
      <c r="N51" s="3845">
        <f>IF(K51="NA","NA",K51/Table8s2!$G$34*100)</f>
        <v>7.4841189507873175E-3</v>
      </c>
      <c r="O51" s="3886"/>
      <c r="P51" s="3887"/>
      <c r="Q51" s="3940"/>
      <c r="R51" s="3941"/>
      <c r="S51" s="3942"/>
      <c r="T51" s="3943"/>
    </row>
    <row r="52" spans="2:21" ht="18" customHeight="1" x14ac:dyDescent="0.2">
      <c r="B52" s="1396" t="s">
        <v>1531</v>
      </c>
      <c r="C52" s="3918"/>
      <c r="D52" s="3918"/>
      <c r="E52" s="3888"/>
      <c r="F52" s="3903"/>
      <c r="G52" s="3904"/>
      <c r="H52" s="3905"/>
      <c r="I52" s="3849">
        <v>95.267109209999987</v>
      </c>
      <c r="J52" s="3847">
        <f>Summary2!D53</f>
        <v>95.267109209999987</v>
      </c>
      <c r="K52" s="3839">
        <f t="shared" si="56"/>
        <v>0</v>
      </c>
      <c r="L52" s="3839">
        <f t="shared" si="57"/>
        <v>0</v>
      </c>
      <c r="M52" s="3844">
        <f>IF(K52="NA","NA",K52/Table8s2!$G$35*100)</f>
        <v>0</v>
      </c>
      <c r="N52" s="3845">
        <f>IF(K52="NA","NA",K52/Table8s2!$G$34*100)</f>
        <v>0</v>
      </c>
      <c r="O52" s="3839">
        <v>115.40929801440001</v>
      </c>
      <c r="P52" s="3839">
        <f>Summary2!E53</f>
        <v>115.40929801440001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30.362806605700698</v>
      </c>
      <c r="D53" s="3839">
        <f>Summary2!C54</f>
        <v>30.362806605700698</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2577.5973539521265</v>
      </c>
      <c r="J54" s="3847">
        <f>Summary2!D55</f>
        <v>2577.5973539521265</v>
      </c>
      <c r="K54" s="3839">
        <f t="shared" ref="K54" si="62">IF(J54="NO",IF(I54="NO","NA",-I54),IF(I54="NO",J54,J54-I54))</f>
        <v>0</v>
      </c>
      <c r="L54" s="3839">
        <f t="shared" ref="L54" si="63">IF(K54="NA","NA",K54/I54*100)</f>
        <v>0</v>
      </c>
      <c r="M54" s="3844">
        <f>IF(K54="NA","NA",K54/Table8s2!$G$35*100)</f>
        <v>0</v>
      </c>
      <c r="N54" s="3845">
        <f>IF(K54="NA","NA",K54/Table8s2!$G$34*100)</f>
        <v>0</v>
      </c>
      <c r="O54" s="3839">
        <v>467.55847965630045</v>
      </c>
      <c r="P54" s="3839">
        <f>Summary2!E55</f>
        <v>240.69557749529079</v>
      </c>
      <c r="Q54" s="3839">
        <f t="shared" ref="Q54" si="64">IF(P54="NO",IF(O54="NO","NA",-O54),IF(O54="NO",P54,P54-O54))</f>
        <v>-226.86290216100966</v>
      </c>
      <c r="R54" s="3839">
        <f t="shared" ref="R54" si="65">IF(Q54="NA","NA",Q54/O54*100)</f>
        <v>-48.520754522038672</v>
      </c>
      <c r="S54" s="3844">
        <f>IF(Q54="NA","NA",Q54/Table8s2!$G$35*100)</f>
        <v>-4.1460970641556086E-2</v>
      </c>
      <c r="T54" s="3845">
        <f>IF(Q54="NA","NA",Q54/Table8s2!$G$34*100)</f>
        <v>-3.6988591960192968E-2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12442.13430304</v>
      </c>
      <c r="D59" s="3847">
        <f>Summary2!C60</f>
        <v>12442.13430304</v>
      </c>
      <c r="E59" s="3861">
        <f t="shared" ref="E59" si="66">IF(D59="NO",IF(C59="NO","NA",-C59),IF(C59="NO",D59,D59-C59))</f>
        <v>0</v>
      </c>
      <c r="F59" s="3861">
        <f t="shared" ref="F59" si="67">IF(E59="NA","NA",E59/C59*100)</f>
        <v>0</v>
      </c>
      <c r="G59" s="3862">
        <f>IF(E59="NA","NA",E59/Table8s2!$G$35*100)</f>
        <v>0</v>
      </c>
      <c r="H59" s="3863">
        <f>IF(E59="NA","NA",E59/Table8s2!$G$34*100)</f>
        <v>0</v>
      </c>
      <c r="I59" s="3847">
        <v>6.0864074292683199</v>
      </c>
      <c r="J59" s="3847">
        <f>Summary2!D60</f>
        <v>6.0864074292682924</v>
      </c>
      <c r="K59" s="3861">
        <f t="shared" ref="K59:K61" si="68">IF(J59="NO",IF(I59="NO","NA",-I59),IF(I59="NO",J59,J59-I59))</f>
        <v>-2.7533531010703882E-14</v>
      </c>
      <c r="L59" s="3861">
        <f t="shared" ref="L59:L61" si="69">IF(K59="NA","NA",K59/I59*100)</f>
        <v>-4.523773889717047E-13</v>
      </c>
      <c r="M59" s="3862">
        <f>IF(K59="NA","NA",K59/Table8s2!$G$35*100)</f>
        <v>-5.0319682505118101E-18</v>
      </c>
      <c r="N59" s="3863">
        <f>IF(K59="NA","NA",K59/Table8s2!$G$34*100)</f>
        <v>-4.489171804103279E-18</v>
      </c>
      <c r="O59" s="3848">
        <v>28.900458272798499</v>
      </c>
      <c r="P59" s="3847">
        <f>Summary2!E60</f>
        <v>28.900458272799483</v>
      </c>
      <c r="Q59" s="3861">
        <f t="shared" ref="Q59" si="70">IF(P59="NO",IF(O59="NO","NA",-O59),IF(O59="NO",P59,P59-O59))</f>
        <v>9.8410168902773876E-13</v>
      </c>
      <c r="R59" s="3966">
        <f t="shared" ref="R59" si="71">IF(Q59="NA","NA",Q59/O59*100)</f>
        <v>3.4051421598182358E-12</v>
      </c>
      <c r="S59" s="3967">
        <f>IF(Q59="NA","NA",Q59/Table8s2!$G$35*100)</f>
        <v>1.798522845666802E-16</v>
      </c>
      <c r="T59" s="3968">
        <f>IF(Q59="NA","NA",Q59/Table8s2!$G$34*100)</f>
        <v>1.6045168899827205E-16</v>
      </c>
    </row>
    <row r="60" spans="2:21" ht="18" customHeight="1" x14ac:dyDescent="0.2">
      <c r="B60" s="1410" t="s">
        <v>111</v>
      </c>
      <c r="C60" s="3847">
        <v>10347.61730304</v>
      </c>
      <c r="D60" s="3847">
        <f>Summary2!C61</f>
        <v>10347.61730304</v>
      </c>
      <c r="E60" s="3861">
        <f t="shared" ref="E60:E61" si="72">IF(D60="NO",IF(C60="NO","NA",-C60),IF(C60="NO",D60,D60-C60))</f>
        <v>0</v>
      </c>
      <c r="F60" s="3861">
        <f t="shared" ref="F60:F61" si="73">IF(E60="NA","NA",E60/C60*100)</f>
        <v>0</v>
      </c>
      <c r="G60" s="3862">
        <f>IF(E60="NA","NA",E60/Table8s2!$G$35*100)</f>
        <v>0</v>
      </c>
      <c r="H60" s="3863">
        <f>IF(E60="NA","NA",E60/Table8s2!$G$34*100)</f>
        <v>0</v>
      </c>
      <c r="I60" s="3847">
        <v>0.49452742926832</v>
      </c>
      <c r="J60" s="3847">
        <f>Summary2!D61</f>
        <v>0.49452742926829274</v>
      </c>
      <c r="K60" s="3861">
        <f t="shared" si="68"/>
        <v>-2.7255975254547593E-14</v>
      </c>
      <c r="L60" s="3861">
        <f t="shared" si="69"/>
        <v>-5.5115194105358887E-12</v>
      </c>
      <c r="M60" s="3862">
        <f>IF(K60="NA","NA",K60/Table8s2!$G$35*100)</f>
        <v>-4.9812427641155216E-18</v>
      </c>
      <c r="N60" s="3863">
        <f>IF(K60="NA","NA",K60/Table8s2!$G$34*100)</f>
        <v>-4.4439180560780444E-18</v>
      </c>
      <c r="O60" s="3848">
        <v>13.7795582727985</v>
      </c>
      <c r="P60" s="3847">
        <f>Summary2!E61</f>
        <v>13.779558272799484</v>
      </c>
      <c r="Q60" s="3861">
        <f t="shared" ref="Q60:Q61" si="74">IF(P60="NO",IF(O60="NO","NA",-O60),IF(O60="NO",P60,P60-O60))</f>
        <v>9.8410168902773876E-13</v>
      </c>
      <c r="R60" s="3966">
        <f t="shared" ref="R60:R61" si="75">IF(Q60="NA","NA",Q60/O60*100)</f>
        <v>7.1417506246945667E-12</v>
      </c>
      <c r="S60" s="3967">
        <f>IF(Q60="NA","NA",Q60/Table8s2!$G$35*100)</f>
        <v>1.798522845666802E-16</v>
      </c>
      <c r="T60" s="3968">
        <f>IF(Q60="NA","NA",Q60/Table8s2!$G$34*100)</f>
        <v>1.6045168899827205E-16</v>
      </c>
    </row>
    <row r="61" spans="2:21" ht="18" customHeight="1" x14ac:dyDescent="0.2">
      <c r="B61" s="1411" t="s">
        <v>1503</v>
      </c>
      <c r="C61" s="3847">
        <v>2094.5169999999998</v>
      </c>
      <c r="D61" s="3847">
        <f>Summary2!C62</f>
        <v>2094.5169999999998</v>
      </c>
      <c r="E61" s="3861">
        <f t="shared" si="72"/>
        <v>0</v>
      </c>
      <c r="F61" s="3861">
        <f t="shared" si="73"/>
        <v>0</v>
      </c>
      <c r="G61" s="3862">
        <f>IF(E61="NA","NA",E61/Table8s2!$G$35*100)</f>
        <v>0</v>
      </c>
      <c r="H61" s="3863">
        <f>IF(E61="NA","NA",E61/Table8s2!$G$34*100)</f>
        <v>0</v>
      </c>
      <c r="I61" s="3847">
        <v>5.5918799999999997</v>
      </c>
      <c r="J61" s="3847">
        <f>Summary2!D62</f>
        <v>5.5918799999999997</v>
      </c>
      <c r="K61" s="3861">
        <f t="shared" si="68"/>
        <v>0</v>
      </c>
      <c r="L61" s="3861">
        <f t="shared" si="69"/>
        <v>0</v>
      </c>
      <c r="M61" s="3862">
        <f>IF(K61="NA","NA",K61/Table8s2!$G$35*100)</f>
        <v>0</v>
      </c>
      <c r="N61" s="3863">
        <f>IF(K61="NA","NA",K61/Table8s2!$G$34*100)</f>
        <v>0</v>
      </c>
      <c r="O61" s="3848">
        <v>15.120900000000001</v>
      </c>
      <c r="P61" s="3847">
        <f>Summary2!E62</f>
        <v>15.120900000000001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17225.562147210239</v>
      </c>
      <c r="D63" s="3847">
        <f>Summary2!C64</f>
        <v>17225.562430001581</v>
      </c>
      <c r="E63" s="3861">
        <f t="shared" ref="E63:E65" si="76">IF(D63="NO",IF(C63="NO","NA",-C63),IF(C63="NO",D63,D63-C63))</f>
        <v>2.8279134130571038E-4</v>
      </c>
      <c r="F63" s="3861">
        <f t="shared" ref="F63:F65" si="77">IF(E63="NA","NA",E63/C63*100)</f>
        <v>1.6416958639083355E-6</v>
      </c>
      <c r="G63" s="3862">
        <f>IF(E63="NA","NA",E63/Table8s2!$G$35*100)</f>
        <v>5.1682330552401065E-8</v>
      </c>
      <c r="H63" s="3863">
        <f>IF(E63="NA","NA",E63/Table8s2!$G$34*100)</f>
        <v>4.6107377776595893E-8</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-278203.46735847875</v>
      </c>
      <c r="D65" s="3849">
        <f>Summary2!C66</f>
        <v>-278625.58622828347</v>
      </c>
      <c r="E65" s="3977">
        <f t="shared" si="76"/>
        <v>-422.118869804719</v>
      </c>
      <c r="F65" s="3984">
        <f t="shared" si="77"/>
        <v>0.15173026914894566</v>
      </c>
      <c r="G65" s="3985">
        <f>IF(E65="NA","NA",E65/Table8s2!$G$35*100)</f>
        <v>-7.7145526666140926E-2</v>
      </c>
      <c r="H65" s="3986">
        <f>IF(E65="NA","NA",E65/Table8s2!$G$34*100)</f>
        <v>-6.8823868888106113E-2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6735.332259575277</v>
      </c>
      <c r="D10" s="4019">
        <f>IF(SUM(D11:D30)=0,"NO",SUM(D11:D30))</f>
        <v>6735.3322595752779</v>
      </c>
      <c r="E10" s="4019">
        <f>IF(D10="NO",IF(C10="NO","NA",-C10),IF(C10="NO",D10,D10-C10))</f>
        <v>9.0949470177292824E-13</v>
      </c>
      <c r="F10" s="4019">
        <f>IF(E10="NA","NA",E10/C10*100)</f>
        <v>1.3503338316828337E-14</v>
      </c>
      <c r="G10" s="4020">
        <f>IF(E10="NA","NA",E10/$G$35*100)</f>
        <v>1.6621727382335784E-16</v>
      </c>
      <c r="H10" s="4021">
        <f>IF(E10="NA","NA",E10/$G$34*100)</f>
        <v>1.4828748152908895E-16</v>
      </c>
      <c r="I10" s="4022">
        <f>IF(SUM(I11:I30)=0,"NO",SUM(I11:I30))</f>
        <v>254.72735698266911</v>
      </c>
      <c r="J10" s="4022">
        <f>IF(SUM(J11:J30)=0,"NO",SUM(J11:J30))</f>
        <v>254.72735698266911</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133.79449716413717</v>
      </c>
      <c r="V10" s="4019">
        <f>IF(SUM(V11:V30)=0,"NO",SUM(V11:V30))</f>
        <v>133.79449716413717</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254.72735698266911</v>
      </c>
      <c r="J13" s="3839">
        <f>'Table2(II)'!AH41</f>
        <v>254.72735698266911</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6316.8102030510263</v>
      </c>
      <c r="D21" s="3847">
        <f>'Table2(I)'!F46</f>
        <v>6316.8102030510272</v>
      </c>
      <c r="E21" s="3847">
        <f>IF(D21="NO",IF(C21="NO","NA",-C21),IF(C21="NO",D21,D21-C21))</f>
        <v>9.0949470177292824E-13</v>
      </c>
      <c r="F21" s="4016">
        <f>IF(E21="NA","NA",E21/C21*100)</f>
        <v>1.4398005837402574E-14</v>
      </c>
      <c r="G21" s="3871">
        <f>IF(E21="NA","NA",E21/$G$35*100)</f>
        <v>1.6621727382335784E-16</v>
      </c>
      <c r="H21" s="3872">
        <f>IF(E21="NA","NA",E21/$G$34*100)</f>
        <v>1.4828748152908895E-16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61.034301832300422</v>
      </c>
      <c r="D22" s="3847">
        <f>'Table2(I)'!F47</f>
        <v>61.034301832300429</v>
      </c>
      <c r="E22" s="3847">
        <f t="shared" ref="E22:E25" si="0">IF(D22="NO",IF(C22="NO","NA",-C22),IF(C22="NO",D22,D22-C22))</f>
        <v>7.1054273576010019E-15</v>
      </c>
      <c r="F22" s="4016">
        <f t="shared" ref="F22:F25" si="1">IF(E22="NA","NA",E22/C22*100)</f>
        <v>1.164169515221797E-14</v>
      </c>
      <c r="G22" s="3871">
        <f t="shared" ref="G22:G25" si="2">IF(E22="NA","NA",E22/$G$35*100)</f>
        <v>1.2985724517449831E-18</v>
      </c>
      <c r="H22" s="3872">
        <f t="shared" ref="H22:H25" si="3">IF(E22="NA","NA",E22/$G$34*100)</f>
        <v>1.1584959494460075E-18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45.177978276938489</v>
      </c>
      <c r="D23" s="3847">
        <f>'Table2(I)'!F48</f>
        <v>45.177978276938497</v>
      </c>
      <c r="E23" s="3847">
        <f t="shared" si="0"/>
        <v>7.1054273576010019E-15</v>
      </c>
      <c r="F23" s="4016">
        <f t="shared" si="1"/>
        <v>1.5727634632176607E-14</v>
      </c>
      <c r="G23" s="3871">
        <f t="shared" si="2"/>
        <v>1.2985724517449831E-18</v>
      </c>
      <c r="H23" s="3872">
        <f t="shared" si="3"/>
        <v>1.1584959494460075E-18</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192.45323555439958</v>
      </c>
      <c r="D24" s="3847">
        <f>'Table2(I)'!F49</f>
        <v>192.45323555439967</v>
      </c>
      <c r="E24" s="3847">
        <f t="shared" si="0"/>
        <v>8.5265128291212022E-14</v>
      </c>
      <c r="F24" s="4016">
        <f t="shared" si="1"/>
        <v>4.4304336087459879E-14</v>
      </c>
      <c r="G24" s="3871">
        <f t="shared" si="2"/>
        <v>1.5582869420939798E-17</v>
      </c>
      <c r="H24" s="3872">
        <f t="shared" si="3"/>
        <v>1.3901951393352089E-17</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119.8565408606125</v>
      </c>
      <c r="D25" s="3847">
        <f>'Table2(I)'!F50</f>
        <v>119.8565408606125</v>
      </c>
      <c r="E25" s="3847">
        <f t="shared" si="0"/>
        <v>0</v>
      </c>
      <c r="F25" s="4016">
        <f t="shared" si="1"/>
        <v>0</v>
      </c>
      <c r="G25" s="3871">
        <f t="shared" si="2"/>
        <v>0</v>
      </c>
      <c r="H25" s="3872">
        <f t="shared" si="3"/>
        <v>0</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115.91210166637742</v>
      </c>
      <c r="V27" s="3847">
        <f>IFERROR('Table2(I)'!I53*23500,'Table2(I)'!I53)</f>
        <v>115.91210166637735</v>
      </c>
      <c r="W27" s="3847">
        <f>IF(V27="NO",IF(U27="NO","NA",-U27),IF(U27="NO",V27,V27-U27))</f>
        <v>-7.1054273576010019E-14</v>
      </c>
      <c r="X27" s="4016">
        <f>IF(W27="NA","NA",W27/U27*100)</f>
        <v>-6.1300133941597487E-14</v>
      </c>
      <c r="Y27" s="3871">
        <f>IF(W27="NA","NA",W27/$G$35*100)</f>
        <v>-1.2985724517449831E-17</v>
      </c>
      <c r="Z27" s="3872">
        <f>IF(W27="NA","NA",W27/$G$34*100)</f>
        <v>-1.1584959494460075E-17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17.882395497759745</v>
      </c>
      <c r="V28" s="3847">
        <f>IFERROR('Table2(I)'!I54*23500,'Table2(I)'!I54)</f>
        <v>17.882395497759823</v>
      </c>
      <c r="W28" s="3847">
        <f>IF(V28="NO",IF(U28="NO","NA",-U28),IF(U28="NO",V28,V28-U28))</f>
        <v>7.815970093361102E-14</v>
      </c>
      <c r="X28" s="4016">
        <f>IF(W28="NA","NA",W28/U28*100)</f>
        <v>4.3707623479976521E-13</v>
      </c>
      <c r="Y28" s="3871">
        <f>IF(W28="NA","NA",W28/$G$35*100)</f>
        <v>1.4284296969194816E-17</v>
      </c>
      <c r="Z28" s="3872">
        <f>IF(W28="NA","NA",W28/$G$34*100)</f>
        <v>1.2743455443906082E-17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614964.02484118147</v>
      </c>
      <c r="F34" s="4523"/>
      <c r="G34" s="4522">
        <f>SUM(Table8s1!D10,Table8s1!J10,Table8s1!P10,D10,J10,P10,V10,AB10)</f>
        <v>613332.08467399608</v>
      </c>
      <c r="H34" s="4523"/>
      <c r="I34" s="3839">
        <f>G34-E34</f>
        <v>-1631.9401671853848</v>
      </c>
      <c r="J34" s="4045">
        <f>IF(I34="NA","NA",I34/E34*100)</f>
        <v>-0.26537164797678109</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546942.11880995776</v>
      </c>
      <c r="F35" s="4525"/>
      <c r="G35" s="4526">
        <f>G34-SUM(Table8s1!D41,Table8s1!J41,Table8s1!P41)</f>
        <v>547172.19266841363</v>
      </c>
      <c r="H35" s="4527"/>
      <c r="I35" s="3855">
        <f>G35-E35</f>
        <v>230.07385845587123</v>
      </c>
      <c r="J35" s="4046">
        <f>IF(I35="NA","NA",I35/E35*100)</f>
        <v>4.2065485641601036E-2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1276682.8891626161</v>
      </c>
      <c r="D10" s="1913" t="s">
        <v>1814</v>
      </c>
      <c r="E10" s="628"/>
      <c r="F10" s="628"/>
      <c r="G10" s="628"/>
      <c r="H10" s="1847">
        <f>IF(SUM(H11:H14)=0,"NO",SUM(H11:H14))</f>
        <v>86489.532786197233</v>
      </c>
      <c r="I10" s="1847">
        <f>IF(SUM(I11:I15)=0,"NO",SUM(I11:I15))</f>
        <v>17.768473944052396</v>
      </c>
      <c r="J10" s="2192">
        <f>IF(SUM(J11:J15)=0,"NO",SUM(J11:J15))</f>
        <v>6.2856682531525365</v>
      </c>
    </row>
    <row r="11" spans="2:11" ht="18" customHeight="1" x14ac:dyDescent="0.2">
      <c r="B11" s="282" t="s">
        <v>132</v>
      </c>
      <c r="C11" s="1913">
        <f>IF(SUM(C17:C18,C21:C24,C82,C89:C92,C100)=0,"NO",SUM(C17:C18,C21:C24,C82,C89:C92,C100))</f>
        <v>1252309.625855654</v>
      </c>
      <c r="D11" s="1909" t="s">
        <v>1814</v>
      </c>
      <c r="E11" s="1913">
        <f>IFERROR(H11*1000/$C11,"NA")</f>
        <v>68.195852204944657</v>
      </c>
      <c r="F11" s="1913">
        <f t="shared" ref="F11:G15" si="0">IFERROR(I11*1000000/$C11,"NA")</f>
        <v>13.595876575342368</v>
      </c>
      <c r="G11" s="1913">
        <f t="shared" si="0"/>
        <v>4.976352435227092</v>
      </c>
      <c r="H11" s="1913">
        <f>IF(SUM(H17:H18,H21:H24,H82,H89:H92,H100)=0,"NO",SUM(H17:H18,H21:H24,H82,H89:H92,H100))</f>
        <v>85402.322159681717</v>
      </c>
      <c r="I11" s="1913">
        <f>IF(SUM(I17:I18,I21:I24,I82,I89:I92,I100)=0,"NO",SUM(I17:I18,I21:I24,I82,I89:I92,I100))</f>
        <v>17.026247107246654</v>
      </c>
      <c r="J11" s="3085">
        <f>IF(SUM(J17:J18,J21:J24,J82,J89:J92,J100)=0,"NO",SUM(J17:J18,J21:J24,J82,J89:J92,J100))</f>
        <v>6.2319340562851124</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13889.913394300005</v>
      </c>
      <c r="D13" s="1909" t="s">
        <v>1814</v>
      </c>
      <c r="E13" s="1913">
        <f t="shared" si="1"/>
        <v>51.411918339264986</v>
      </c>
      <c r="F13" s="1913">
        <f t="shared" si="0"/>
        <v>24.831851231961778</v>
      </c>
      <c r="G13" s="1913">
        <f t="shared" si="0"/>
        <v>0.24630760770862348</v>
      </c>
      <c r="H13" s="1913">
        <f>IF(SUM(H26,H84,H94,H102)=0,"NO",SUM(H26,H84,H94,H102))</f>
        <v>714.10709316721477</v>
      </c>
      <c r="I13" s="1913">
        <f>IF(SUM(I26,I84,I94,I102)=0,"NO",SUM(I26,I84,I94,I102))</f>
        <v>0.34491226303209099</v>
      </c>
      <c r="J13" s="3085">
        <f>IF(SUM(J26,J84,J94,J102)=0,"NO",SUM(J26,J84,J94,J102))</f>
        <v>3.4211913394300002E-3</v>
      </c>
    </row>
    <row r="14" spans="2:11" ht="18" customHeight="1" x14ac:dyDescent="0.2">
      <c r="B14" s="282" t="s">
        <v>175</v>
      </c>
      <c r="C14" s="1913">
        <f>IF(SUM(C28,C86,C96,C103)=0,"NO",SUM(C28,C86,C96,C103))</f>
        <v>4149.1477946561399</v>
      </c>
      <c r="D14" s="1909" t="s">
        <v>1814</v>
      </c>
      <c r="E14" s="1913">
        <f t="shared" si="1"/>
        <v>89.922931602684955</v>
      </c>
      <c r="F14" s="1913">
        <f t="shared" si="0"/>
        <v>31.852324029096863</v>
      </c>
      <c r="G14" s="1913">
        <f t="shared" si="0"/>
        <v>0.99538512590927697</v>
      </c>
      <c r="H14" s="1913">
        <f>IF(SUM(H28,H86,H96,H103)=0,"NO",SUM(H28,H86,H96,H103))</f>
        <v>373.10353334829517</v>
      </c>
      <c r="I14" s="1913">
        <f>IF(SUM(I28,I86,I96,I103)=0,"NO",SUM(I28,I86,I96,I103))</f>
        <v>0.13216000000000003</v>
      </c>
      <c r="J14" s="3085">
        <f>IF(SUM(J28,J86,J96,J103)=0,"NO",SUM(J28,J86,J96,J103))</f>
        <v>4.1300000000000009E-3</v>
      </c>
    </row>
    <row r="15" spans="2:11" ht="18" customHeight="1" x14ac:dyDescent="0.2">
      <c r="B15" s="282" t="s">
        <v>137</v>
      </c>
      <c r="C15" s="1913">
        <f>IF(SUM(C19,C27,C85,C95,C104)=0,"NO",SUM(C19,C27,C85,C95,C104))</f>
        <v>6334.2021180058809</v>
      </c>
      <c r="D15" s="1913" t="s">
        <v>1814</v>
      </c>
      <c r="E15" s="1913">
        <f t="shared" si="1"/>
        <v>67.259999999999977</v>
      </c>
      <c r="F15" s="1913">
        <f t="shared" si="0"/>
        <v>41.860769333506667</v>
      </c>
      <c r="G15" s="1913">
        <f t="shared" si="0"/>
        <v>7.2910533430425613</v>
      </c>
      <c r="H15" s="1913">
        <f>IF(SUM(H19,H27,H85,H95,H104)=0,"NO",SUM(H19,H27,H85,H95,H104))</f>
        <v>426.03843445707537</v>
      </c>
      <c r="I15" s="1913">
        <f>IF(SUM(I19,I27,I85,I95,I104)=0,"NO",SUM(I19,I27,I85,I95,I104))</f>
        <v>0.26515457377365353</v>
      </c>
      <c r="J15" s="3085">
        <f>IF(SUM(J19,J27,J85,J95,J104)=0,"NO",SUM(J19,J27,J85,J95,J104))</f>
        <v>4.618300552799405E-2</v>
      </c>
    </row>
    <row r="16" spans="2:11" ht="18" customHeight="1" x14ac:dyDescent="0.2">
      <c r="B16" s="1241" t="s">
        <v>176</v>
      </c>
      <c r="C16" s="1913">
        <f>IF(SUM(C17:C19)=0,"NO",SUM(C17:C19))</f>
        <v>97324.975191026126</v>
      </c>
      <c r="D16" s="1909" t="s">
        <v>1814</v>
      </c>
      <c r="E16" s="628"/>
      <c r="F16" s="628"/>
      <c r="G16" s="628"/>
      <c r="H16" s="1913">
        <f>IF(SUM(H17:H18)=0,"NO",SUM(H17:H18))</f>
        <v>6766.948729775464</v>
      </c>
      <c r="I16" s="1913">
        <f>IF(SUM(I17:I19)=0,"NO",SUM(I17:I19))</f>
        <v>3.4153911227974648E-2</v>
      </c>
      <c r="J16" s="3085">
        <f>IF(SUM(J17:J19)=0,"NO",SUM(J17:J19))</f>
        <v>5.2132648498314671E-2</v>
      </c>
    </row>
    <row r="17" spans="2:10" ht="18" customHeight="1" x14ac:dyDescent="0.2">
      <c r="B17" s="282" t="s">
        <v>177</v>
      </c>
      <c r="C17" s="691">
        <v>2642.1321230598196</v>
      </c>
      <c r="D17" s="1909" t="s">
        <v>1814</v>
      </c>
      <c r="E17" s="1913">
        <f t="shared" ref="E17:E19" si="2">IFERROR(H17*1000/$C17,"NA")</f>
        <v>67.000000000000114</v>
      </c>
      <c r="F17" s="1913">
        <f t="shared" ref="F17:G19" si="3">IFERROR(I17*1000000/$C17,"NA")</f>
        <v>0.500000000000001</v>
      </c>
      <c r="G17" s="1913">
        <f t="shared" si="3"/>
        <v>2.0000000000000036</v>
      </c>
      <c r="H17" s="691">
        <v>177.02285224500824</v>
      </c>
      <c r="I17" s="691">
        <v>1.3210660615299123E-3</v>
      </c>
      <c r="J17" s="2911">
        <v>5.2842642461196484E-3</v>
      </c>
    </row>
    <row r="18" spans="2:10" ht="18" customHeight="1" x14ac:dyDescent="0.2">
      <c r="B18" s="282" t="s">
        <v>178</v>
      </c>
      <c r="C18" s="691">
        <v>94682.8430679663</v>
      </c>
      <c r="D18" s="1909" t="s">
        <v>1814</v>
      </c>
      <c r="E18" s="1913">
        <f t="shared" si="2"/>
        <v>69.600000000000023</v>
      </c>
      <c r="F18" s="1913">
        <f t="shared" si="3"/>
        <v>0.34676657462510185</v>
      </c>
      <c r="G18" s="1913">
        <f t="shared" si="3"/>
        <v>0.4947927495012564</v>
      </c>
      <c r="H18" s="691">
        <v>6589.9258775304561</v>
      </c>
      <c r="I18" s="691">
        <v>3.2832845166444739E-2</v>
      </c>
      <c r="J18" s="2911">
        <v>4.6848384252195022E-2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1101094.4232542091</v>
      </c>
      <c r="D20" s="1909" t="s">
        <v>1814</v>
      </c>
      <c r="E20" s="628"/>
      <c r="F20" s="628"/>
      <c r="G20" s="628"/>
      <c r="H20" s="1913">
        <f>IF(SUM(H21:H24,H26,H28)=0,"NO",SUM(H21:H24,H26,H28))</f>
        <v>74400.878664963151</v>
      </c>
      <c r="I20" s="1913">
        <f>IF(SUM(I21:I24,I26:I28)=0,"NO",SUM(I21:I24,I26:I28))</f>
        <v>13.071834335495243</v>
      </c>
      <c r="J20" s="3085">
        <f>IF(SUM(J21:J24,J26:J28)=0,"NO",SUM(J21:J24,J26:J28))</f>
        <v>5.1653914697219392</v>
      </c>
    </row>
    <row r="21" spans="2:10" ht="18" customHeight="1" x14ac:dyDescent="0.2">
      <c r="B21" s="282" t="s">
        <v>167</v>
      </c>
      <c r="C21" s="1913">
        <f>IF(SUM(C31,C41,C51,C61,C72)=0,"NO",SUM(C31,C41,C51,C61,C72))</f>
        <v>626915.57916167378</v>
      </c>
      <c r="D21" s="1909" t="s">
        <v>1814</v>
      </c>
      <c r="E21" s="1913">
        <f t="shared" ref="E21:E23" si="4">IFERROR(H21*1000/$C21,"NA")</f>
        <v>67.40000000000002</v>
      </c>
      <c r="F21" s="1913">
        <f t="shared" ref="F21:G23" si="5">IFERROR(I21*1000000/$C21,"NA")</f>
        <v>12.801868518369913</v>
      </c>
      <c r="G21" s="1913">
        <f t="shared" si="5"/>
        <v>6.8510276456301256</v>
      </c>
      <c r="H21" s="1913">
        <f>IF(SUM(H31,H41,H51,H61,H72)=0,"NO",SUM(H31,H41,H51,H61,H72))</f>
        <v>42254.110035496822</v>
      </c>
      <c r="I21" s="1913">
        <f>IF(SUM(I31,I41,I51,I61,I72)=0,"NO",SUM(I31,I41,I51,I61,I72))</f>
        <v>8.0256908165454721</v>
      </c>
      <c r="J21" s="3085">
        <f>IF(SUM(J31,J41,J51,J61,J72)=0,"NO",SUM(J31,J41,J51,J61,J72))</f>
        <v>4.2950159643128485</v>
      </c>
    </row>
    <row r="22" spans="2:10" ht="18" customHeight="1" x14ac:dyDescent="0.2">
      <c r="B22" s="282" t="s">
        <v>168</v>
      </c>
      <c r="C22" s="1913">
        <f t="shared" ref="C22:C29" si="6">IF(SUM(C32,C42,C52,C62,C73)=0,"NO",SUM(C32,C42,C52,C62,C73))</f>
        <v>411779.33985952404</v>
      </c>
      <c r="D22" s="1909" t="s">
        <v>1814</v>
      </c>
      <c r="E22" s="1913">
        <f t="shared" si="4"/>
        <v>69.899999999999935</v>
      </c>
      <c r="F22" s="1913">
        <f t="shared" si="5"/>
        <v>7.2848578314600951</v>
      </c>
      <c r="G22" s="1913">
        <f t="shared" si="5"/>
        <v>1.6799979548408974</v>
      </c>
      <c r="H22" s="1913">
        <f t="shared" ref="H22:J29" si="7">IF(SUM(H32,H42,H52,H62,H73)=0,"NO",SUM(H32,H42,H52,H62,H73))</f>
        <v>28783.375856180701</v>
      </c>
      <c r="I22" s="1913">
        <f t="shared" si="7"/>
        <v>2.9997539488091216</v>
      </c>
      <c r="J22" s="3085">
        <f t="shared" si="7"/>
        <v>0.69178844880973522</v>
      </c>
    </row>
    <row r="23" spans="2:10" ht="18" customHeight="1" x14ac:dyDescent="0.2">
      <c r="B23" s="282" t="s">
        <v>169</v>
      </c>
      <c r="C23" s="1913">
        <f t="shared" si="6"/>
        <v>54021.999999999993</v>
      </c>
      <c r="D23" s="1909" t="s">
        <v>1814</v>
      </c>
      <c r="E23" s="1913">
        <f t="shared" si="4"/>
        <v>60.2</v>
      </c>
      <c r="F23" s="1913">
        <f t="shared" si="5"/>
        <v>29.520235707206506</v>
      </c>
      <c r="G23" s="1913">
        <f t="shared" si="5"/>
        <v>2.4129655709369913</v>
      </c>
      <c r="H23" s="1913">
        <f t="shared" si="7"/>
        <v>3252.1243999999997</v>
      </c>
      <c r="I23" s="1913">
        <f t="shared" si="7"/>
        <v>1.5947421733747096</v>
      </c>
      <c r="J23" s="3085">
        <f t="shared" si="7"/>
        <v>0.13035322607315813</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2158.0000000000045</v>
      </c>
      <c r="D26" s="1909" t="s">
        <v>1814</v>
      </c>
      <c r="E26" s="1913">
        <f t="shared" si="8"/>
        <v>51.411918339264901</v>
      </c>
      <c r="F26" s="1913">
        <f t="shared" si="9"/>
        <v>106.28490440713416</v>
      </c>
      <c r="G26" s="1913">
        <f t="shared" si="9"/>
        <v>0.99999999999999789</v>
      </c>
      <c r="H26" s="1913">
        <f t="shared" si="7"/>
        <v>110.94691977613388</v>
      </c>
      <c r="I26" s="1913">
        <f t="shared" si="7"/>
        <v>0.22936282371059602</v>
      </c>
      <c r="J26" s="3085">
        <f t="shared" si="7"/>
        <v>2.1580000000000002E-3</v>
      </c>
    </row>
    <row r="27" spans="2:10" ht="18" customHeight="1" x14ac:dyDescent="0.2">
      <c r="B27" s="282" t="s">
        <v>137</v>
      </c>
      <c r="C27" s="1913">
        <f t="shared" si="6"/>
        <v>6215.1187826772393</v>
      </c>
      <c r="D27" s="1909" t="s">
        <v>1814</v>
      </c>
      <c r="E27" s="1913">
        <f t="shared" si="8"/>
        <v>67.259999999999977</v>
      </c>
      <c r="F27" s="1913">
        <f t="shared" si="9"/>
        <v>35.765136729951749</v>
      </c>
      <c r="G27" s="1913">
        <f t="shared" si="9"/>
        <v>7.4135076315227773</v>
      </c>
      <c r="H27" s="1913">
        <f t="shared" si="7"/>
        <v>418.02888932287095</v>
      </c>
      <c r="I27" s="1913">
        <f t="shared" si="7"/>
        <v>0.22228457305534274</v>
      </c>
      <c r="J27" s="3085">
        <f t="shared" si="7"/>
        <v>4.6075830526198271E-2</v>
      </c>
    </row>
    <row r="28" spans="2:10" ht="18" customHeight="1" x14ac:dyDescent="0.2">
      <c r="B28" s="282" t="s">
        <v>181</v>
      </c>
      <c r="C28" s="1913">
        <f>C29</f>
        <v>4.3854503339911899</v>
      </c>
      <c r="D28" s="1909" t="s">
        <v>1814</v>
      </c>
      <c r="E28" s="628"/>
      <c r="F28" s="628"/>
      <c r="G28" s="628"/>
      <c r="H28" s="1913">
        <f>H29</f>
        <v>0.32145350948155421</v>
      </c>
      <c r="I28" s="1913" t="str">
        <f>I29</f>
        <v>NE</v>
      </c>
      <c r="J28" s="3085" t="str">
        <f>J29</f>
        <v>NE</v>
      </c>
    </row>
    <row r="29" spans="2:10" ht="18" customHeight="1" x14ac:dyDescent="0.2">
      <c r="B29" s="3105" t="s">
        <v>252</v>
      </c>
      <c r="C29" s="1913">
        <f t="shared" si="6"/>
        <v>4.3854503339911899</v>
      </c>
      <c r="D29" s="1909" t="s">
        <v>1814</v>
      </c>
      <c r="E29" s="3103">
        <f t="shared" ref="E29" si="10">IFERROR(H29*1000/$C29,"NA")</f>
        <v>73.3</v>
      </c>
      <c r="F29" s="3103" t="str">
        <f>IFERROR(I29*1000000/$C29,"NA")</f>
        <v>NA</v>
      </c>
      <c r="G29" s="3103" t="str">
        <f>IFERROR(J29*1000000/$C29,"NA")</f>
        <v>NA</v>
      </c>
      <c r="H29" s="1913">
        <f t="shared" si="7"/>
        <v>0.32145350948155421</v>
      </c>
      <c r="I29" s="1913" t="str">
        <f>IF(SUM(I39,I49,I59,I69,I80)=0,"NE",SUM(I39,I49,I59,I69,I80))</f>
        <v>NE</v>
      </c>
      <c r="J29" s="3085" t="str">
        <f>IF(SUM(J39,J49,J59,J69,J80)=0,"NE",SUM(J39,J49,J59,J69,J80))</f>
        <v>NE</v>
      </c>
    </row>
    <row r="30" spans="2:10" ht="18" customHeight="1" x14ac:dyDescent="0.2">
      <c r="B30" s="1242" t="s">
        <v>182</v>
      </c>
      <c r="C30" s="1913">
        <f>IF(SUM(C31:C34,C36:C38)=0,"NO",SUM(C31:C34,C36:C38))</f>
        <v>636993.55631187756</v>
      </c>
      <c r="D30" s="1909" t="s">
        <v>1814</v>
      </c>
      <c r="E30" s="628"/>
      <c r="F30" s="628"/>
      <c r="G30" s="628"/>
      <c r="H30" s="1913">
        <f>IF(SUM(H31:H34,H36,H38)=0,"NO",SUM(H31:H34,H36,H38))</f>
        <v>42448.305533827304</v>
      </c>
      <c r="I30" s="1913">
        <f>IF(SUM(I31:I34,I36:I38)=0,"NO",SUM(I31:I34,I36:I38))</f>
        <v>8.3079040950853553</v>
      </c>
      <c r="J30" s="3085">
        <f>IF(SUM(J31:J34,J36:J38)=0,"NO",SUM(J31:J34,J36:J38))</f>
        <v>4.1284445641488885</v>
      </c>
    </row>
    <row r="31" spans="2:10" ht="18" customHeight="1" x14ac:dyDescent="0.2">
      <c r="B31" s="282" t="s">
        <v>167</v>
      </c>
      <c r="C31" s="691">
        <v>536520.36283788702</v>
      </c>
      <c r="D31" s="1909" t="s">
        <v>1814</v>
      </c>
      <c r="E31" s="1913">
        <f t="shared" ref="E31:E33" si="11">IFERROR(H31*1000/$C31,"NA")</f>
        <v>67.400000000000006</v>
      </c>
      <c r="F31" s="1913">
        <f t="shared" ref="F31:G33" si="12">IFERROR(I31*1000000/$C31,"NA")</f>
        <v>12.344452766734168</v>
      </c>
      <c r="G31" s="1913">
        <f t="shared" si="12"/>
        <v>7.3398567835544828</v>
      </c>
      <c r="H31" s="691">
        <v>36161.472455273593</v>
      </c>
      <c r="I31" s="691">
        <v>6.6230502774433742</v>
      </c>
      <c r="J31" s="2911">
        <v>3.9379826246907776</v>
      </c>
    </row>
    <row r="32" spans="2:10" ht="18" customHeight="1" x14ac:dyDescent="0.2">
      <c r="B32" s="282" t="s">
        <v>168</v>
      </c>
      <c r="C32" s="691">
        <v>57578.527449910798</v>
      </c>
      <c r="D32" s="1909" t="s">
        <v>1814</v>
      </c>
      <c r="E32" s="1913">
        <f t="shared" si="11"/>
        <v>69.900000000000048</v>
      </c>
      <c r="F32" s="1913">
        <f t="shared" si="12"/>
        <v>5.380351998017824</v>
      </c>
      <c r="G32" s="1913">
        <f t="shared" si="12"/>
        <v>1.1084529535174314</v>
      </c>
      <c r="H32" s="691">
        <v>4024.7390687487677</v>
      </c>
      <c r="I32" s="691">
        <v>0.30979274520805172</v>
      </c>
      <c r="J32" s="2911">
        <v>6.3823088811038126E-2</v>
      </c>
    </row>
    <row r="33" spans="2:10" ht="18" customHeight="1" x14ac:dyDescent="0.2">
      <c r="B33" s="282" t="s">
        <v>169</v>
      </c>
      <c r="C33" s="691">
        <v>37552.208940230994</v>
      </c>
      <c r="D33" s="1909" t="s">
        <v>1814</v>
      </c>
      <c r="E33" s="1913">
        <f t="shared" si="11"/>
        <v>60.200000000000074</v>
      </c>
      <c r="F33" s="1913">
        <f t="shared" si="12"/>
        <v>31.477214067145603</v>
      </c>
      <c r="G33" s="1913">
        <f t="shared" si="12"/>
        <v>2.4325541364904004</v>
      </c>
      <c r="H33" s="691">
        <v>2260.6429782019086</v>
      </c>
      <c r="I33" s="691">
        <v>1.1820389195058298</v>
      </c>
      <c r="J33" s="2911">
        <v>9.1347781191910699E-2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28.223642491901199</v>
      </c>
      <c r="D36" s="1909" t="s">
        <v>1814</v>
      </c>
      <c r="E36" s="1913">
        <f t="shared" si="13"/>
        <v>51.411918339265021</v>
      </c>
      <c r="F36" s="1913">
        <f t="shared" si="14"/>
        <v>261.00000000000006</v>
      </c>
      <c r="G36" s="1913">
        <f t="shared" si="14"/>
        <v>1.0000000000000002</v>
      </c>
      <c r="H36" s="691">
        <v>1.4510316030302346</v>
      </c>
      <c r="I36" s="691">
        <v>7.3663706903862149E-3</v>
      </c>
      <c r="J36" s="2911">
        <v>2.8223642491901204E-5</v>
      </c>
    </row>
    <row r="37" spans="2:10" ht="18" customHeight="1" x14ac:dyDescent="0.2">
      <c r="B37" s="282" t="s">
        <v>137</v>
      </c>
      <c r="C37" s="691">
        <v>5314.2334413568697</v>
      </c>
      <c r="D37" s="1909" t="s">
        <v>1814</v>
      </c>
      <c r="E37" s="1913">
        <f t="shared" si="13"/>
        <v>67.259999999999948</v>
      </c>
      <c r="F37" s="1913">
        <f t="shared" si="14"/>
        <v>34.93557147732502</v>
      </c>
      <c r="G37" s="1913">
        <f t="shared" si="14"/>
        <v>6.6355470081996151</v>
      </c>
      <c r="H37" s="691">
        <v>357.43534126566283</v>
      </c>
      <c r="I37" s="691">
        <v>0.18565578223771384</v>
      </c>
      <c r="J37" s="2911">
        <v>3.5262845812669918E-2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196157.96307700718</v>
      </c>
      <c r="D40" s="1909" t="s">
        <v>1814</v>
      </c>
      <c r="E40" s="628"/>
      <c r="F40" s="628"/>
      <c r="G40" s="628"/>
      <c r="H40" s="1913">
        <f>IF(SUM(H41:H44,H46,H48)=0,"NO",SUM(H41:H44,H46,H48))</f>
        <v>13315.119682754957</v>
      </c>
      <c r="I40" s="1913">
        <f>IF(SUM(I41:I44,I46:I48)=0,"NO",SUM(I41:I44,I46:I48))</f>
        <v>2.6938082998925332</v>
      </c>
      <c r="J40" s="3085">
        <f>IF(SUM(J41:J44,J46:J48)=0,"NO",SUM(J41:J44,J46:J48))</f>
        <v>0.5123039204353671</v>
      </c>
    </row>
    <row r="41" spans="2:10" ht="18" customHeight="1" x14ac:dyDescent="0.2">
      <c r="B41" s="282" t="s">
        <v>167</v>
      </c>
      <c r="C41" s="691">
        <v>83436.411849990807</v>
      </c>
      <c r="D41" s="1909" t="s">
        <v>1814</v>
      </c>
      <c r="E41" s="1913">
        <f t="shared" ref="E41:E43" si="16">IFERROR(H41*1000/$C41,"NA")</f>
        <v>67.40000000000002</v>
      </c>
      <c r="F41" s="1913">
        <f t="shared" ref="F41:G43" si="17">IFERROR(I41*1000000/$C41,"NA")</f>
        <v>12.073049974855266</v>
      </c>
      <c r="G41" s="1913">
        <f t="shared" si="17"/>
        <v>4.1999420403211865</v>
      </c>
      <c r="H41" s="691">
        <v>5623.6141586893827</v>
      </c>
      <c r="I41" s="691">
        <v>1.0073319699875452</v>
      </c>
      <c r="J41" s="2911">
        <v>0.35042809382232926</v>
      </c>
    </row>
    <row r="42" spans="2:10" ht="18" customHeight="1" x14ac:dyDescent="0.2">
      <c r="B42" s="282" t="s">
        <v>168</v>
      </c>
      <c r="C42" s="691">
        <v>98997.919776782204</v>
      </c>
      <c r="D42" s="1909" t="s">
        <v>1814</v>
      </c>
      <c r="E42" s="1913">
        <f t="shared" si="16"/>
        <v>69.899999999999991</v>
      </c>
      <c r="F42" s="1913">
        <f t="shared" si="17"/>
        <v>12.782883657451261</v>
      </c>
      <c r="G42" s="1913">
        <f t="shared" si="17"/>
        <v>1.1879831245190566</v>
      </c>
      <c r="H42" s="691">
        <v>6919.9545923970754</v>
      </c>
      <c r="I42" s="691">
        <v>1.2654788908363004</v>
      </c>
      <c r="J42" s="2911">
        <v>0.11760785805730864</v>
      </c>
    </row>
    <row r="43" spans="2:10" ht="18" customHeight="1" x14ac:dyDescent="0.2">
      <c r="B43" s="282" t="s">
        <v>169</v>
      </c>
      <c r="C43" s="691">
        <v>12779.6896032145</v>
      </c>
      <c r="D43" s="1909" t="s">
        <v>1814</v>
      </c>
      <c r="E43" s="1913">
        <f t="shared" si="16"/>
        <v>60.199999999999832</v>
      </c>
      <c r="F43" s="1913">
        <f t="shared" si="17"/>
        <v>29.197180201440933</v>
      </c>
      <c r="G43" s="1913">
        <f t="shared" si="17"/>
        <v>2.6144553094699106</v>
      </c>
      <c r="H43" s="691">
        <v>769.33731411351073</v>
      </c>
      <c r="I43" s="691">
        <v>0.3731309002635349</v>
      </c>
      <c r="J43" s="2911">
        <v>3.3411927336501564E-2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43.056505699323701</v>
      </c>
      <c r="D46" s="1909" t="s">
        <v>1814</v>
      </c>
      <c r="E46" s="1913">
        <f t="shared" si="18"/>
        <v>51.411918339265036</v>
      </c>
      <c r="F46" s="1913">
        <f t="shared" si="19"/>
        <v>261.00000000000017</v>
      </c>
      <c r="G46" s="1913">
        <f t="shared" si="19"/>
        <v>1.0000000000000007</v>
      </c>
      <c r="H46" s="691">
        <v>2.2136175549877297</v>
      </c>
      <c r="I46" s="691">
        <v>1.1237747987523493E-2</v>
      </c>
      <c r="J46" s="2911">
        <v>4.3056505699323727E-5</v>
      </c>
    </row>
    <row r="47" spans="2:10" ht="18" customHeight="1" x14ac:dyDescent="0.2">
      <c r="B47" s="282" t="s">
        <v>137</v>
      </c>
      <c r="C47" s="691">
        <v>900.88534132037</v>
      </c>
      <c r="D47" s="1909" t="s">
        <v>1814</v>
      </c>
      <c r="E47" s="1913">
        <f t="shared" si="18"/>
        <v>67.260000000000019</v>
      </c>
      <c r="F47" s="1913">
        <f t="shared" si="19"/>
        <v>40.65866002874953</v>
      </c>
      <c r="G47" s="1913">
        <f t="shared" si="19"/>
        <v>12.002620330885232</v>
      </c>
      <c r="H47" s="691">
        <v>60.59354805720811</v>
      </c>
      <c r="I47" s="691">
        <v>3.6628790817628903E-2</v>
      </c>
      <c r="J47" s="2911">
        <v>1.0812984713528354E-2</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262883.86441909865</v>
      </c>
      <c r="D50" s="1909" t="s">
        <v>1814</v>
      </c>
      <c r="E50" s="628"/>
      <c r="F50" s="628"/>
      <c r="G50" s="628"/>
      <c r="H50" s="1913">
        <f>IF(SUM(H51:H54,H56,H58)=0,"NO",SUM(H51:H54,H56,H58))</f>
        <v>18296.448315548303</v>
      </c>
      <c r="I50" s="1913">
        <f>IF(SUM(I51:I54,I56:I58)=0,"NO",SUM(I51:I54,I56:I58))</f>
        <v>1.7066869393747344</v>
      </c>
      <c r="J50" s="3085">
        <f>IF(SUM(J51:J54,J56:J58)=0,"NO",SUM(J51:J54,J56:J58))</f>
        <v>0.51979718512245043</v>
      </c>
    </row>
    <row r="51" spans="2:10" ht="18" customHeight="1" x14ac:dyDescent="0.2">
      <c r="B51" s="282" t="s">
        <v>167</v>
      </c>
      <c r="C51" s="691">
        <v>1904.1504779043601</v>
      </c>
      <c r="D51" s="1909" t="s">
        <v>1814</v>
      </c>
      <c r="E51" s="1913">
        <f t="shared" ref="E51:E53" si="21">IFERROR(H51*1000/$C51,"NA")</f>
        <v>67.399999999999821</v>
      </c>
      <c r="F51" s="1913">
        <f t="shared" ref="F51:G53" si="22">IFERROR(I51*1000000/$C51,"NA")</f>
        <v>16.738996388044221</v>
      </c>
      <c r="G51" s="1913">
        <f t="shared" si="22"/>
        <v>0.92400564184599365</v>
      </c>
      <c r="H51" s="691">
        <v>128.33974221075354</v>
      </c>
      <c r="I51" s="691">
        <v>3.1873567971933761E-2</v>
      </c>
      <c r="J51" s="2911">
        <v>1.7594457845073737E-3</v>
      </c>
    </row>
    <row r="52" spans="2:10" ht="18" customHeight="1" x14ac:dyDescent="0.2">
      <c r="B52" s="282" t="s">
        <v>168</v>
      </c>
      <c r="C52" s="691">
        <v>255202.892632831</v>
      </c>
      <c r="D52" s="1909" t="s">
        <v>1814</v>
      </c>
      <c r="E52" s="1913">
        <f t="shared" si="21"/>
        <v>69.899999999999892</v>
      </c>
      <c r="F52" s="1913">
        <f t="shared" si="22"/>
        <v>5.5817639763755347</v>
      </c>
      <c r="G52" s="1913">
        <f t="shared" si="22"/>
        <v>1.9998108041653624</v>
      </c>
      <c r="H52" s="691">
        <v>17838.682195034857</v>
      </c>
      <c r="I52" s="691">
        <v>1.4244823127647694</v>
      </c>
      <c r="J52" s="2911">
        <v>0.5103575019413884</v>
      </c>
    </row>
    <row r="53" spans="2:10" ht="18" customHeight="1" x14ac:dyDescent="0.2">
      <c r="B53" s="282" t="s">
        <v>169</v>
      </c>
      <c r="C53" s="691">
        <v>3690.1014565544997</v>
      </c>
      <c r="D53" s="1909" t="s">
        <v>1814</v>
      </c>
      <c r="E53" s="1913">
        <f t="shared" si="21"/>
        <v>60.199999999999925</v>
      </c>
      <c r="F53" s="1913">
        <f t="shared" si="22"/>
        <v>10.723920214999806</v>
      </c>
      <c r="G53" s="1913">
        <f t="shared" si="22"/>
        <v>1.5158167358272667</v>
      </c>
      <c r="H53" s="691">
        <v>222.1441076845806</v>
      </c>
      <c r="I53" s="691">
        <v>3.9572353605345029E-2</v>
      </c>
      <c r="J53" s="2911">
        <v>5.5935175447458839E-3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2086.7198518087798</v>
      </c>
      <c r="D56" s="1909" t="s">
        <v>1814</v>
      </c>
      <c r="E56" s="1913">
        <f t="shared" si="23"/>
        <v>51.411918339264886</v>
      </c>
      <c r="F56" s="1913">
        <f t="shared" si="24"/>
        <v>100.99999999999979</v>
      </c>
      <c r="G56" s="1913">
        <f t="shared" si="24"/>
        <v>0.99999999999999778</v>
      </c>
      <c r="H56" s="691">
        <v>107.28227061811592</v>
      </c>
      <c r="I56" s="691">
        <v>0.21075870503268632</v>
      </c>
      <c r="J56" s="2911">
        <v>2.0867198518087753E-3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5059.0394462255508</v>
      </c>
      <c r="D60" s="1909" t="s">
        <v>1814</v>
      </c>
      <c r="E60" s="628"/>
      <c r="F60" s="628"/>
      <c r="G60" s="628"/>
      <c r="H60" s="1913">
        <f>IF(SUM(H61:H64,H66,H68)=0,"NO",SUM(H61:H64,H66,H68))</f>
        <v>341.00513283257277</v>
      </c>
      <c r="I60" s="1913">
        <f>IF(SUM(I61:I64,I66:I68)=0,"NO",SUM(I61:I64,I66:I68))</f>
        <v>0.36343500114262006</v>
      </c>
      <c r="J60" s="3085">
        <f>IF(SUM(J61:J64,J66:J68)=0,"NO",SUM(J61:J64,J66:J68))</f>
        <v>4.8458000152349348E-3</v>
      </c>
    </row>
    <row r="61" spans="2:10" ht="18" customHeight="1" x14ac:dyDescent="0.2">
      <c r="B61" s="282" t="s">
        <v>167</v>
      </c>
      <c r="C61" s="691">
        <v>5054.65399589156</v>
      </c>
      <c r="D61" s="1909" t="s">
        <v>1814</v>
      </c>
      <c r="E61" s="1913">
        <f t="shared" ref="E61:E63" si="26">IFERROR(H61*1000/$C61,"NA")</f>
        <v>67.40000000000002</v>
      </c>
      <c r="F61" s="1913">
        <f t="shared" ref="F61:G63" si="27">IFERROR(I61*1000000/$C61,"NA")</f>
        <v>71.901064135749209</v>
      </c>
      <c r="G61" s="1913">
        <f t="shared" si="27"/>
        <v>0.95868085514332291</v>
      </c>
      <c r="H61" s="691">
        <v>340.68367932309121</v>
      </c>
      <c r="I61" s="691">
        <v>0.36343500114262006</v>
      </c>
      <c r="J61" s="2911">
        <v>4.8458000152349348E-3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4.3854503339911899</v>
      </c>
      <c r="D68" s="1909" t="s">
        <v>1814</v>
      </c>
      <c r="E68" s="628"/>
      <c r="F68" s="628"/>
      <c r="G68" s="628"/>
      <c r="H68" s="1913">
        <f>H69</f>
        <v>0.32145350948155421</v>
      </c>
      <c r="I68" s="1913" t="str">
        <f>I69</f>
        <v>NE</v>
      </c>
      <c r="J68" s="3085" t="str">
        <f>J69</f>
        <v>NE</v>
      </c>
    </row>
    <row r="69" spans="2:10" ht="18" customHeight="1" x14ac:dyDescent="0.2">
      <c r="B69" s="3105" t="s">
        <v>252</v>
      </c>
      <c r="C69" s="691">
        <v>4.3854503339911899</v>
      </c>
      <c r="D69" s="1909" t="s">
        <v>1814</v>
      </c>
      <c r="E69" s="3103">
        <f t="shared" ref="E69" si="30">IFERROR(H69*1000/$C69,"NA")</f>
        <v>73.3</v>
      </c>
      <c r="F69" s="3103" t="str">
        <f>IFERROR(I69*1000000/$C69,"NA")</f>
        <v>NA</v>
      </c>
      <c r="G69" s="3103" t="str">
        <f>IFERROR(J69*1000000/$C69,"NA")</f>
        <v>NA</v>
      </c>
      <c r="H69" s="691">
        <v>0.32145350948155421</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33993</v>
      </c>
      <c r="D81" s="1909" t="s">
        <v>1814</v>
      </c>
      <c r="E81" s="628"/>
      <c r="F81" s="628"/>
      <c r="G81" s="628"/>
      <c r="H81" s="1913">
        <f>IF(SUM(H82:H84,H86)=0,"NO",SUM(H82:H84,H86))</f>
        <v>2376.1107000000006</v>
      </c>
      <c r="I81" s="1913">
        <f>IF(SUM(I82:I86)=0,"NO",SUM(I82:I86))</f>
        <v>0.13597199999999998</v>
      </c>
      <c r="J81" s="3085">
        <f>IF(SUM(J82:J86)=0,"NO",SUM(J82:J86))</f>
        <v>1.0197899999999998</v>
      </c>
    </row>
    <row r="82" spans="2:10" ht="18" customHeight="1" x14ac:dyDescent="0.2">
      <c r="B82" s="282" t="s">
        <v>132</v>
      </c>
      <c r="C82" s="691">
        <v>33993</v>
      </c>
      <c r="D82" s="1909" t="s">
        <v>1814</v>
      </c>
      <c r="E82" s="1913">
        <f t="shared" ref="E82:E85" si="36">IFERROR(H82*1000/$C82,"NA")</f>
        <v>69.90000000000002</v>
      </c>
      <c r="F82" s="1913">
        <f t="shared" ref="F82:G85" si="37">IFERROR(I82*1000000/$C82,"NA")</f>
        <v>3.9999999999999991</v>
      </c>
      <c r="G82" s="1913">
        <f t="shared" si="37"/>
        <v>29.999999999999993</v>
      </c>
      <c r="H82" s="691">
        <v>2376.1107000000006</v>
      </c>
      <c r="I82" s="691">
        <v>0.13597199999999998</v>
      </c>
      <c r="J82" s="2911">
        <v>1.0197899999999998</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31953.90885140219</v>
      </c>
      <c r="D88" s="1909" t="s">
        <v>1814</v>
      </c>
      <c r="E88" s="628"/>
      <c r="F88" s="628"/>
      <c r="G88" s="628"/>
      <c r="H88" s="1913">
        <f>IF(SUM(H89:H92,H94,H96)=0,"NO",SUM(H89:H92,H94,H96))</f>
        <v>2302.6737591966926</v>
      </c>
      <c r="I88" s="3334">
        <f>IF(SUM(I89:I92,I94:I96)=0,"NE",SUM(I89:I92,I94:I96))</f>
        <v>4.4003430200147902</v>
      </c>
      <c r="J88" s="3335">
        <f>IF(SUM(J89:J92,J94:J96)=0,"NE",SUM(J89:J92,J94:J96))</f>
        <v>4.7054748520671028E-2</v>
      </c>
    </row>
    <row r="89" spans="2:10" ht="18" customHeight="1" x14ac:dyDescent="0.2">
      <c r="B89" s="282" t="s">
        <v>190</v>
      </c>
      <c r="C89" s="691">
        <v>6540</v>
      </c>
      <c r="D89" s="1909" t="s">
        <v>1814</v>
      </c>
      <c r="E89" s="1913">
        <f t="shared" ref="E89:E91" si="39">IFERROR(H89*1000/$C89,"NA")</f>
        <v>73.599999999999994</v>
      </c>
      <c r="F89" s="1913">
        <f t="shared" ref="F89:G91" si="40">IFERROR(I89*1000000/$C89,"NA")</f>
        <v>7</v>
      </c>
      <c r="G89" s="1913">
        <f t="shared" si="40"/>
        <v>2</v>
      </c>
      <c r="H89" s="691">
        <v>481.34399999999999</v>
      </c>
      <c r="I89" s="3336">
        <v>4.5780000000000001E-2</v>
      </c>
      <c r="J89" s="3337">
        <v>1.308E-2</v>
      </c>
    </row>
    <row r="90" spans="2:10" ht="18" customHeight="1" x14ac:dyDescent="0.2">
      <c r="B90" s="282" t="s">
        <v>191</v>
      </c>
      <c r="C90" s="691">
        <v>9709.705407633819</v>
      </c>
      <c r="D90" s="1909" t="s">
        <v>1814</v>
      </c>
      <c r="E90" s="1913">
        <f t="shared" si="39"/>
        <v>69.899999999999991</v>
      </c>
      <c r="F90" s="1913">
        <f t="shared" si="40"/>
        <v>6.9999999999999982</v>
      </c>
      <c r="G90" s="1913">
        <f t="shared" si="40"/>
        <v>1.9999999999999996</v>
      </c>
      <c r="H90" s="691">
        <v>678.70840799360383</v>
      </c>
      <c r="I90" s="3336">
        <v>6.7967937853436716E-2</v>
      </c>
      <c r="J90" s="3337">
        <v>1.9419410815267636E-2</v>
      </c>
    </row>
    <row r="91" spans="2:10" ht="18" customHeight="1" x14ac:dyDescent="0.2">
      <c r="B91" s="282" t="s">
        <v>167</v>
      </c>
      <c r="C91" s="691">
        <v>11359.976855471701</v>
      </c>
      <c r="D91" s="1909" t="s">
        <v>1814</v>
      </c>
      <c r="E91" s="1913">
        <f t="shared" si="39"/>
        <v>67.400000000000063</v>
      </c>
      <c r="F91" s="1913">
        <f t="shared" si="40"/>
        <v>360.00000000000028</v>
      </c>
      <c r="G91" s="1913">
        <f t="shared" si="40"/>
        <v>0.9000000000000008</v>
      </c>
      <c r="H91" s="691">
        <v>765.66244005879332</v>
      </c>
      <c r="I91" s="3336">
        <v>4.0895916679698159</v>
      </c>
      <c r="J91" s="3337">
        <v>1.0223979169924539E-2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v>
      </c>
      <c r="F94" s="1913">
        <f t="shared" si="42"/>
        <v>243.00000000000003</v>
      </c>
      <c r="G94" s="1913">
        <f t="shared" si="42"/>
        <v>1</v>
      </c>
      <c r="H94" s="691">
        <v>5.1411918339265004</v>
      </c>
      <c r="I94" s="3336">
        <v>2.4300000000000002E-2</v>
      </c>
      <c r="J94" s="3337">
        <v>1E-4</v>
      </c>
    </row>
    <row r="95" spans="2:10" ht="18" customHeight="1" x14ac:dyDescent="0.2">
      <c r="B95" s="282" t="s">
        <v>137</v>
      </c>
      <c r="C95" s="691">
        <v>112.620594976494</v>
      </c>
      <c r="D95" s="1909" t="s">
        <v>1814</v>
      </c>
      <c r="E95" s="1913">
        <f t="shared" si="43"/>
        <v>67.259999999999891</v>
      </c>
      <c r="F95" s="1913">
        <f t="shared" si="42"/>
        <v>359.99999999999937</v>
      </c>
      <c r="G95" s="1913">
        <f t="shared" si="42"/>
        <v>0.89999999999999858</v>
      </c>
      <c r="H95" s="691">
        <v>7.5748612181189747</v>
      </c>
      <c r="I95" s="3336">
        <v>4.0543414191537772E-2</v>
      </c>
      <c r="J95" s="3337">
        <v>1.0135853547884444E-4</v>
      </c>
    </row>
    <row r="96" spans="2:10" ht="18" customHeight="1" x14ac:dyDescent="0.2">
      <c r="B96" s="282" t="s">
        <v>183</v>
      </c>
      <c r="C96" s="1913">
        <f>IF(SUM(C97:C98)=0,"NO",SUM(C97:C98))</f>
        <v>4131.6059933201759</v>
      </c>
      <c r="D96" s="1909" t="s">
        <v>1814</v>
      </c>
      <c r="E96" s="628"/>
      <c r="F96" s="628"/>
      <c r="G96" s="628"/>
      <c r="H96" s="1913">
        <f>IF(SUM(H97:H98)=0,"NO",SUM(H97:H98))</f>
        <v>371.81771931036894</v>
      </c>
      <c r="I96" s="3334">
        <f>IF(SUM(I97:I98)=0,"NE",SUM(I97:I98))</f>
        <v>0.13216000000000003</v>
      </c>
      <c r="J96" s="3335">
        <f>IF(SUM(J97:J98)=0,"NE",SUM(J97:J98))</f>
        <v>4.1300000000000009E-3</v>
      </c>
    </row>
    <row r="97" spans="2:10" ht="18" customHeight="1" x14ac:dyDescent="0.2">
      <c r="B97" s="2572" t="s">
        <v>2260</v>
      </c>
      <c r="C97" s="691">
        <v>4130</v>
      </c>
      <c r="D97" s="1909" t="s">
        <v>1814</v>
      </c>
      <c r="E97" s="3103">
        <f t="shared" ref="E97" si="44">IFERROR(H97*1000/$C97,"NA")</f>
        <v>90.000000000000014</v>
      </c>
      <c r="F97" s="3103">
        <f>IFERROR(I97*1000000/$C97,"NA")</f>
        <v>32.000000000000007</v>
      </c>
      <c r="G97" s="3103">
        <f>IFERROR(J97*1000000/$C97,"NA")</f>
        <v>1.0000000000000002</v>
      </c>
      <c r="H97" s="691">
        <v>371.70000000000005</v>
      </c>
      <c r="I97" s="3336">
        <v>0.13216000000000003</v>
      </c>
      <c r="J97" s="3337">
        <v>4.1300000000000009E-3</v>
      </c>
    </row>
    <row r="98" spans="2:10" ht="18" customHeight="1" x14ac:dyDescent="0.2">
      <c r="B98" s="2572" t="s">
        <v>252</v>
      </c>
      <c r="C98" s="691">
        <v>1.60599332017621</v>
      </c>
      <c r="D98" s="1909" t="s">
        <v>1814</v>
      </c>
      <c r="E98" s="3103">
        <f t="shared" ref="E98" si="45">IFERROR(H98*1000/$C98,"NA")</f>
        <v>73.299999999999912</v>
      </c>
      <c r="F98" s="3103" t="str">
        <f>IFERROR(I98*1000000/$C98,"NA")</f>
        <v>NA</v>
      </c>
      <c r="G98" s="3103" t="str">
        <f>IFERROR(J98*1000000/$C98,"NA")</f>
        <v>NA</v>
      </c>
      <c r="H98" s="691">
        <v>0.11771931036891604</v>
      </c>
      <c r="I98" s="3336" t="s">
        <v>2154</v>
      </c>
      <c r="J98" s="3337" t="s">
        <v>2154</v>
      </c>
    </row>
    <row r="99" spans="2:10" ht="18" customHeight="1" x14ac:dyDescent="0.2">
      <c r="B99" s="1241" t="s">
        <v>193</v>
      </c>
      <c r="C99" s="1913">
        <f>IF(SUM(C100:C104)=0,"NO",SUM(C100:C104))</f>
        <v>12316.581865978484</v>
      </c>
      <c r="D99" s="1909" t="s">
        <v>1814</v>
      </c>
      <c r="E99" s="628"/>
      <c r="F99" s="628"/>
      <c r="G99" s="628"/>
      <c r="H99" s="1913">
        <f>IF(SUM(H100:H103)=0,"NO",SUM(H100:H103))</f>
        <v>642.9209322619281</v>
      </c>
      <c r="I99" s="1913">
        <f>IF(SUM(I100:I104)=0,"NO",SUM(I100:I104))</f>
        <v>0.1261706773143875</v>
      </c>
      <c r="J99" s="3085">
        <f>IF(SUM(J100:J104)=0,"NO",SUM(J100:J104))</f>
        <v>1.2993864116114108E-3</v>
      </c>
    </row>
    <row r="100" spans="2:10" ht="18" customHeight="1" x14ac:dyDescent="0.2">
      <c r="B100" s="282" t="s">
        <v>132</v>
      </c>
      <c r="C100" s="1913">
        <f>IF(SUM(C106,C113:C116)=0,"NO",SUM(C106,C113:C116))</f>
        <v>665.04938032436269</v>
      </c>
      <c r="D100" s="1909" t="s">
        <v>1814</v>
      </c>
      <c r="E100" s="3103">
        <f t="shared" ref="E100:E104" si="46">IFERROR(H100*1000/$C100,"NA")</f>
        <v>66.066658320769307</v>
      </c>
      <c r="F100" s="3103">
        <f t="shared" ref="F100:G104" si="47">IFERROR(I100*1000000/$C100,"NA")</f>
        <v>49.010874125199791</v>
      </c>
      <c r="G100" s="3103">
        <f t="shared" si="47"/>
        <v>0.19604349650079914</v>
      </c>
      <c r="H100" s="1913">
        <f>IF(SUM(H106,H113:H116)=0,"NO",SUM(H106,H113:H116))</f>
        <v>43.937590176329032</v>
      </c>
      <c r="I100" s="1913">
        <f>IF(SUM(I106,I113:I116)=0,"NO",SUM(I106,I113:I116))</f>
        <v>3.2594651466119465E-2</v>
      </c>
      <c r="J100" s="3085">
        <f>IF(SUM(J106,J113:J116)=0,"NO",SUM(J106,J113:J116))</f>
        <v>1.3037860586447784E-4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11631.9133943</v>
      </c>
      <c r="D102" s="1909" t="s">
        <v>1814</v>
      </c>
      <c r="E102" s="3103">
        <f t="shared" si="46"/>
        <v>51.411918339265</v>
      </c>
      <c r="F102" s="3103">
        <f t="shared" si="47"/>
        <v>7.84474885844749</v>
      </c>
      <c r="G102" s="3103">
        <f t="shared" si="47"/>
        <v>0.10000000000000002</v>
      </c>
      <c r="H102" s="1913">
        <f t="shared" si="48"/>
        <v>598.01898155715435</v>
      </c>
      <c r="I102" s="1913">
        <f t="shared" si="48"/>
        <v>9.1249439321494999E-2</v>
      </c>
      <c r="J102" s="3085">
        <f t="shared" si="48"/>
        <v>1.1631913394300002E-3</v>
      </c>
    </row>
    <row r="103" spans="2:10" ht="18" customHeight="1" x14ac:dyDescent="0.2">
      <c r="B103" s="282" t="s">
        <v>175</v>
      </c>
      <c r="C103" s="1913">
        <f>IF(SUM(C109,C120)=0,"NO",SUM(C109,C120))</f>
        <v>13.156351001973601</v>
      </c>
      <c r="D103" s="1909" t="s">
        <v>1814</v>
      </c>
      <c r="E103" s="3103">
        <f t="shared" si="46"/>
        <v>73.299999999999827</v>
      </c>
      <c r="F103" s="3103" t="str">
        <f t="shared" si="47"/>
        <v>NA</v>
      </c>
      <c r="G103" s="3103" t="str">
        <f t="shared" si="47"/>
        <v>NA</v>
      </c>
      <c r="H103" s="1913">
        <f t="shared" si="48"/>
        <v>0.96436052844466258</v>
      </c>
      <c r="I103" s="1913" t="str">
        <f t="shared" si="48"/>
        <v>NO</v>
      </c>
      <c r="J103" s="3085" t="str">
        <f t="shared" si="48"/>
        <v>NO</v>
      </c>
    </row>
    <row r="104" spans="2:10" ht="18" customHeight="1" x14ac:dyDescent="0.2">
      <c r="B104" s="282" t="s">
        <v>137</v>
      </c>
      <c r="C104" s="1913">
        <f>IF(SUM(C110,C121)=0,"NO",SUM(C110,C121))</f>
        <v>6.4627403521472999</v>
      </c>
      <c r="D104" s="1909" t="s">
        <v>1814</v>
      </c>
      <c r="E104" s="3103">
        <f t="shared" si="46"/>
        <v>67.259999999999991</v>
      </c>
      <c r="F104" s="3103">
        <f t="shared" si="47"/>
        <v>359.99999999999989</v>
      </c>
      <c r="G104" s="3103">
        <f t="shared" si="47"/>
        <v>0.8999999999999998</v>
      </c>
      <c r="H104" s="1913">
        <f t="shared" si="48"/>
        <v>0.43468391608542734</v>
      </c>
      <c r="I104" s="1913">
        <f t="shared" si="48"/>
        <v>2.3265865267730274E-3</v>
      </c>
      <c r="J104" s="3085">
        <f t="shared" si="48"/>
        <v>5.8164663169325684E-6</v>
      </c>
    </row>
    <row r="105" spans="2:10" ht="18" customHeight="1" x14ac:dyDescent="0.2">
      <c r="B105" s="1244" t="s">
        <v>194</v>
      </c>
      <c r="C105" s="1913">
        <f>IF(SUM(C106:C110)=0,"NO",SUM(C106:C110))</f>
        <v>11631.9133943</v>
      </c>
      <c r="D105" s="1909" t="s">
        <v>1814</v>
      </c>
      <c r="E105" s="628"/>
      <c r="F105" s="628"/>
      <c r="G105" s="628"/>
      <c r="H105" s="1913">
        <f>IF(SUM(H106:H109)=0,"NO",SUM(H106:H109))</f>
        <v>598.01898155715435</v>
      </c>
      <c r="I105" s="1913">
        <f>IF(SUM(I106:I110)=0,"NO",SUM(I106:I110))</f>
        <v>9.1249439321494999E-2</v>
      </c>
      <c r="J105" s="3085">
        <f>IF(SUM(J106:J110)=0,"NO",SUM(J106:J110))</f>
        <v>1.1631913394300002E-3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11631.9133943</v>
      </c>
      <c r="D108" s="1909" t="s">
        <v>1814</v>
      </c>
      <c r="E108" s="3103">
        <f t="shared" si="49"/>
        <v>51.411918339265</v>
      </c>
      <c r="F108" s="3103">
        <f t="shared" si="50"/>
        <v>7.84474885844749</v>
      </c>
      <c r="G108" s="3103">
        <f t="shared" si="50"/>
        <v>0.10000000000000002</v>
      </c>
      <c r="H108" s="691">
        <v>598.01898155715435</v>
      </c>
      <c r="I108" s="691">
        <v>9.1249439321494999E-2</v>
      </c>
      <c r="J108" s="2911">
        <v>1.1631913394300002E-3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684.66847167848357</v>
      </c>
      <c r="D111" s="1909" t="s">
        <v>1814</v>
      </c>
      <c r="E111" s="628"/>
      <c r="F111" s="628"/>
      <c r="G111" s="628"/>
      <c r="H111" s="1913">
        <f>H112</f>
        <v>44.901950704773697</v>
      </c>
      <c r="I111" s="1913">
        <f>I112</f>
        <v>3.4921237992892491E-2</v>
      </c>
      <c r="J111" s="3085">
        <f>J112</f>
        <v>1.361950721814104E-4</v>
      </c>
    </row>
    <row r="112" spans="2:10" ht="18" customHeight="1" x14ac:dyDescent="0.2">
      <c r="B112" s="3089" t="s">
        <v>2148</v>
      </c>
      <c r="C112" s="3099">
        <f>IF(SUM(C113:C116,C118:C121)=0,"NO",SUM(C113:C116,C118:C121))</f>
        <v>684.66847167848357</v>
      </c>
      <c r="D112" s="3099" t="s">
        <v>1814</v>
      </c>
      <c r="E112" s="628"/>
      <c r="F112" s="628"/>
      <c r="G112" s="628"/>
      <c r="H112" s="3099">
        <f>IF(SUM(H113:H116,H118:H120)=0,"NO",SUM(H113:H116,H118:H120))</f>
        <v>44.901950704773697</v>
      </c>
      <c r="I112" s="3099">
        <f>IF(SUM(I113:I116,I118:I121)=0,"NO",SUM(I113:I116,I118:I121))</f>
        <v>3.4921237992892491E-2</v>
      </c>
      <c r="J112" s="3100">
        <f>IF(SUM(J113:J116,J118:J121)=0,"NO",SUM(J113:J116,J118:J121))</f>
        <v>1.361950721814104E-4</v>
      </c>
    </row>
    <row r="113" spans="2:10" ht="18" customHeight="1" x14ac:dyDescent="0.2">
      <c r="B113" s="282" t="s">
        <v>167</v>
      </c>
      <c r="C113" s="691">
        <v>665.04938032436269</v>
      </c>
      <c r="D113" s="1913" t="s">
        <v>1814</v>
      </c>
      <c r="E113" s="1913">
        <f t="shared" ref="E113:E115" si="51">IFERROR(H113*1000/$C113,"NA")</f>
        <v>66.066658320769307</v>
      </c>
      <c r="F113" s="1913">
        <f t="shared" ref="F113:G115" si="52">IFERROR(I113*1000000/$C113,"NA")</f>
        <v>49.010874125199791</v>
      </c>
      <c r="G113" s="1913">
        <f t="shared" si="52"/>
        <v>0.19604349650079914</v>
      </c>
      <c r="H113" s="691">
        <v>43.937590176329032</v>
      </c>
      <c r="I113" s="691">
        <v>3.2594651466119465E-2</v>
      </c>
      <c r="J113" s="2911">
        <v>1.3037860586447784E-4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13.156351001973601</v>
      </c>
      <c r="D120" s="1909" t="s">
        <v>1814</v>
      </c>
      <c r="E120" s="3103">
        <f t="shared" si="53"/>
        <v>73.299999999999827</v>
      </c>
      <c r="F120" s="3103" t="str">
        <f t="shared" si="54"/>
        <v>NA</v>
      </c>
      <c r="G120" s="3103" t="str">
        <f t="shared" si="54"/>
        <v>NA</v>
      </c>
      <c r="H120" s="691">
        <v>0.96436052844466258</v>
      </c>
      <c r="I120" s="691" t="s">
        <v>2154</v>
      </c>
      <c r="J120" s="2911" t="s">
        <v>2154</v>
      </c>
    </row>
    <row r="121" spans="2:10" ht="18" customHeight="1" thickBot="1" x14ac:dyDescent="0.25">
      <c r="B121" s="2185" t="s">
        <v>137</v>
      </c>
      <c r="C121" s="1559">
        <v>6.4627403521472999</v>
      </c>
      <c r="D121" s="2880" t="s">
        <v>1814</v>
      </c>
      <c r="E121" s="3104">
        <f t="shared" si="53"/>
        <v>67.259999999999991</v>
      </c>
      <c r="F121" s="3104">
        <f t="shared" si="54"/>
        <v>359.99999999999989</v>
      </c>
      <c r="G121" s="3104">
        <f t="shared" si="54"/>
        <v>0.8999999999999998</v>
      </c>
      <c r="H121" s="1559">
        <v>0.43468391608542734</v>
      </c>
      <c r="I121" s="1559">
        <v>2.3265865267730274E-3</v>
      </c>
      <c r="J121" s="1561">
        <v>5.8164663169325684E-6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392204.59200330032</v>
      </c>
      <c r="D10" s="3109" t="s">
        <v>1814</v>
      </c>
      <c r="E10" s="2135"/>
      <c r="F10" s="2135"/>
      <c r="G10" s="2135"/>
      <c r="H10" s="3109">
        <f>IF(SUM(H11:H15)=0,"NO",SUM(H11:H15))</f>
        <v>19718.537468055074</v>
      </c>
      <c r="I10" s="3109">
        <f>IF(SUM(I11:I16)=0,"NO",SUM(I11:I16))</f>
        <v>41.162161193649624</v>
      </c>
      <c r="J10" s="3109">
        <f>IF(SUM(J11:J16)=0,"NO",SUM(J11:J16))</f>
        <v>0.65301319071314501</v>
      </c>
      <c r="K10" s="420" t="str">
        <f>IF(SUM(K11:K16)=0,"NO",SUM(K11:K16))</f>
        <v>NO</v>
      </c>
    </row>
    <row r="11" spans="2:12" ht="18" customHeight="1" x14ac:dyDescent="0.2">
      <c r="B11" s="282" t="s">
        <v>132</v>
      </c>
      <c r="C11" s="1913">
        <f>IF(SUM(C18,C39,C60)=0,"NO",SUM(C18,C39,C60))</f>
        <v>140734.42799700968</v>
      </c>
      <c r="D11" s="3109" t="s">
        <v>1814</v>
      </c>
      <c r="E11" s="1913">
        <f t="shared" ref="E11:E16" si="0">IFERROR(H11*1000/$C11,"NA")</f>
        <v>68.342208116359544</v>
      </c>
      <c r="F11" s="1913">
        <f t="shared" ref="F11:G16" si="1">IFERROR(I11*1000000/$C11,"NA")</f>
        <v>9.6322467033936636</v>
      </c>
      <c r="G11" s="1913">
        <f t="shared" si="1"/>
        <v>2.6320731577940255</v>
      </c>
      <c r="H11" s="1913">
        <f>IF(SUM(H18,H39,H60)=0,"NO",SUM(H18,H39,H60))</f>
        <v>9618.1015673084512</v>
      </c>
      <c r="I11" s="1913">
        <f>IF(SUM(I18,I39,I60)=0,"NO",SUM(I18,I39,I60))</f>
        <v>1.3555887301281895</v>
      </c>
      <c r="J11" s="1913">
        <f>IF(SUM(J18,J39,J60)=0,"NO",SUM(J18,J39,J60))</f>
        <v>0.37042331030842518</v>
      </c>
      <c r="K11" s="3085" t="str">
        <f>IF(SUM(K18,K39,K60)=0,"NO",SUM(K18,K39,K60))</f>
        <v>NO</v>
      </c>
    </row>
    <row r="12" spans="2:12" ht="18" customHeight="1" x14ac:dyDescent="0.2">
      <c r="B12" s="282" t="s">
        <v>133</v>
      </c>
      <c r="C12" s="1913">
        <f t="shared" ref="C12:C16" si="2">IF(SUM(C19,C40,C61)=0,"NO",SUM(C19,C40,C61))</f>
        <v>1373.2273308466786</v>
      </c>
      <c r="D12" s="3109" t="s">
        <v>1814</v>
      </c>
      <c r="E12" s="1913">
        <f t="shared" si="0"/>
        <v>92.924151041146743</v>
      </c>
      <c r="F12" s="1913">
        <f t="shared" si="1"/>
        <v>0.95238095238095266</v>
      </c>
      <c r="G12" s="1913">
        <f t="shared" si="1"/>
        <v>0.66666666666666674</v>
      </c>
      <c r="H12" s="1913">
        <f t="shared" ref="H12:K16" si="3">IF(SUM(H19,H40,H61)=0,"NO",SUM(H19,H40,H61))</f>
        <v>127.60598390542755</v>
      </c>
      <c r="I12" s="1913">
        <f t="shared" si="3"/>
        <v>1.3078355531873133E-3</v>
      </c>
      <c r="J12" s="1913">
        <f t="shared" si="3"/>
        <v>9.1548488723111913E-4</v>
      </c>
      <c r="K12" s="3085" t="str">
        <f t="shared" si="3"/>
        <v>NO</v>
      </c>
    </row>
    <row r="13" spans="2:12" ht="18" customHeight="1" x14ac:dyDescent="0.2">
      <c r="B13" s="282" t="s">
        <v>134</v>
      </c>
      <c r="C13" s="1913">
        <f t="shared" si="2"/>
        <v>193926.63227841916</v>
      </c>
      <c r="D13" s="3109" t="s">
        <v>1814</v>
      </c>
      <c r="E13" s="1913">
        <f t="shared" si="0"/>
        <v>51.425788194595526</v>
      </c>
      <c r="F13" s="1913">
        <f t="shared" si="1"/>
        <v>0.90909090909090906</v>
      </c>
      <c r="G13" s="1913">
        <f t="shared" si="1"/>
        <v>0.90909090909090906</v>
      </c>
      <c r="H13" s="1913">
        <f t="shared" si="3"/>
        <v>9972.8299168411959</v>
      </c>
      <c r="I13" s="1913">
        <f t="shared" si="3"/>
        <v>0.1762969384349265</v>
      </c>
      <c r="J13" s="1913">
        <f t="shared" si="3"/>
        <v>0.1762969384349265</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56170.304397024796</v>
      </c>
      <c r="D16" s="3109" t="s">
        <v>1814</v>
      </c>
      <c r="E16" s="1913">
        <f t="shared" si="0"/>
        <v>77.486062662559007</v>
      </c>
      <c r="F16" s="1913">
        <f t="shared" si="1"/>
        <v>705.51456174113889</v>
      </c>
      <c r="G16" s="1913">
        <f t="shared" si="1"/>
        <v>1.8760350013012179</v>
      </c>
      <c r="H16" s="1913">
        <f t="shared" si="3"/>
        <v>4352.4157262828767</v>
      </c>
      <c r="I16" s="1913">
        <f t="shared" si="3"/>
        <v>39.628967689533319</v>
      </c>
      <c r="J16" s="1913">
        <f t="shared" si="3"/>
        <v>0.10537745708256221</v>
      </c>
      <c r="K16" s="3085" t="str">
        <f t="shared" si="3"/>
        <v>NO</v>
      </c>
    </row>
    <row r="17" spans="2:11" ht="18" customHeight="1" x14ac:dyDescent="0.2">
      <c r="B17" s="1241" t="s">
        <v>1942</v>
      </c>
      <c r="C17" s="3109">
        <f>IF(SUM(C18:C23)=0,"NO",SUM(C18:C23))</f>
        <v>84574.363268613</v>
      </c>
      <c r="D17" s="3109" t="s">
        <v>1814</v>
      </c>
      <c r="E17" s="628"/>
      <c r="F17" s="628"/>
      <c r="G17" s="628"/>
      <c r="H17" s="3078">
        <f>IF(SUM(H18:H22)=0,"NO",SUM(H18:H22))</f>
        <v>4953.8418319650409</v>
      </c>
      <c r="I17" s="3078">
        <f>IF(SUM(I18:I23)=0,"NO",SUM(I18:I23))</f>
        <v>0.10970445242820934</v>
      </c>
      <c r="J17" s="3110">
        <f>IF(SUM(J18:J23)=0,"NO",SUM(J18:J23))</f>
        <v>9.0786247520286967E-2</v>
      </c>
      <c r="K17" s="3085" t="str">
        <f>IF(SUM(K18:K23)=0,"NO",SUM(K18:K23))</f>
        <v>NO</v>
      </c>
    </row>
    <row r="18" spans="2:11" ht="18" customHeight="1" x14ac:dyDescent="0.2">
      <c r="B18" s="282" t="s">
        <v>132</v>
      </c>
      <c r="C18" s="3109">
        <f>IF(SUM(C26,C33)=0,"NO",SUM(C26,C33))</f>
        <v>33175.762130972951</v>
      </c>
      <c r="D18" s="3109" t="s">
        <v>1814</v>
      </c>
      <c r="E18" s="1913">
        <f t="shared" ref="E18" si="4">IFERROR(H18*1000/$C18,"NA")</f>
        <v>68.81058478764993</v>
      </c>
      <c r="F18" s="1913">
        <f t="shared" ref="F18:G23" si="5">IFERROR(I18*1000000/$C18,"NA")</f>
        <v>1.823753743375365</v>
      </c>
      <c r="G18" s="1913">
        <f t="shared" si="5"/>
        <v>1.2943969855452313</v>
      </c>
      <c r="H18" s="3109">
        <f>IF(SUM(H26,H33)=0,"NO",SUM(H26,H33))</f>
        <v>2282.8435930082201</v>
      </c>
      <c r="I18" s="3109">
        <f>IF(SUM(I26,I33)=0,"NO",SUM(I26,I33))</f>
        <v>6.0504420375692591E-2</v>
      </c>
      <c r="J18" s="3109">
        <f>IF(SUM(J26,J33)=0,"NO",SUM(J26,J33))</f>
        <v>4.2942606495497027E-2</v>
      </c>
      <c r="K18" s="3085" t="str">
        <f>IF(SUM(K26,K33)=0,"NO",SUM(K26,K33))</f>
        <v>NO</v>
      </c>
    </row>
    <row r="19" spans="2:11" ht="18" customHeight="1" x14ac:dyDescent="0.2">
      <c r="B19" s="282" t="s">
        <v>133</v>
      </c>
      <c r="C19" s="3109">
        <f t="shared" ref="C19:C21" si="6">IF(SUM(C27,C34)=0,"NO",SUM(C27,C34))</f>
        <v>1339.7324492033395</v>
      </c>
      <c r="D19" s="3109" t="s">
        <v>1814</v>
      </c>
      <c r="E19" s="1913">
        <f t="shared" ref="E19:E23" si="7">IFERROR(H19*1000/$C19,"NA")</f>
        <v>92.872252383897987</v>
      </c>
      <c r="F19" s="1913">
        <f t="shared" si="5"/>
        <v>0.95238095238095255</v>
      </c>
      <c r="G19" s="1913">
        <f t="shared" si="5"/>
        <v>0.66666666666666674</v>
      </c>
      <c r="H19" s="3109">
        <f t="shared" ref="H19:K21" si="8">IF(SUM(H27,H34)=0,"NO",SUM(H27,H34))</f>
        <v>124.42397014931034</v>
      </c>
      <c r="I19" s="3109">
        <f t="shared" si="8"/>
        <v>1.2759356659079427E-3</v>
      </c>
      <c r="J19" s="3109">
        <f t="shared" si="8"/>
        <v>8.9315496613555975E-4</v>
      </c>
      <c r="K19" s="3085" t="str">
        <f t="shared" si="8"/>
        <v>NO</v>
      </c>
    </row>
    <row r="20" spans="2:11" ht="18" customHeight="1" x14ac:dyDescent="0.2">
      <c r="B20" s="282" t="s">
        <v>134</v>
      </c>
      <c r="C20" s="3109">
        <f t="shared" si="6"/>
        <v>49511.385628336095</v>
      </c>
      <c r="D20" s="3109" t="s">
        <v>1814</v>
      </c>
      <c r="E20" s="1913">
        <f t="shared" si="7"/>
        <v>51.434114325212278</v>
      </c>
      <c r="F20" s="1913">
        <f t="shared" si="5"/>
        <v>0.90909090909090917</v>
      </c>
      <c r="G20" s="1913">
        <f t="shared" si="5"/>
        <v>0.90909090909090917</v>
      </c>
      <c r="H20" s="3109">
        <f t="shared" si="8"/>
        <v>2546.5742688075106</v>
      </c>
      <c r="I20" s="3109">
        <f t="shared" si="8"/>
        <v>4.5010350571214636E-2</v>
      </c>
      <c r="J20" s="3109">
        <f t="shared" si="8"/>
        <v>4.5010350571214636E-2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547.48306010061469</v>
      </c>
      <c r="D23" s="3109" t="s">
        <v>1814</v>
      </c>
      <c r="E23" s="1913">
        <f t="shared" si="7"/>
        <v>73.470197500124371</v>
      </c>
      <c r="F23" s="1913">
        <f t="shared" si="5"/>
        <v>5.3220748325230076</v>
      </c>
      <c r="G23" s="1913">
        <f t="shared" si="5"/>
        <v>3.5437361058864196</v>
      </c>
      <c r="H23" s="3109">
        <f>IF(SUM(H31,H37)=0,"NO",SUM(H31,H37))</f>
        <v>40.223688553564621</v>
      </c>
      <c r="I23" s="3109">
        <f>IF(SUM(I31,I37)=0,"NO",SUM(I31,I37))</f>
        <v>2.9137458153941625E-3</v>
      </c>
      <c r="J23" s="3109">
        <f>IF(SUM(J31,J37)=0,"NO",SUM(J31,J37))</f>
        <v>1.9401354874397331E-3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84574.363268613</v>
      </c>
      <c r="D25" s="3078" t="s">
        <v>1814</v>
      </c>
      <c r="E25" s="628"/>
      <c r="F25" s="628"/>
      <c r="G25" s="628"/>
      <c r="H25" s="3078">
        <f>IF(SUM(H26:H30)=0,"NO",SUM(H26:H30))</f>
        <v>4953.8418319650409</v>
      </c>
      <c r="I25" s="3078">
        <f>IF(SUM(I26:I31)=0,"NO",SUM(I26:I31))</f>
        <v>0.10970445242820934</v>
      </c>
      <c r="J25" s="3110">
        <f>IF(SUM(J26:J31)=0,"NO",SUM(J26:J31))</f>
        <v>9.0786247520286967E-2</v>
      </c>
      <c r="K25" s="3085" t="str">
        <f>IF(SUM(K26:K31)=0,"NO",SUM(K26:K31))</f>
        <v>NO</v>
      </c>
    </row>
    <row r="26" spans="2:11" ht="18" customHeight="1" x14ac:dyDescent="0.2">
      <c r="B26" s="282" t="s">
        <v>132</v>
      </c>
      <c r="C26" s="691">
        <v>33175.762130972951</v>
      </c>
      <c r="D26" s="3078" t="s">
        <v>1814</v>
      </c>
      <c r="E26" s="1913">
        <f t="shared" ref="E26:E31" si="9">IFERROR(H26*1000/$C26,"NA")</f>
        <v>68.81058478764993</v>
      </c>
      <c r="F26" s="1913">
        <f t="shared" ref="F26:G31" si="10">IFERROR(I26*1000000/$C26,"NA")</f>
        <v>1.823753743375365</v>
      </c>
      <c r="G26" s="1913">
        <f t="shared" si="10"/>
        <v>1.2943969855452313</v>
      </c>
      <c r="H26" s="691">
        <v>2282.8435930082201</v>
      </c>
      <c r="I26" s="691">
        <v>6.0504420375692591E-2</v>
      </c>
      <c r="J26" s="691">
        <v>4.2942606495497027E-2</v>
      </c>
      <c r="K26" s="2911" t="s">
        <v>2146</v>
      </c>
    </row>
    <row r="27" spans="2:11" ht="18" customHeight="1" x14ac:dyDescent="0.2">
      <c r="B27" s="282" t="s">
        <v>133</v>
      </c>
      <c r="C27" s="691">
        <v>1339.7324492033395</v>
      </c>
      <c r="D27" s="3078" t="s">
        <v>1814</v>
      </c>
      <c r="E27" s="1913">
        <f t="shared" si="9"/>
        <v>92.872252383897987</v>
      </c>
      <c r="F27" s="1913">
        <f t="shared" si="10"/>
        <v>0.95238095238095255</v>
      </c>
      <c r="G27" s="1913">
        <f t="shared" si="10"/>
        <v>0.66666666666666674</v>
      </c>
      <c r="H27" s="691">
        <v>124.42397014931034</v>
      </c>
      <c r="I27" s="691">
        <v>1.2759356659079427E-3</v>
      </c>
      <c r="J27" s="691">
        <v>8.9315496613555975E-4</v>
      </c>
      <c r="K27" s="2911" t="s">
        <v>2146</v>
      </c>
    </row>
    <row r="28" spans="2:11" ht="18" customHeight="1" x14ac:dyDescent="0.2">
      <c r="B28" s="282" t="s">
        <v>134</v>
      </c>
      <c r="C28" s="691">
        <v>49511.385628336095</v>
      </c>
      <c r="D28" s="3078" t="s">
        <v>1814</v>
      </c>
      <c r="E28" s="1913">
        <f t="shared" si="9"/>
        <v>51.434114325212278</v>
      </c>
      <c r="F28" s="1913">
        <f t="shared" si="10"/>
        <v>0.90909090909090917</v>
      </c>
      <c r="G28" s="1913">
        <f t="shared" si="10"/>
        <v>0.90909090909090917</v>
      </c>
      <c r="H28" s="691">
        <v>2546.5742688075106</v>
      </c>
      <c r="I28" s="691">
        <v>4.5010350571214636E-2</v>
      </c>
      <c r="J28" s="691">
        <v>4.5010350571214636E-2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547.48306010061469</v>
      </c>
      <c r="D31" s="3078" t="s">
        <v>1814</v>
      </c>
      <c r="E31" s="1913">
        <f t="shared" si="9"/>
        <v>73.470197500124371</v>
      </c>
      <c r="F31" s="1913">
        <f t="shared" si="10"/>
        <v>5.3220748325230076</v>
      </c>
      <c r="G31" s="1913">
        <f t="shared" si="10"/>
        <v>3.5437361058864196</v>
      </c>
      <c r="H31" s="691">
        <v>40.223688553564621</v>
      </c>
      <c r="I31" s="691">
        <v>2.9137458153941625E-3</v>
      </c>
      <c r="J31" s="691">
        <v>1.9401354874397331E-3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219927.62873468731</v>
      </c>
      <c r="D38" s="3078" t="s">
        <v>1814</v>
      </c>
      <c r="E38" s="628"/>
      <c r="F38" s="628"/>
      <c r="G38" s="628"/>
      <c r="H38" s="1913">
        <f>IF(SUM(H39:H43)=0,"NO",SUM(H39:H43))</f>
        <v>8667.1531637098051</v>
      </c>
      <c r="I38" s="1913">
        <f>IF(SUM(I39:I44)=0,"NO",SUM(I39:I44))</f>
        <v>40.503549329100203</v>
      </c>
      <c r="J38" s="1913">
        <f>IF(SUM(J39:J44)=0,"NO",SUM(J39:J44))</f>
        <v>0.24615568345259839</v>
      </c>
      <c r="K38" s="3085" t="str">
        <f>IF(SUM(K39:K44)=0,"NO",SUM(K39:K44))</f>
        <v>NO</v>
      </c>
    </row>
    <row r="39" spans="2:11" ht="18" customHeight="1" x14ac:dyDescent="0.2">
      <c r="B39" s="282" t="s">
        <v>132</v>
      </c>
      <c r="C39" s="3109">
        <f>IF(SUM(C47,C54)=0,"NO",SUM(C47,C54))</f>
        <v>19978.765866036716</v>
      </c>
      <c r="D39" s="3078" t="s">
        <v>1814</v>
      </c>
      <c r="E39" s="1913">
        <f t="shared" ref="E39:E44" si="13">IFERROR(H39*1000/$C39,"NA")</f>
        <v>62.267296821123132</v>
      </c>
      <c r="F39" s="1913">
        <f t="shared" ref="F39:G44" si="14">IFERROR(I39*1000000/$C39,"NA")</f>
        <v>37.354081232539869</v>
      </c>
      <c r="G39" s="1913">
        <f t="shared" si="14"/>
        <v>0.57666172197349119</v>
      </c>
      <c r="H39" s="1913">
        <f>IF(SUM(H47,H54)=0,"NO",SUM(H47,H54))</f>
        <v>1244.0237443002313</v>
      </c>
      <c r="I39" s="1913">
        <f>IF(SUM(I47,I54)=0,"NO",SUM(I47,I54))</f>
        <v>0.7462884430858302</v>
      </c>
      <c r="J39" s="1913">
        <f>IF(SUM(J47,J54)=0,"NO",SUM(J47,J54))</f>
        <v>1.152098952721394E-2</v>
      </c>
      <c r="K39" s="3085" t="str">
        <f>IF(SUM(K47,K54)=0,"NO",SUM(K47,K54))</f>
        <v>NO</v>
      </c>
    </row>
    <row r="40" spans="2:11" ht="18" customHeight="1" x14ac:dyDescent="0.2">
      <c r="B40" s="282" t="s">
        <v>133</v>
      </c>
      <c r="C40" s="3109">
        <f t="shared" ref="C40:C42" si="15">IF(SUM(C48,C55)=0,"NO",SUM(C48,C55))</f>
        <v>33.494881643339077</v>
      </c>
      <c r="D40" s="3078" t="s">
        <v>1814</v>
      </c>
      <c r="E40" s="1913">
        <f t="shared" si="13"/>
        <v>95</v>
      </c>
      <c r="F40" s="1913">
        <f t="shared" si="14"/>
        <v>0.95238095238095255</v>
      </c>
      <c r="G40" s="1913">
        <f t="shared" si="14"/>
        <v>0.66666666666666674</v>
      </c>
      <c r="H40" s="1913">
        <f t="shared" ref="H40:K42" si="16">IF(SUM(H48,H55)=0,"NO",SUM(H48,H55))</f>
        <v>3.1820137561172124</v>
      </c>
      <c r="I40" s="1913">
        <f t="shared" si="16"/>
        <v>3.1899887279370555E-5</v>
      </c>
      <c r="J40" s="1913">
        <f t="shared" si="16"/>
        <v>2.2329921095559389E-5</v>
      </c>
      <c r="K40" s="3085" t="str">
        <f t="shared" si="16"/>
        <v>NO</v>
      </c>
    </row>
    <row r="41" spans="2:11" ht="18" customHeight="1" x14ac:dyDescent="0.2">
      <c r="B41" s="282" t="s">
        <v>134</v>
      </c>
      <c r="C41" s="3109">
        <f t="shared" si="15"/>
        <v>144292.54665008307</v>
      </c>
      <c r="D41" s="3078" t="s">
        <v>1814</v>
      </c>
      <c r="E41" s="1913">
        <f t="shared" si="13"/>
        <v>51.422943027315299</v>
      </c>
      <c r="F41" s="1913">
        <f t="shared" si="14"/>
        <v>0.90909090909090895</v>
      </c>
      <c r="G41" s="1913">
        <f t="shared" si="14"/>
        <v>0.90909090909090895</v>
      </c>
      <c r="H41" s="1913">
        <f t="shared" si="16"/>
        <v>7419.9474056534564</v>
      </c>
      <c r="I41" s="1913">
        <f t="shared" si="16"/>
        <v>0.13117504240916641</v>
      </c>
      <c r="J41" s="1913">
        <f t="shared" si="16"/>
        <v>0.13117504240916641</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55622.821336924178</v>
      </c>
      <c r="D44" s="3078" t="s">
        <v>1814</v>
      </c>
      <c r="E44" s="1913">
        <f t="shared" si="13"/>
        <v>77.525589930238638</v>
      </c>
      <c r="F44" s="1913">
        <f t="shared" si="14"/>
        <v>712.40640066944798</v>
      </c>
      <c r="G44" s="1913">
        <f t="shared" si="14"/>
        <v>1.859620190219613</v>
      </c>
      <c r="H44" s="1913">
        <f>IF(SUM(H52,H58)=0,"NO",SUM(H52,H58))</f>
        <v>4312.1920377293118</v>
      </c>
      <c r="I44" s="1913">
        <f>IF(SUM(I52,I58)=0,"NO",SUM(I52,I58))</f>
        <v>39.626053943717928</v>
      </c>
      <c r="J44" s="1913">
        <f>IF(SUM(J52,J58)=0,"NO",SUM(J52,J58))</f>
        <v>0.10343732159512248</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215761.02562914632</v>
      </c>
      <c r="D46" s="3078" t="s">
        <v>1814</v>
      </c>
      <c r="E46" s="628"/>
      <c r="F46" s="628"/>
      <c r="G46" s="628"/>
      <c r="H46" s="1913">
        <f>IF(SUM(H47:H51)=0,"NO",SUM(H47:H51))</f>
        <v>8388.6204575720531</v>
      </c>
      <c r="I46" s="1913">
        <f>IF(SUM(I47:I52)=0,"NO",SUM(I47:I52))</f>
        <v>39.758952597870312</v>
      </c>
      <c r="J46" s="1913">
        <f>IF(SUM(J47:J52)=0,"NO",SUM(J47:J52))</f>
        <v>0.24449700278920175</v>
      </c>
      <c r="K46" s="3085" t="str">
        <f>IF(SUM(K47:K52)=0,"NO",SUM(K47:K52))</f>
        <v>NO</v>
      </c>
    </row>
    <row r="47" spans="2:11" ht="18" customHeight="1" x14ac:dyDescent="0.2">
      <c r="B47" s="282" t="s">
        <v>132</v>
      </c>
      <c r="C47" s="691">
        <v>15852.375367131317</v>
      </c>
      <c r="D47" s="3078" t="s">
        <v>1814</v>
      </c>
      <c r="E47" s="1913">
        <f t="shared" ref="E47:E52" si="17">IFERROR(H47*1000/$C47,"NA")</f>
        <v>60.905133508530881</v>
      </c>
      <c r="F47" s="1913">
        <f t="shared" ref="F47:G52" si="18">IFERROR(I47*1000000/$C47,"NA")</f>
        <v>1.0199260281382081</v>
      </c>
      <c r="G47" s="1913">
        <f t="shared" si="18"/>
        <v>0.62441747564930283</v>
      </c>
      <c r="H47" s="691">
        <v>965.49103816247907</v>
      </c>
      <c r="I47" s="691">
        <v>1.6168250244754212E-2</v>
      </c>
      <c r="J47" s="691">
        <v>9.8985002097893258E-3</v>
      </c>
      <c r="K47" s="2911" t="s">
        <v>2146</v>
      </c>
    </row>
    <row r="48" spans="2:11" ht="18" customHeight="1" x14ac:dyDescent="0.2">
      <c r="B48" s="282" t="s">
        <v>133</v>
      </c>
      <c r="C48" s="691">
        <v>33.494881643339077</v>
      </c>
      <c r="D48" s="3078" t="s">
        <v>1814</v>
      </c>
      <c r="E48" s="1913">
        <f t="shared" si="17"/>
        <v>95</v>
      </c>
      <c r="F48" s="1913">
        <f t="shared" si="18"/>
        <v>0.95238095238095255</v>
      </c>
      <c r="G48" s="1913">
        <f t="shared" si="18"/>
        <v>0.66666666666666674</v>
      </c>
      <c r="H48" s="691">
        <v>3.1820137561172124</v>
      </c>
      <c r="I48" s="691">
        <v>3.1899887279370555E-5</v>
      </c>
      <c r="J48" s="691">
        <v>2.2329921095559389E-5</v>
      </c>
      <c r="K48" s="2911" t="s">
        <v>2146</v>
      </c>
    </row>
    <row r="49" spans="2:11" ht="18" customHeight="1" x14ac:dyDescent="0.2">
      <c r="B49" s="282" t="s">
        <v>134</v>
      </c>
      <c r="C49" s="691">
        <v>144292.54665008307</v>
      </c>
      <c r="D49" s="3078" t="s">
        <v>1814</v>
      </c>
      <c r="E49" s="1913">
        <f t="shared" si="17"/>
        <v>51.422943027315299</v>
      </c>
      <c r="F49" s="1913">
        <f t="shared" si="18"/>
        <v>0.90909090909090895</v>
      </c>
      <c r="G49" s="1913">
        <f t="shared" si="18"/>
        <v>0.90909090909090895</v>
      </c>
      <c r="H49" s="691">
        <v>7419.9474056534564</v>
      </c>
      <c r="I49" s="691">
        <v>0.13117504240916641</v>
      </c>
      <c r="J49" s="691">
        <v>0.13117504240916641</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55582.608730288594</v>
      </c>
      <c r="D52" s="3078" t="s">
        <v>1814</v>
      </c>
      <c r="E52" s="1913">
        <f t="shared" si="17"/>
        <v>77.533016823995098</v>
      </c>
      <c r="F52" s="1913">
        <f t="shared" si="18"/>
        <v>712.66135775566079</v>
      </c>
      <c r="G52" s="1913">
        <f t="shared" si="18"/>
        <v>1.8603144510704506</v>
      </c>
      <c r="H52" s="691">
        <v>4309.4873378070024</v>
      </c>
      <c r="I52" s="691">
        <v>39.611577405329115</v>
      </c>
      <c r="J52" s="691">
        <v>0.10340113024915046</v>
      </c>
      <c r="K52" s="2911" t="s">
        <v>2146</v>
      </c>
    </row>
    <row r="53" spans="2:11" ht="18" customHeight="1" x14ac:dyDescent="0.2">
      <c r="B53" s="1242" t="s">
        <v>205</v>
      </c>
      <c r="C53" s="3078">
        <f>IF(SUM(C54:C58)=0,"NO",SUM(C54:C58))</f>
        <v>4166.6031055409803</v>
      </c>
      <c r="D53" s="3078" t="s">
        <v>1814</v>
      </c>
      <c r="E53" s="628"/>
      <c r="F53" s="628"/>
      <c r="G53" s="628"/>
      <c r="H53" s="3078">
        <f>IF(SUM(H54:H57)=0,"NO",SUM(H54:H57))</f>
        <v>278.53270613775226</v>
      </c>
      <c r="I53" s="3078">
        <f>IF(SUM(I54:I58)=0,"NO",SUM(I54:I58))</f>
        <v>0.7445967312298859</v>
      </c>
      <c r="J53" s="3078">
        <f>IF(SUM(J54:J58)=0,"NO",SUM(J54:J58))</f>
        <v>1.658680663396638E-3</v>
      </c>
      <c r="K53" s="2921"/>
    </row>
    <row r="54" spans="2:11" ht="18" customHeight="1" x14ac:dyDescent="0.2">
      <c r="B54" s="282" t="s">
        <v>132</v>
      </c>
      <c r="C54" s="691">
        <v>4126.3904989053972</v>
      </c>
      <c r="D54" s="3078" t="s">
        <v>1814</v>
      </c>
      <c r="E54" s="1913">
        <f t="shared" ref="E54:E58" si="19">IFERROR(H54*1000/$C54,"NA")</f>
        <v>67.50032654729074</v>
      </c>
      <c r="F54" s="1913">
        <f t="shared" ref="F54:G58" si="20">IFERROR(I54*1000000/$C54,"NA")</f>
        <v>176.93919008265314</v>
      </c>
      <c r="G54" s="1913">
        <f t="shared" si="20"/>
        <v>0.39319820018367363</v>
      </c>
      <c r="H54" s="691">
        <v>278.53270613775226</v>
      </c>
      <c r="I54" s="691">
        <v>0.73012019284107599</v>
      </c>
      <c r="J54" s="691">
        <v>1.6224893174246132E-3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40.212606635583199</v>
      </c>
      <c r="D58" s="3078" t="s">
        <v>1814</v>
      </c>
      <c r="E58" s="1913">
        <f t="shared" si="19"/>
        <v>67.259999999999991</v>
      </c>
      <c r="F58" s="1913">
        <f t="shared" si="20"/>
        <v>359.99999999999994</v>
      </c>
      <c r="G58" s="1913">
        <f t="shared" si="20"/>
        <v>0.8999999999999998</v>
      </c>
      <c r="H58" s="691">
        <v>2.7046999223093255</v>
      </c>
      <c r="I58" s="691">
        <v>1.447653838880995E-2</v>
      </c>
      <c r="J58" s="691">
        <v>3.6191345972024873E-5</v>
      </c>
      <c r="K58" s="2921"/>
    </row>
    <row r="59" spans="2:11" ht="18" customHeight="1" x14ac:dyDescent="0.2">
      <c r="B59" s="1245" t="s">
        <v>206</v>
      </c>
      <c r="C59" s="3078">
        <f>IF(SUM(C60:C65)=0,"NO",SUM(C60:C65))</f>
        <v>87702.6</v>
      </c>
      <c r="D59" s="3078" t="s">
        <v>1814</v>
      </c>
      <c r="E59" s="628"/>
      <c r="F59" s="628"/>
      <c r="G59" s="628"/>
      <c r="H59" s="1913">
        <f>IF(SUM(H60:H64)=0,"NO",SUM(H60:H64))</f>
        <v>6097.5424723802289</v>
      </c>
      <c r="I59" s="1913">
        <f>IF(SUM(I60:I65)=0,"NO",SUM(I60:I65))</f>
        <v>0.54890741212121208</v>
      </c>
      <c r="J59" s="1913">
        <f>IF(SUM(J60:J65)=0,"NO",SUM(J60:J65))</f>
        <v>0.31607125974025968</v>
      </c>
      <c r="K59" s="3085" t="str">
        <f>IF(SUM(K60:K65)=0,"NO",SUM(K60:K65))</f>
        <v>NO</v>
      </c>
    </row>
    <row r="60" spans="2:11" ht="18" customHeight="1" x14ac:dyDescent="0.2">
      <c r="B60" s="282" t="s">
        <v>132</v>
      </c>
      <c r="C60" s="1913">
        <f>IF(SUM(C67,C74:C77,C84:C87)=0,"NO",SUM(C67,C74:C77,C84:C87))</f>
        <v>87579.900000000009</v>
      </c>
      <c r="D60" s="3078" t="s">
        <v>1814</v>
      </c>
      <c r="E60" s="1913">
        <f t="shared" ref="E60:E65" si="21">IFERROR(H60*1000/$C60,"NA")</f>
        <v>69.55059585589845</v>
      </c>
      <c r="F60" s="1913">
        <f t="shared" ref="F60:G65" si="22">IFERROR(I60*1000000/$C60,"NA")</f>
        <v>6.2662307980103487</v>
      </c>
      <c r="G60" s="1913">
        <f t="shared" si="22"/>
        <v>3.6076738416658873</v>
      </c>
      <c r="H60" s="1913">
        <f>IF(SUM(H67,H74:H77,H84:H87)=0,"NO",SUM(H67,H74:H77,H84:H87))</f>
        <v>6091.2342300000009</v>
      </c>
      <c r="I60" s="1913">
        <f>IF(SUM(I67,I74:I77,I84:I87)=0,"NO",SUM(I67,I74:I77,I84:I87))</f>
        <v>0.54879586666666658</v>
      </c>
      <c r="J60" s="1913">
        <f>IF(SUM(J67,J74:J77,J84:J87)=0,"NO",SUM(J67,J74:J77,J84:J87))</f>
        <v>0.31595971428571423</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122.7</v>
      </c>
      <c r="D62" s="3078" t="s">
        <v>1814</v>
      </c>
      <c r="E62" s="1913">
        <f t="shared" si="21"/>
        <v>51.411918339265007</v>
      </c>
      <c r="F62" s="1913">
        <f t="shared" si="22"/>
        <v>0.90909090909090906</v>
      </c>
      <c r="G62" s="1913">
        <f t="shared" si="22"/>
        <v>0.90909090909090906</v>
      </c>
      <c r="H62" s="1913">
        <f>IF(SUM(H69,H79,H89)=0,"NO",SUM(H69,H79,H89))</f>
        <v>6.3082423802278162</v>
      </c>
      <c r="I62" s="1913">
        <f>IF(SUM(I69,I79,I89)=0,"NO",SUM(I69,I79,I89))</f>
        <v>1.1154545454545454E-4</v>
      </c>
      <c r="J62" s="1913">
        <f>IF(SUM(J69,J79,J89)=0,"NO",SUM(J69,J79,J89))</f>
        <v>1.1154545454545454E-4</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87702.6</v>
      </c>
      <c r="D66" s="3078" t="s">
        <v>1814</v>
      </c>
      <c r="E66" s="2108"/>
      <c r="F66" s="2108"/>
      <c r="G66" s="2108"/>
      <c r="H66" s="1913">
        <f>IF(SUM(H67:H71)=0,"NO",SUM(H67:H71))</f>
        <v>6097.5424723802289</v>
      </c>
      <c r="I66" s="1913">
        <f>IF(SUM(I67:I72)=0,"NO",SUM(I67:I72))</f>
        <v>0.54890741212121208</v>
      </c>
      <c r="J66" s="1913">
        <f>IF(SUM(J67:J72)=0,"NO",SUM(J67:J72))</f>
        <v>0.31607125974025968</v>
      </c>
      <c r="K66" s="3085" t="str">
        <f>IF(SUM(K67:K72)=0,"NO",SUM(K67:K72))</f>
        <v>NO</v>
      </c>
    </row>
    <row r="67" spans="2:11" ht="18" customHeight="1" x14ac:dyDescent="0.2">
      <c r="B67" s="282" t="s">
        <v>132</v>
      </c>
      <c r="C67" s="691">
        <v>87579.900000000009</v>
      </c>
      <c r="D67" s="3078" t="s">
        <v>1814</v>
      </c>
      <c r="E67" s="1913">
        <f t="shared" ref="E67:E72" si="23">IFERROR(H67*1000/$C67,"NA")</f>
        <v>69.55059585589845</v>
      </c>
      <c r="F67" s="1913">
        <f t="shared" ref="F67:G72" si="24">IFERROR(I67*1000000/$C67,"NA")</f>
        <v>6.2662307980103487</v>
      </c>
      <c r="G67" s="1913">
        <f t="shared" si="24"/>
        <v>3.6076738416658873</v>
      </c>
      <c r="H67" s="691">
        <v>6091.2342300000009</v>
      </c>
      <c r="I67" s="691">
        <v>0.54879586666666658</v>
      </c>
      <c r="J67" s="691">
        <v>0.31595971428571423</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122.7</v>
      </c>
      <c r="D69" s="3078" t="s">
        <v>1814</v>
      </c>
      <c r="E69" s="1913">
        <f t="shared" si="23"/>
        <v>51.411918339265007</v>
      </c>
      <c r="F69" s="1913">
        <f t="shared" si="24"/>
        <v>0.90909090909090906</v>
      </c>
      <c r="G69" s="1913">
        <f t="shared" si="24"/>
        <v>0.90909090909090906</v>
      </c>
      <c r="H69" s="691">
        <v>6.3082423802278162</v>
      </c>
      <c r="I69" s="691">
        <v>1.1154545454545454E-4</v>
      </c>
      <c r="J69" s="691">
        <v>1.1154545454545454E-4</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12653.571992548843</v>
      </c>
      <c r="D93" s="3078" t="s">
        <v>1814</v>
      </c>
      <c r="E93" s="2134"/>
      <c r="F93" s="2134"/>
      <c r="G93" s="2134"/>
      <c r="H93" s="3109">
        <f>IF(SUM(H94:H98)=0,"NO",SUM(H94:H98))</f>
        <v>881.17643547805289</v>
      </c>
      <c r="I93" s="3109">
        <f>IF(SUM(I94:I99)=0,"NO",SUM(I94:I99))</f>
        <v>3.1060916252709372E-2</v>
      </c>
      <c r="J93" s="3113">
        <f>IF(SUM(J94:J99)=0,"NO",SUM(J94:J99))</f>
        <v>2.4749547402879473E-2</v>
      </c>
      <c r="K93" s="449" t="str">
        <f>IF(SUM(K94:K99)=0,"NO",SUM(K94:K99))</f>
        <v>NO</v>
      </c>
    </row>
    <row r="94" spans="2:11" ht="18" customHeight="1" x14ac:dyDescent="0.2">
      <c r="B94" s="282" t="s">
        <v>132</v>
      </c>
      <c r="C94" s="691">
        <f>IF(SUM(C102,C110)=0,"NO",SUM(C102,C110))</f>
        <v>12652.13431866632</v>
      </c>
      <c r="D94" s="1913" t="s">
        <v>1814</v>
      </c>
      <c r="E94" s="1913">
        <f t="shared" ref="E94:E99" si="32">IFERROR(H94*1000/$C94,"NA")</f>
        <v>69.646465432951473</v>
      </c>
      <c r="F94" s="1913">
        <f t="shared" ref="F94:G99" si="33">IFERROR(I94*1000000/$C94,"NA")</f>
        <v>2.3648848573891916</v>
      </c>
      <c r="G94" s="1913">
        <f t="shared" si="33"/>
        <v>1.9558150236141607</v>
      </c>
      <c r="H94" s="691">
        <f t="shared" ref="H94:K97" si="34">IF(SUM(H102,H110)=0,"NO",SUM(H102,H110))</f>
        <v>881.17643547805289</v>
      </c>
      <c r="I94" s="691">
        <f t="shared" si="34"/>
        <v>2.9920840863868099E-2</v>
      </c>
      <c r="J94" s="691">
        <f t="shared" si="34"/>
        <v>2.4745234381231902E-2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1.4376738825236701</v>
      </c>
      <c r="D99" s="1913" t="s">
        <v>1814</v>
      </c>
      <c r="E99" s="1913">
        <f t="shared" si="32"/>
        <v>67.260000000000048</v>
      </c>
      <c r="F99" s="1913">
        <f t="shared" si="33"/>
        <v>793.00000000000091</v>
      </c>
      <c r="G99" s="1913">
        <f t="shared" si="33"/>
        <v>3.0000000000000018</v>
      </c>
      <c r="H99" s="691">
        <f>IF(SUM(H107,H114)=0,"NO",SUM(H107,H114))</f>
        <v>9.6697945338542132E-2</v>
      </c>
      <c r="I99" s="691">
        <f>IF(SUM(I107,I114)=0,"NO",SUM(I107,I114))</f>
        <v>1.1400753888412716E-3</v>
      </c>
      <c r="J99" s="691">
        <f>IF(SUM(J107,J114)=0,"NO",SUM(J107,J114))</f>
        <v>4.3130216475710132E-6</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12653.571992548843</v>
      </c>
      <c r="D108" s="1913" t="s">
        <v>1814</v>
      </c>
      <c r="E108" s="1931"/>
      <c r="F108" s="1931"/>
      <c r="G108" s="1931"/>
      <c r="H108" s="3078">
        <f>H109</f>
        <v>881.17643547805289</v>
      </c>
      <c r="I108" s="3078">
        <f>I109</f>
        <v>3.1060916252709372E-2</v>
      </c>
      <c r="J108" s="3110">
        <f>J109</f>
        <v>2.4749547402879473E-2</v>
      </c>
      <c r="K108" s="2921"/>
    </row>
    <row r="109" spans="2:11" ht="18" customHeight="1" x14ac:dyDescent="0.2">
      <c r="B109" s="3125" t="s">
        <v>2149</v>
      </c>
      <c r="C109" s="3099">
        <f>IF(SUM(C110:C114)=0,"NO",SUM(C110:C114))</f>
        <v>12653.571992548843</v>
      </c>
      <c r="D109" s="1913" t="s">
        <v>1814</v>
      </c>
      <c r="E109" s="628"/>
      <c r="F109" s="628"/>
      <c r="G109" s="628"/>
      <c r="H109" s="3099">
        <f>IF(SUM(H110:H113)=0,"NO",SUM(H110:H113))</f>
        <v>881.17643547805289</v>
      </c>
      <c r="I109" s="3099">
        <f>IF(SUM(I110:I114)=0,"NO",SUM(I110:I114))</f>
        <v>3.1060916252709372E-2</v>
      </c>
      <c r="J109" s="3099">
        <f>IF(SUM(J110:J114)=0,"NO",SUM(J110:J114))</f>
        <v>2.4749547402879473E-2</v>
      </c>
      <c r="K109" s="2921"/>
    </row>
    <row r="110" spans="2:11" ht="18" customHeight="1" x14ac:dyDescent="0.2">
      <c r="B110" s="282" t="s">
        <v>132</v>
      </c>
      <c r="C110" s="691">
        <v>12652.13431866632</v>
      </c>
      <c r="D110" s="1913" t="s">
        <v>1814</v>
      </c>
      <c r="E110" s="1913">
        <f t="shared" ref="E110:E114" si="37">IFERROR(H110*1000/$C110,"NA")</f>
        <v>69.646465432951473</v>
      </c>
      <c r="F110" s="1913">
        <f t="shared" ref="F110:G114" si="38">IFERROR(I110*1000000/$C110,"NA")</f>
        <v>2.3648848573891916</v>
      </c>
      <c r="G110" s="1913">
        <f t="shared" si="38"/>
        <v>1.9558150236141607</v>
      </c>
      <c r="H110" s="691">
        <v>881.17643547805289</v>
      </c>
      <c r="I110" s="691">
        <v>2.9920840863868099E-2</v>
      </c>
      <c r="J110" s="691">
        <v>2.4745234381231902E-2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1.4376738825236701</v>
      </c>
      <c r="D114" s="2880" t="s">
        <v>1814</v>
      </c>
      <c r="E114" s="2880">
        <f t="shared" si="37"/>
        <v>67.260000000000048</v>
      </c>
      <c r="F114" s="2880">
        <f t="shared" si="38"/>
        <v>793.00000000000091</v>
      </c>
      <c r="G114" s="2880">
        <f t="shared" si="38"/>
        <v>3.0000000000000018</v>
      </c>
      <c r="H114" s="1559">
        <v>9.6697945338542132E-2</v>
      </c>
      <c r="I114" s="1559">
        <v>1.1400753888412716E-3</v>
      </c>
      <c r="J114" s="1559">
        <v>4.3130216475710132E-6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946567.89732799993</v>
      </c>
      <c r="G11" s="3361">
        <v>1055903.9193000002</v>
      </c>
      <c r="H11" s="3361">
        <v>668377.69651488995</v>
      </c>
      <c r="I11" s="3381"/>
      <c r="J11" s="3361">
        <v>10421.265000000009</v>
      </c>
      <c r="K11" s="3369">
        <f t="shared" ref="K11:K28" si="0">IF((SUM(F11:G11)-SUM(H11:J11))=0,"NO",(SUM(F11:G11)-SUM(H11:J11)))</f>
        <v>1323672.8551131103</v>
      </c>
      <c r="L11" s="2577">
        <f>IF(K11="NO","NA",1)</f>
        <v>1</v>
      </c>
      <c r="M11" s="5" t="s">
        <v>1814</v>
      </c>
      <c r="N11" s="3369">
        <f>K11</f>
        <v>1323672.8551131103</v>
      </c>
      <c r="O11" s="3342">
        <v>18.980716253443529</v>
      </c>
      <c r="P11" s="3369">
        <f>IFERROR(N11*O11/1000,"NA")</f>
        <v>25124.258875287414</v>
      </c>
      <c r="Q11" s="3369" t="str">
        <f>'Table1.A(d)'!G11</f>
        <v>NA</v>
      </c>
      <c r="R11" s="3369">
        <f>IF(SUM(P11,-SUM(Q11))=0,"NO",SUM(P11,-SUM(Q11)))</f>
        <v>25124.258875287414</v>
      </c>
      <c r="S11" s="2577">
        <f>IF(R11="NO","NA",1)</f>
        <v>1</v>
      </c>
      <c r="T11" s="3375">
        <f>IF(R11="NO","NO",R11*S11*44/12)</f>
        <v>92122.28254272051</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132298.73449999999</v>
      </c>
      <c r="G13" s="3361" t="s">
        <v>2146</v>
      </c>
      <c r="H13" s="3361" t="s">
        <v>2146</v>
      </c>
      <c r="I13" s="3381"/>
      <c r="J13" s="3361" t="s">
        <v>2146</v>
      </c>
      <c r="K13" s="3369">
        <f t="shared" si="0"/>
        <v>132298.73449999999</v>
      </c>
      <c r="L13" s="2577">
        <f t="shared" si="1"/>
        <v>1</v>
      </c>
      <c r="M13" s="5" t="s">
        <v>1814</v>
      </c>
      <c r="N13" s="3369">
        <f t="shared" si="2"/>
        <v>132298.73449999999</v>
      </c>
      <c r="O13" s="3342">
        <v>16.230910907094952</v>
      </c>
      <c r="P13" s="3369">
        <f t="shared" si="3"/>
        <v>2147.3289727909091</v>
      </c>
      <c r="Q13" s="3369" t="str">
        <f>'Table1.A(d)'!G13</f>
        <v>NA</v>
      </c>
      <c r="R13" s="3369">
        <f>IF(SUM(P13,-SUM(Q13))=0,"NO",SUM(P13,-SUM(Q13)))</f>
        <v>2147.3289727909091</v>
      </c>
      <c r="S13" s="2577">
        <f t="shared" si="4"/>
        <v>1</v>
      </c>
      <c r="T13" s="3375">
        <f t="shared" si="5"/>
        <v>7873.5395669</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132842.92319999999</v>
      </c>
      <c r="H15" s="3361">
        <v>8665.2484999999997</v>
      </c>
      <c r="I15" s="3361" t="s">
        <v>2146</v>
      </c>
      <c r="J15" s="3361">
        <v>-56.852000000000587</v>
      </c>
      <c r="K15" s="3369">
        <f t="shared" si="0"/>
        <v>124234.52669999999</v>
      </c>
      <c r="L15" s="2577">
        <f>IF(K15="NO","NA",1)</f>
        <v>1</v>
      </c>
      <c r="M15" s="5" t="s">
        <v>1814</v>
      </c>
      <c r="N15" s="3369">
        <f t="shared" si="2"/>
        <v>124234.52669999999</v>
      </c>
      <c r="O15" s="3342">
        <v>18.38273758938282</v>
      </c>
      <c r="P15" s="3369">
        <f t="shared" si="3"/>
        <v>2283.7707038672734</v>
      </c>
      <c r="Q15" s="3369" t="str">
        <f>'Table1.A(d)'!G15</f>
        <v>NA</v>
      </c>
      <c r="R15" s="3369">
        <f>IF(SUM(P15,-SUM(Q15))=0,"NO",SUM(P15,-SUM(Q15)))</f>
        <v>2283.7707038672734</v>
      </c>
      <c r="S15" s="2577">
        <f>IF(R15="NO","NA",1)</f>
        <v>1</v>
      </c>
      <c r="T15" s="3375">
        <f>IF(R15="NO","NO",R15*S15*44/12)</f>
        <v>8373.8259141800027</v>
      </c>
    </row>
    <row r="16" spans="2:20" ht="18" customHeight="1" x14ac:dyDescent="0.2">
      <c r="B16" s="1727"/>
      <c r="C16" s="1567"/>
      <c r="D16" s="36" t="s">
        <v>178</v>
      </c>
      <c r="E16" s="2575" t="s">
        <v>2150</v>
      </c>
      <c r="F16" s="3382"/>
      <c r="G16" s="3361">
        <v>79798.039999999994</v>
      </c>
      <c r="H16" s="3361">
        <v>2644.5215999999996</v>
      </c>
      <c r="I16" s="3361">
        <v>148672.66239999997</v>
      </c>
      <c r="J16" s="3361">
        <v>-2526.4799999999996</v>
      </c>
      <c r="K16" s="3369">
        <f t="shared" si="0"/>
        <v>-68992.663999999975</v>
      </c>
      <c r="L16" s="2577">
        <f t="shared" ref="L16:L28" si="6">IF(K16="NO","NA",1)</f>
        <v>1</v>
      </c>
      <c r="M16" s="5" t="s">
        <v>1814</v>
      </c>
      <c r="N16" s="3369">
        <f t="shared" si="2"/>
        <v>-68992.663999999975</v>
      </c>
      <c r="O16" s="3342">
        <v>18.981818181818181</v>
      </c>
      <c r="P16" s="3369">
        <f t="shared" si="3"/>
        <v>-1309.6062039272722</v>
      </c>
      <c r="Q16" s="3369" t="str">
        <f>'Table1.A(d)'!G16</f>
        <v>NA</v>
      </c>
      <c r="R16" s="3369">
        <f t="shared" ref="R16:R44" si="7">IF(SUM(P16,-SUM(Q16))=0,"NO",SUM(P16,-SUM(Q16)))</f>
        <v>-1309.6062039272722</v>
      </c>
      <c r="S16" s="2577">
        <f t="shared" ref="S16:S28" si="8">IF(R16="NO","NA",1)</f>
        <v>1</v>
      </c>
      <c r="T16" s="3375">
        <f t="shared" ref="T16:T28" si="9">IF(R16="NO","NO",R16*S16*44/12)</f>
        <v>-4801.8894143999978</v>
      </c>
    </row>
    <row r="17" spans="2:20" ht="18" customHeight="1" x14ac:dyDescent="0.2">
      <c r="B17" s="1727"/>
      <c r="C17" s="1567"/>
      <c r="D17" s="36" t="s">
        <v>247</v>
      </c>
      <c r="E17" s="2575" t="s">
        <v>2150</v>
      </c>
      <c r="F17" s="3381"/>
      <c r="G17" s="3361" t="s">
        <v>2146</v>
      </c>
      <c r="H17" s="3361" t="s">
        <v>2146</v>
      </c>
      <c r="I17" s="3361" t="s">
        <v>2146</v>
      </c>
      <c r="J17" s="3361">
        <v>20.46</v>
      </c>
      <c r="K17" s="3369">
        <f t="shared" si="0"/>
        <v>-20.46</v>
      </c>
      <c r="L17" s="2577">
        <f t="shared" si="6"/>
        <v>1</v>
      </c>
      <c r="M17" s="5" t="s">
        <v>1814</v>
      </c>
      <c r="N17" s="3369">
        <f t="shared" si="2"/>
        <v>-20.46</v>
      </c>
      <c r="O17" s="3342">
        <v>18.790909090909089</v>
      </c>
      <c r="P17" s="3369">
        <f t="shared" si="3"/>
        <v>-0.38446199999999997</v>
      </c>
      <c r="Q17" s="3369" t="str">
        <f>'Table1.A(d)'!G17</f>
        <v>NA</v>
      </c>
      <c r="R17" s="3369">
        <f t="shared" si="7"/>
        <v>-0.38446199999999997</v>
      </c>
      <c r="S17" s="2577">
        <f t="shared" si="8"/>
        <v>1</v>
      </c>
      <c r="T17" s="3375">
        <f t="shared" si="9"/>
        <v>-1.409694</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334597.49940000003</v>
      </c>
      <c r="H19" s="3361">
        <v>7217.1963999999998</v>
      </c>
      <c r="I19" s="3361">
        <v>1430.0000000000002</v>
      </c>
      <c r="J19" s="3361">
        <v>-8557.7519999999986</v>
      </c>
      <c r="K19" s="3369">
        <f t="shared" si="0"/>
        <v>334508.05500000005</v>
      </c>
      <c r="L19" s="2577">
        <f t="shared" si="6"/>
        <v>1</v>
      </c>
      <c r="M19" s="5" t="s">
        <v>1814</v>
      </c>
      <c r="N19" s="3369">
        <f t="shared" si="2"/>
        <v>334508.05500000005</v>
      </c>
      <c r="O19" s="3342">
        <v>19.06363636363637</v>
      </c>
      <c r="P19" s="3369">
        <f t="shared" si="3"/>
        <v>6376.9399212272756</v>
      </c>
      <c r="Q19" s="3369" t="str">
        <f>'Table1.A(d)'!G19</f>
        <v>NA</v>
      </c>
      <c r="R19" s="3369">
        <f t="shared" si="7"/>
        <v>6376.9399212272756</v>
      </c>
      <c r="S19" s="2577">
        <f t="shared" si="8"/>
        <v>1</v>
      </c>
      <c r="T19" s="3375">
        <f t="shared" si="9"/>
        <v>23382.113044500013</v>
      </c>
    </row>
    <row r="20" spans="2:20" ht="18" customHeight="1" x14ac:dyDescent="0.2">
      <c r="B20" s="1727"/>
      <c r="C20" s="1567"/>
      <c r="D20" s="36" t="s">
        <v>190</v>
      </c>
      <c r="E20" s="2575" t="s">
        <v>2150</v>
      </c>
      <c r="F20" s="3381"/>
      <c r="G20" s="3361">
        <v>71357.216700000004</v>
      </c>
      <c r="H20" s="3361">
        <v>4309.8717000000006</v>
      </c>
      <c r="I20" s="3361">
        <v>27100</v>
      </c>
      <c r="J20" s="3361">
        <v>-3300.7799999999997</v>
      </c>
      <c r="K20" s="3369">
        <f t="shared" si="0"/>
        <v>43248.125</v>
      </c>
      <c r="L20" s="2577">
        <f t="shared" si="6"/>
        <v>1</v>
      </c>
      <c r="M20" s="5" t="s">
        <v>1814</v>
      </c>
      <c r="N20" s="3369">
        <f t="shared" si="2"/>
        <v>43248.125</v>
      </c>
      <c r="O20" s="3342">
        <v>20.072727272727271</v>
      </c>
      <c r="P20" s="3369">
        <f t="shared" si="3"/>
        <v>868.10781818181817</v>
      </c>
      <c r="Q20" s="3369" t="str">
        <f>'Table1.A(d)'!G20</f>
        <v>NA</v>
      </c>
      <c r="R20" s="3369">
        <f t="shared" si="7"/>
        <v>868.10781818181817</v>
      </c>
      <c r="S20" s="2577">
        <f t="shared" si="8"/>
        <v>1</v>
      </c>
      <c r="T20" s="3375">
        <f t="shared" si="9"/>
        <v>3183.0619999999999</v>
      </c>
    </row>
    <row r="21" spans="2:20" ht="18" customHeight="1" x14ac:dyDescent="0.2">
      <c r="B21" s="1727"/>
      <c r="C21" s="1567"/>
      <c r="D21" s="36" t="s">
        <v>169</v>
      </c>
      <c r="E21" s="2575" t="s">
        <v>2150</v>
      </c>
      <c r="F21" s="3381"/>
      <c r="G21" s="3361">
        <v>27417.582400000003</v>
      </c>
      <c r="H21" s="3361">
        <v>73011.398992300004</v>
      </c>
      <c r="I21" s="3381"/>
      <c r="J21" s="3361">
        <v>98.703999999999041</v>
      </c>
      <c r="K21" s="3369">
        <f t="shared" si="0"/>
        <v>-45692.520592300003</v>
      </c>
      <c r="L21" s="2577">
        <f t="shared" si="6"/>
        <v>1</v>
      </c>
      <c r="M21" s="5" t="s">
        <v>1814</v>
      </c>
      <c r="N21" s="3369">
        <f t="shared" si="2"/>
        <v>-45692.520592300003</v>
      </c>
      <c r="O21" s="3342">
        <v>16.418181818181822</v>
      </c>
      <c r="P21" s="3369">
        <f t="shared" si="3"/>
        <v>-750.18811081539843</v>
      </c>
      <c r="Q21" s="3369" t="str">
        <f>'Table1.A(d)'!G21</f>
        <v>NA</v>
      </c>
      <c r="R21" s="3369">
        <f t="shared" si="7"/>
        <v>-750.18811081539843</v>
      </c>
      <c r="S21" s="2577">
        <f t="shared" si="8"/>
        <v>1</v>
      </c>
      <c r="T21" s="3375">
        <f t="shared" si="9"/>
        <v>-2750.6897396564614</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356.68474068874968</v>
      </c>
      <c r="R22" s="3369">
        <f t="shared" si="7"/>
        <v>-356.68474068874968</v>
      </c>
      <c r="S22" s="2577">
        <f t="shared" si="8"/>
        <v>1</v>
      </c>
      <c r="T22" s="3375">
        <f t="shared" si="9"/>
        <v>-1307.8440491920821</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12631.895999999999</v>
      </c>
      <c r="H24" s="3361" t="s">
        <v>2146</v>
      </c>
      <c r="I24" s="3381"/>
      <c r="J24" s="3361">
        <v>-140.9100000000002</v>
      </c>
      <c r="K24" s="3369">
        <f t="shared" si="0"/>
        <v>12772.805999999999</v>
      </c>
      <c r="L24" s="2577">
        <f t="shared" si="6"/>
        <v>1</v>
      </c>
      <c r="M24" s="5" t="s">
        <v>1814</v>
      </c>
      <c r="N24" s="3369">
        <f t="shared" si="2"/>
        <v>12772.805999999999</v>
      </c>
      <c r="O24" s="3342">
        <v>22.009090909090911</v>
      </c>
      <c r="P24" s="3369">
        <f t="shared" si="3"/>
        <v>281.11784841818184</v>
      </c>
      <c r="Q24" s="3369">
        <f>'Table1.A(d)'!G24</f>
        <v>790.12636363636364</v>
      </c>
      <c r="R24" s="3369">
        <f t="shared" si="7"/>
        <v>-509.0085152181818</v>
      </c>
      <c r="S24" s="2577">
        <f t="shared" si="8"/>
        <v>1</v>
      </c>
      <c r="T24" s="3375">
        <f t="shared" si="9"/>
        <v>-1866.3645557999998</v>
      </c>
    </row>
    <row r="25" spans="2:20" ht="18" customHeight="1" x14ac:dyDescent="0.2">
      <c r="B25" s="1727"/>
      <c r="C25" s="1567"/>
      <c r="D25" s="36" t="s">
        <v>252</v>
      </c>
      <c r="E25" s="2575" t="s">
        <v>2150</v>
      </c>
      <c r="F25" s="3381"/>
      <c r="G25" s="3361">
        <v>16104.133999999998</v>
      </c>
      <c r="H25" s="3361">
        <v>8218.4219999999987</v>
      </c>
      <c r="I25" s="3361" t="s">
        <v>2146</v>
      </c>
      <c r="J25" s="3361">
        <v>455.7</v>
      </c>
      <c r="K25" s="3369">
        <f t="shared" si="0"/>
        <v>7430.0119999999988</v>
      </c>
      <c r="L25" s="2577">
        <f t="shared" si="6"/>
        <v>1</v>
      </c>
      <c r="M25" s="5" t="s">
        <v>1814</v>
      </c>
      <c r="N25" s="3369">
        <f t="shared" si="2"/>
        <v>7430.0119999999988</v>
      </c>
      <c r="O25" s="3342">
        <v>18.991363636363641</v>
      </c>
      <c r="P25" s="3369">
        <f t="shared" si="3"/>
        <v>141.10605971454547</v>
      </c>
      <c r="Q25" s="3369">
        <f>'Table1.A(d)'!G25</f>
        <v>338.04627272727276</v>
      </c>
      <c r="R25" s="3369">
        <f t="shared" si="7"/>
        <v>-196.9402130127273</v>
      </c>
      <c r="S25" s="2577">
        <f t="shared" si="8"/>
        <v>1</v>
      </c>
      <c r="T25" s="3375">
        <f t="shared" si="9"/>
        <v>-722.11411438000005</v>
      </c>
    </row>
    <row r="26" spans="2:20" ht="18" customHeight="1" x14ac:dyDescent="0.2">
      <c r="B26" s="1727"/>
      <c r="C26" s="1567"/>
      <c r="D26" s="36" t="s">
        <v>253</v>
      </c>
      <c r="E26" s="2575" t="s">
        <v>2150</v>
      </c>
      <c r="F26" s="3381"/>
      <c r="G26" s="3361">
        <v>28992.665676827106</v>
      </c>
      <c r="H26" s="3361" t="s">
        <v>2146</v>
      </c>
      <c r="I26" s="3381"/>
      <c r="J26" s="3361" t="s">
        <v>2146</v>
      </c>
      <c r="K26" s="3369">
        <f t="shared" si="0"/>
        <v>28992.665676827106</v>
      </c>
      <c r="L26" s="2577">
        <f t="shared" si="6"/>
        <v>1</v>
      </c>
      <c r="M26" s="5" t="s">
        <v>1814</v>
      </c>
      <c r="N26" s="3369">
        <f t="shared" si="2"/>
        <v>28992.665676827106</v>
      </c>
      <c r="O26" s="3342">
        <v>25.26136363636364</v>
      </c>
      <c r="P26" s="3369">
        <f t="shared" si="3"/>
        <v>732.39427044984848</v>
      </c>
      <c r="Q26" s="3369">
        <f>'Table1.A(d)'!G26</f>
        <v>732.39427044984825</v>
      </c>
      <c r="R26" s="3369">
        <f t="shared" si="7"/>
        <v>2.2737367544323206E-13</v>
      </c>
      <c r="S26" s="2577">
        <f t="shared" si="8"/>
        <v>1</v>
      </c>
      <c r="T26" s="3375">
        <f t="shared" si="9"/>
        <v>8.3370347662518418E-13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5089.5585143342078</v>
      </c>
      <c r="H28" s="3361">
        <v>1213.9285202966205</v>
      </c>
      <c r="I28" s="3381"/>
      <c r="J28" s="3361">
        <v>2274.6339999999977</v>
      </c>
      <c r="K28" s="3369">
        <f t="shared" si="0"/>
        <v>1600.9959940375893</v>
      </c>
      <c r="L28" s="2577">
        <f t="shared" si="6"/>
        <v>1</v>
      </c>
      <c r="M28" s="5" t="s">
        <v>1814</v>
      </c>
      <c r="N28" s="3369">
        <f t="shared" si="2"/>
        <v>1600.9959940375893</v>
      </c>
      <c r="O28" s="3342">
        <v>19.040204245598702</v>
      </c>
      <c r="P28" s="3369">
        <f t="shared" si="3"/>
        <v>30.483290722861021</v>
      </c>
      <c r="Q28" s="3369">
        <f>'Table1.A(d)'!G28</f>
        <v>462.98290477660385</v>
      </c>
      <c r="R28" s="3369">
        <f t="shared" si="7"/>
        <v>-432.49961405374285</v>
      </c>
      <c r="S28" s="2577">
        <f t="shared" si="8"/>
        <v>1</v>
      </c>
      <c r="T28" s="3375">
        <f t="shared" si="9"/>
        <v>-1585.8319181970571</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1894053.1313916752</v>
      </c>
      <c r="O31" s="3364"/>
      <c r="P31" s="3371">
        <f>SUM(P11:P29)</f>
        <v>35925.328983917454</v>
      </c>
      <c r="Q31" s="3371">
        <f>SUM(Q11:Q29)</f>
        <v>2680.2345522788382</v>
      </c>
      <c r="R31" s="3369">
        <f t="shared" si="7"/>
        <v>33245.094431638616</v>
      </c>
      <c r="S31" s="2578"/>
      <c r="T31" s="3377">
        <f>SUM(T11:T29)</f>
        <v>121898.67958267494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9757497.3305665981</v>
      </c>
      <c r="G35" s="3361" t="s">
        <v>2146</v>
      </c>
      <c r="H35" s="3361">
        <v>8327400</v>
      </c>
      <c r="I35" s="3361" t="s">
        <v>2146</v>
      </c>
      <c r="J35" s="3361">
        <v>-67500</v>
      </c>
      <c r="K35" s="3369">
        <f t="shared" si="10"/>
        <v>1497597.3305665981</v>
      </c>
      <c r="L35" s="2577">
        <f t="shared" si="11"/>
        <v>1</v>
      </c>
      <c r="M35" s="55" t="s">
        <v>1814</v>
      </c>
      <c r="N35" s="3369">
        <f t="shared" si="12"/>
        <v>1497597.3305665981</v>
      </c>
      <c r="O35" s="3342">
        <v>24.385233096890278</v>
      </c>
      <c r="P35" s="3369">
        <f t="shared" si="13"/>
        <v>36519.259991147141</v>
      </c>
      <c r="Q35" s="3369">
        <f>'Table1.A(d)'!G35</f>
        <v>812.35437339272721</v>
      </c>
      <c r="R35" s="3369">
        <f t="shared" si="7"/>
        <v>35706.905617754412</v>
      </c>
      <c r="S35" s="2577">
        <f t="shared" si="14"/>
        <v>1</v>
      </c>
      <c r="T35" s="3375">
        <f t="shared" si="15"/>
        <v>130925.32059843284</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725400.39551880013</v>
      </c>
      <c r="G37" s="3361" t="s">
        <v>2146</v>
      </c>
      <c r="H37" s="3361" t="s">
        <v>2146</v>
      </c>
      <c r="I37" s="3381"/>
      <c r="J37" s="3361">
        <v>-11400</v>
      </c>
      <c r="K37" s="3369">
        <f t="shared" si="10"/>
        <v>736800.39551880013</v>
      </c>
      <c r="L37" s="2577">
        <f t="shared" si="11"/>
        <v>1</v>
      </c>
      <c r="M37" s="55" t="s">
        <v>1814</v>
      </c>
      <c r="N37" s="3369">
        <f t="shared" si="12"/>
        <v>736800.39551880013</v>
      </c>
      <c r="O37" s="3342">
        <v>25.37620211290654</v>
      </c>
      <c r="P37" s="3369">
        <f t="shared" si="13"/>
        <v>18697.195753554548</v>
      </c>
      <c r="Q37" s="3369" t="str">
        <f>'Table1.A(d)'!G37</f>
        <v>NO</v>
      </c>
      <c r="R37" s="3369">
        <f t="shared" si="7"/>
        <v>18697.195753554548</v>
      </c>
      <c r="S37" s="2577">
        <f t="shared" si="14"/>
        <v>1</v>
      </c>
      <c r="T37" s="3375">
        <f t="shared" si="15"/>
        <v>68556.384429700018</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400</v>
      </c>
      <c r="H41" s="3361" t="s">
        <v>2146</v>
      </c>
      <c r="I41" s="3381"/>
      <c r="J41" s="3361">
        <v>2900</v>
      </c>
      <c r="K41" s="3369">
        <f t="shared" si="16"/>
        <v>-2500</v>
      </c>
      <c r="L41" s="2577">
        <f t="shared" si="17"/>
        <v>1</v>
      </c>
      <c r="M41" s="55" t="s">
        <v>1814</v>
      </c>
      <c r="N41" s="3369">
        <f t="shared" si="18"/>
        <v>-2500</v>
      </c>
      <c r="O41" s="3342">
        <v>29.182053929626932</v>
      </c>
      <c r="P41" s="3369">
        <f t="shared" si="19"/>
        <v>-72.955134824067329</v>
      </c>
      <c r="Q41" s="3369">
        <f>'Table1.A(d)'!G41</f>
        <v>2047.7214186821516</v>
      </c>
      <c r="R41" s="3369">
        <f t="shared" si="7"/>
        <v>-2120.6765535062191</v>
      </c>
      <c r="S41" s="2577">
        <f t="shared" si="20"/>
        <v>1</v>
      </c>
      <c r="T41" s="3375">
        <f t="shared" si="21"/>
        <v>-7775.8140295228031</v>
      </c>
    </row>
    <row r="42" spans="2:20" ht="18" customHeight="1" x14ac:dyDescent="0.2">
      <c r="B42" s="1727"/>
      <c r="C42" s="1568"/>
      <c r="D42" s="31" t="s">
        <v>267</v>
      </c>
      <c r="E42" s="2575" t="s">
        <v>2150</v>
      </c>
      <c r="F42" s="3381"/>
      <c r="G42" s="3361" t="s">
        <v>2146</v>
      </c>
      <c r="H42" s="3361" t="s">
        <v>2146</v>
      </c>
      <c r="I42" s="3381"/>
      <c r="J42" s="3361">
        <v>-1400</v>
      </c>
      <c r="K42" s="3369">
        <f t="shared" si="16"/>
        <v>1400</v>
      </c>
      <c r="L42" s="2577">
        <f t="shared" si="17"/>
        <v>1</v>
      </c>
      <c r="M42" s="55" t="s">
        <v>1814</v>
      </c>
      <c r="N42" s="3369">
        <f t="shared" si="18"/>
        <v>1400</v>
      </c>
      <c r="O42" s="3342">
        <v>22.309090909090909</v>
      </c>
      <c r="P42" s="3369">
        <f t="shared" si="19"/>
        <v>31.232727272727271</v>
      </c>
      <c r="Q42" s="3369">
        <f>'Table1.A(d)'!G42</f>
        <v>232.24676432555623</v>
      </c>
      <c r="R42" s="3369">
        <f t="shared" si="7"/>
        <v>-201.01403705282897</v>
      </c>
      <c r="S42" s="2577">
        <f t="shared" si="20"/>
        <v>1</v>
      </c>
      <c r="T42" s="3375">
        <f t="shared" si="21"/>
        <v>-737.05146919370611</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2233297.7260853983</v>
      </c>
      <c r="O45" s="3364"/>
      <c r="P45" s="3371">
        <f>SUM(P33:P43)</f>
        <v>55174.733337150348</v>
      </c>
      <c r="Q45" s="3371">
        <f>SUM(Q33:Q43)</f>
        <v>3092.3225564004351</v>
      </c>
      <c r="R45" s="3371">
        <f>SUM(R33:R43)</f>
        <v>52082.410780749909</v>
      </c>
      <c r="S45" s="41"/>
      <c r="T45" s="3377">
        <f>SUM(T33:T43)</f>
        <v>190968.83952941635</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2047115.9157295797</v>
      </c>
      <c r="G47" s="3361">
        <v>225700</v>
      </c>
      <c r="H47" s="3361">
        <v>971900</v>
      </c>
      <c r="I47" s="3361" t="s">
        <v>2146</v>
      </c>
      <c r="J47" s="3361">
        <v>54445.005463117239</v>
      </c>
      <c r="K47" s="3369">
        <f t="shared" ref="K47" si="22">IF((SUM(F47:G47)-SUM(H47:J47))=0,"NO",(SUM(F47:G47)-SUM(H47:J47)))</f>
        <v>1246470.9102664622</v>
      </c>
      <c r="L47" s="2577">
        <f t="shared" ref="L47" si="23">IF(K47="NO","NA",1)</f>
        <v>1</v>
      </c>
      <c r="M47" s="55" t="s">
        <v>1814</v>
      </c>
      <c r="N47" s="3369">
        <f t="shared" ref="N47" si="24">K47</f>
        <v>1246470.9102664622</v>
      </c>
      <c r="O47" s="3342">
        <v>14.00528919145852</v>
      </c>
      <c r="P47" s="3369">
        <f t="shared" ref="P47" si="25">IFERROR(N47*O47/1000,"NA")</f>
        <v>17457.185567022345</v>
      </c>
      <c r="Q47" s="3369">
        <f>'Table1.A(d)'!G47</f>
        <v>739.76813111290585</v>
      </c>
      <c r="R47" s="3369">
        <f t="shared" ref="R47" si="26">IF(SUM(P47,-SUM(Q47))=0,"NO",SUM(P47,-SUM(Q47)))</f>
        <v>16717.41743590944</v>
      </c>
      <c r="S47" s="2577">
        <f t="shared" ref="S47" si="27">IF(R47="NO","NA",1)</f>
        <v>1</v>
      </c>
      <c r="T47" s="3375">
        <f t="shared" ref="T47" si="28">IF(R47="NO","NO",R47*S47*44/12)</f>
        <v>61297.197265001276</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1246470.9102664622</v>
      </c>
      <c r="O50" s="3366"/>
      <c r="P50" s="3371">
        <f>SUM(P47:P48)</f>
        <v>17457.185567022345</v>
      </c>
      <c r="Q50" s="3371">
        <f>SUM(Q47:Q48)</f>
        <v>739.76813111290585</v>
      </c>
      <c r="R50" s="3371">
        <f>SUM(R47:R48)</f>
        <v>16717.41743590944</v>
      </c>
      <c r="S50" s="2354"/>
      <c r="T50" s="3377">
        <f>SUM(T47:T48)</f>
        <v>61297.197265001276</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5373821.7677435353</v>
      </c>
      <c r="O55" s="3367"/>
      <c r="P55" s="3373">
        <f>SUM(P31,P45,P50,P54)</f>
        <v>108557.24788809015</v>
      </c>
      <c r="Q55" s="3373">
        <f>SUM(Q31,Q45,Q50,Q54)</f>
        <v>6512.3252397921788</v>
      </c>
      <c r="R55" s="3373">
        <f>SUM(R31,R45,R50,R54)</f>
        <v>102044.92264829797</v>
      </c>
      <c r="S55" s="2374"/>
      <c r="T55" s="3379">
        <f>SUM(T31,T45,T50,T54)</f>
        <v>374164.71637709253</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1894.0531313916752</v>
      </c>
      <c r="D10" s="4136">
        <f>C10-'Table1.A(d)'!E31/1000</f>
        <v>1759.4523679383126</v>
      </c>
      <c r="E10" s="4135">
        <f>'Table1.A(b)'!T31</f>
        <v>121898.67958267494</v>
      </c>
      <c r="F10" s="4135">
        <f>'Table1.A(a)s1'!C11/1000</f>
        <v>1770.8803627938084</v>
      </c>
      <c r="G10" s="4135">
        <f>'Table1.A(a)s1'!H11</f>
        <v>120942.39790426438</v>
      </c>
      <c r="H10" s="4135">
        <f>100*((D10-F10)/F10)</f>
        <v>-0.64532845332739541</v>
      </c>
      <c r="I10" s="4137">
        <f>100*((E10-G10)/G10)</f>
        <v>0.79069184585503338</v>
      </c>
      <c r="L10"/>
    </row>
    <row r="11" spans="2:12" ht="18" customHeight="1" x14ac:dyDescent="0.2">
      <c r="B11" s="50" t="s">
        <v>299</v>
      </c>
      <c r="C11" s="4135">
        <f>'Table1.A(b)'!N45/1000</f>
        <v>2233.2977260853982</v>
      </c>
      <c r="D11" s="4135">
        <f>C11-'Table1.A(d)'!E45/1000</f>
        <v>2118.7305773174776</v>
      </c>
      <c r="E11" s="4135">
        <f>'Table1.A(b)'!T45</f>
        <v>190968.83952941635</v>
      </c>
      <c r="F11" s="4135">
        <f>'Table1.A(a)s1'!C12/1000</f>
        <v>2100.9202373754642</v>
      </c>
      <c r="G11" s="4135">
        <f>'Table1.A(a)s1'!H12</f>
        <v>189551.77348464006</v>
      </c>
      <c r="H11" s="4135">
        <f t="shared" ref="H11:H13" si="0">100*((D11-F11)/F11)</f>
        <v>0.84773993915459533</v>
      </c>
      <c r="I11" s="4137">
        <f t="shared" ref="I11:I13" si="1">100*((E11-G11)/G11)</f>
        <v>0.74758785883431578</v>
      </c>
      <c r="L11"/>
    </row>
    <row r="12" spans="2:12" ht="18" customHeight="1" x14ac:dyDescent="0.2">
      <c r="B12" s="50" t="s">
        <v>300</v>
      </c>
      <c r="C12" s="4135">
        <f>'Table1.A(b)'!N50/1000</f>
        <v>1246.4709102664622</v>
      </c>
      <c r="D12" s="4135">
        <f>C12-'Table1.A(d)'!E50/1000</f>
        <v>1193.7110982416621</v>
      </c>
      <c r="E12" s="4135">
        <f>'Table1.A(b)'!T50</f>
        <v>61297.197265001276</v>
      </c>
      <c r="F12" s="4135">
        <f>'Table1.A(a)s1'!C13/1000</f>
        <v>1186.4664320172576</v>
      </c>
      <c r="G12" s="4135">
        <f>'Table1.A(a)s1'!H13</f>
        <v>60829.298798916607</v>
      </c>
      <c r="H12" s="4135">
        <f t="shared" si="0"/>
        <v>0.61060861301291991</v>
      </c>
      <c r="I12" s="4137">
        <f t="shared" si="1"/>
        <v>0.76919917757296663</v>
      </c>
      <c r="L12"/>
    </row>
    <row r="13" spans="2:12" ht="18" customHeight="1" x14ac:dyDescent="0.2">
      <c r="B13" s="50" t="s">
        <v>275</v>
      </c>
      <c r="C13" s="4135">
        <f>'Table1.A(b)'!N54/1000</f>
        <v>0</v>
      </c>
      <c r="D13" s="4135">
        <f>C13-SUM('Table1.A(d)'!E54)/1000</f>
        <v>0</v>
      </c>
      <c r="E13" s="4135">
        <f>'Table1.A(b)'!T54</f>
        <v>0</v>
      </c>
      <c r="F13" s="4135">
        <f>'Table1.A(a)s1'!C14/1000</f>
        <v>4.1491477946561401</v>
      </c>
      <c r="G13" s="4135">
        <f>'Table1.A(a)s1'!H14</f>
        <v>373.10353334829517</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5373.821767743535</v>
      </c>
      <c r="D15" s="4138">
        <f>SUM(D10:D14)</f>
        <v>5071.894043497452</v>
      </c>
      <c r="E15" s="4138">
        <f>SUM(E10:E14)</f>
        <v>374164.71637709253</v>
      </c>
      <c r="F15" s="4138">
        <f>SUM(F10:F14)</f>
        <v>5062.4161799811873</v>
      </c>
      <c r="G15" s="4138">
        <f>SUM(G10:G14)</f>
        <v>371696.57372116938</v>
      </c>
      <c r="H15" s="4139">
        <f t="shared" ref="H15" si="2">100*((D15-F15)/F15)</f>
        <v>0.18722015692317012</v>
      </c>
      <c r="I15" s="4140">
        <f t="shared" ref="I15" si="3">100*((E15-G15)/G15)</f>
        <v>0.66402082516225747</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BAAAF649-C1B0-47ED-A0BA-EEA27A939ACF}"/>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