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51A1601E-09F9-480C-8D65-16BFE18616A6}" xr6:coauthVersionLast="47" xr6:coauthVersionMax="47" xr10:uidLastSave="{00000000-0000-0000-0000-000000000000}"/>
  <bookViews>
    <workbookView xWindow="780" yWindow="780" windowWidth="8370" windowHeight="7110"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H67" i="34"/>
  <c r="G28" i="34"/>
  <c r="I67" i="34"/>
  <c r="H28" i="34"/>
  <c r="I37" i="34"/>
  <c r="G80" i="34"/>
  <c r="G88" i="34"/>
  <c r="G26" i="34"/>
  <c r="H27" i="34"/>
  <c r="I28" i="34"/>
  <c r="G34" i="34"/>
  <c r="H35" i="34"/>
  <c r="I36" i="34"/>
  <c r="G54" i="34"/>
  <c r="I80" i="34"/>
  <c r="H26" i="34"/>
  <c r="I27" i="34"/>
  <c r="G33" i="34"/>
  <c r="H34" i="34"/>
  <c r="I35" i="34"/>
  <c r="G85" i="34"/>
  <c r="G89" i="34"/>
  <c r="I26" i="34"/>
  <c r="G32" i="34"/>
  <c r="H33" i="34"/>
  <c r="I34" i="34"/>
  <c r="G135" i="34"/>
  <c r="G143" i="34"/>
  <c r="G120" i="34"/>
  <c r="G138" i="34"/>
  <c r="I45" i="59"/>
  <c r="G133" i="34"/>
  <c r="G141" i="34"/>
  <c r="I15" i="59"/>
  <c r="G136" i="34"/>
  <c r="H16" i="59"/>
  <c r="G139" i="34"/>
  <c r="H15" i="59"/>
  <c r="H45" i="59"/>
  <c r="G134" i="34"/>
  <c r="G142" i="34"/>
  <c r="D16" i="57"/>
  <c r="I22" i="59"/>
  <c r="G137" i="34"/>
  <c r="I149" i="34"/>
  <c r="D18" i="57"/>
  <c r="G132" i="34"/>
  <c r="G140" i="34"/>
  <c r="H22" i="59"/>
  <c r="H149" i="34"/>
  <c r="H134" i="34"/>
  <c r="H118" i="34"/>
  <c r="H119" i="34"/>
  <c r="H120" i="34"/>
  <c r="H121" i="34"/>
  <c r="H122" i="34"/>
  <c r="H123" i="34"/>
  <c r="H124" i="34"/>
  <c r="H125" i="34"/>
  <c r="H126" i="34"/>
  <c r="I118" i="34"/>
  <c r="I119" i="34"/>
  <c r="I120" i="34"/>
  <c r="I121" i="34"/>
  <c r="I122" i="34"/>
  <c r="I123" i="34"/>
  <c r="I124" i="34"/>
  <c r="I125" i="34"/>
  <c r="I126" i="34"/>
  <c r="I127" i="34"/>
  <c r="I128" i="34"/>
  <c r="I129" i="34"/>
  <c r="D29" i="25"/>
  <c r="F29" i="25"/>
  <c r="G29" i="25"/>
  <c r="H29" i="25"/>
  <c r="I29" i="25"/>
  <c r="K29" i="25"/>
  <c r="M29" i="25"/>
  <c r="O29" i="25"/>
  <c r="I94" i="34"/>
  <c r="K106" i="34"/>
  <c r="K107" i="34"/>
  <c r="K108" i="34"/>
  <c r="K109" i="34"/>
  <c r="K110" i="34"/>
  <c r="K111" i="34"/>
  <c r="K112" i="34"/>
  <c r="K113" i="34"/>
  <c r="K114" i="34"/>
  <c r="K115" i="34"/>
  <c r="K116" i="34"/>
  <c r="M106" i="34"/>
  <c r="M107" i="34"/>
  <c r="M108" i="34"/>
  <c r="M109" i="34"/>
  <c r="M110" i="34"/>
  <c r="M111" i="34"/>
  <c r="M112" i="34"/>
  <c r="M113" i="34"/>
  <c r="M114" i="34"/>
  <c r="M115" i="34"/>
  <c r="M116" i="34"/>
  <c r="H80" i="34"/>
  <c r="G65" i="34"/>
  <c r="G66" i="34"/>
  <c r="G67" i="34"/>
  <c r="G68" i="34"/>
  <c r="G69" i="34"/>
  <c r="H54" i="34"/>
  <c r="I54" i="34"/>
  <c r="G63" i="34"/>
  <c r="M51" i="34" l="1"/>
  <c r="L51" i="34"/>
  <c r="K51" i="34"/>
  <c r="J51" i="34"/>
  <c r="I63" i="34"/>
  <c r="I62" i="34"/>
  <c r="I61" i="34"/>
  <c r="I60" i="34"/>
  <c r="I59" i="34"/>
  <c r="I58" i="34"/>
  <c r="I57" i="34"/>
  <c r="I56" i="34"/>
  <c r="I55" i="34"/>
  <c r="I53" i="34"/>
  <c r="I52" i="34"/>
  <c r="H63" i="34"/>
  <c r="H62" i="34"/>
  <c r="H61" i="34"/>
  <c r="H60" i="34"/>
  <c r="H59" i="34"/>
  <c r="H58" i="34"/>
  <c r="H57" i="34"/>
  <c r="H56" i="34"/>
  <c r="H55" i="34"/>
  <c r="H53" i="34"/>
  <c r="H52" i="34"/>
  <c r="I70" i="34"/>
  <c r="L64" i="34"/>
  <c r="K64" i="34"/>
  <c r="H76" i="34"/>
  <c r="H75" i="34"/>
  <c r="H74" i="34"/>
  <c r="H73" i="34"/>
  <c r="H72" i="34"/>
  <c r="G76" i="34"/>
  <c r="G75" i="34"/>
  <c r="G74" i="34"/>
  <c r="G73" i="34"/>
  <c r="G72" i="34"/>
  <c r="G71" i="34"/>
  <c r="G70" i="34"/>
  <c r="M77" i="34"/>
  <c r="L77" i="34"/>
  <c r="K77" i="34"/>
  <c r="J77" i="34"/>
  <c r="H89" i="34"/>
  <c r="H88" i="34"/>
  <c r="H87" i="34"/>
  <c r="H86" i="34"/>
  <c r="H85" i="34"/>
  <c r="H84" i="34"/>
  <c r="H83" i="34"/>
  <c r="H82" i="34"/>
  <c r="H81"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I103" i="34"/>
  <c r="I102" i="34"/>
  <c r="I101" i="34"/>
  <c r="I100" i="34"/>
  <c r="I99" i="34"/>
  <c r="I98" i="34"/>
  <c r="I97" i="34"/>
  <c r="I96" i="34"/>
  <c r="I95" i="34"/>
  <c r="I93" i="34"/>
  <c r="I92" i="34"/>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9" i="34"/>
  <c r="H128" i="34"/>
  <c r="H127" i="34"/>
  <c r="K131" i="34"/>
  <c r="K130" i="34" s="1"/>
  <c r="U30" i="25"/>
  <c r="T30" i="25"/>
  <c r="R30" i="25"/>
  <c r="O30" i="25"/>
  <c r="M30" i="25"/>
  <c r="K30" i="25"/>
  <c r="I30" i="25"/>
  <c r="H30" i="25"/>
  <c r="G30" i="25"/>
  <c r="F30" i="25"/>
  <c r="D30" i="25"/>
  <c r="J131" i="34"/>
  <c r="J130" i="34" s="1"/>
  <c r="C30" i="25"/>
  <c r="F49" i="22" s="1"/>
  <c r="H143" i="34"/>
  <c r="H142" i="34"/>
  <c r="H141" i="34"/>
  <c r="H140" i="34"/>
  <c r="H139" i="34"/>
  <c r="H138" i="34"/>
  <c r="H137" i="34"/>
  <c r="H136" i="34"/>
  <c r="H135" i="34"/>
  <c r="H133" i="34"/>
  <c r="H132" i="34"/>
  <c r="M146" i="34"/>
  <c r="I158"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8" i="34"/>
  <c r="H157" i="34"/>
  <c r="H156" i="34"/>
  <c r="H155" i="34"/>
  <c r="H154" i="34"/>
  <c r="H153" i="34"/>
  <c r="H152" i="34"/>
  <c r="H151" i="34"/>
  <c r="H150" i="34"/>
  <c r="H148" i="34"/>
  <c r="H147" i="34"/>
  <c r="D23" i="57"/>
  <c r="D21" i="57" s="1"/>
  <c r="H21" i="57"/>
  <c r="H20" i="57" s="1"/>
  <c r="Q11" i="50"/>
  <c r="K12" i="50"/>
  <c r="I23" i="57"/>
  <c r="G21" i="57"/>
  <c r="E23" i="57"/>
  <c r="K38" i="59"/>
  <c r="H39" i="59"/>
  <c r="S13" i="51"/>
  <c r="S11" i="51" s="1"/>
  <c r="Q11" i="51"/>
  <c r="K13" i="51"/>
  <c r="L38" i="59"/>
  <c r="I39" i="59"/>
  <c r="K20" i="59"/>
  <c r="H21" i="59"/>
  <c r="I150" i="34"/>
  <c r="D112" i="34"/>
  <c r="G112" i="34" s="1"/>
  <c r="G99" i="34"/>
  <c r="K17" i="59"/>
  <c r="H17" i="59" s="1"/>
  <c r="H18" i="59"/>
  <c r="U14" i="49"/>
  <c r="U11" i="49" s="1"/>
  <c r="Q11" i="49"/>
  <c r="Q10" i="49" s="1"/>
  <c r="J14" i="49"/>
  <c r="L23" i="59"/>
  <c r="I23" i="59" s="1"/>
  <c r="I24" i="59"/>
  <c r="I157" i="34"/>
  <c r="D111" i="34"/>
  <c r="G111" i="34" s="1"/>
  <c r="G98" i="34"/>
  <c r="K13" i="59"/>
  <c r="H14" i="59"/>
  <c r="I15" i="57"/>
  <c r="G13" i="57"/>
  <c r="E15" i="57"/>
  <c r="I156" i="34"/>
  <c r="I148" i="34"/>
  <c r="G127" i="34"/>
  <c r="G125" i="34"/>
  <c r="G123" i="34"/>
  <c r="G121" i="34"/>
  <c r="G119" i="34"/>
  <c r="G97" i="34"/>
  <c r="D110" i="34"/>
  <c r="G110" i="34" s="1"/>
  <c r="L20" i="59"/>
  <c r="I21" i="59"/>
  <c r="I155" i="34"/>
  <c r="I147" i="34"/>
  <c r="M117" i="34"/>
  <c r="D109" i="34"/>
  <c r="G109" i="34" s="1"/>
  <c r="G96" i="34"/>
  <c r="L43" i="59"/>
  <c r="I44" i="59"/>
  <c r="L13" i="59"/>
  <c r="I14" i="59"/>
  <c r="L17" i="59"/>
  <c r="I17" i="59" s="1"/>
  <c r="I18" i="59"/>
  <c r="G11" i="57"/>
  <c r="I12" i="57"/>
  <c r="I154" i="34"/>
  <c r="G129" i="34"/>
  <c r="L117" i="34"/>
  <c r="G103" i="34"/>
  <c r="D116" i="34"/>
  <c r="G116" i="34" s="1"/>
  <c r="G95" i="34"/>
  <c r="D108" i="34"/>
  <c r="G108" i="34" s="1"/>
  <c r="I32" i="57"/>
  <c r="G30" i="57"/>
  <c r="E32" i="57"/>
  <c r="H13" i="57"/>
  <c r="D15" i="57"/>
  <c r="D13" i="57" s="1"/>
  <c r="F13" i="57" s="1"/>
  <c r="I153" i="34"/>
  <c r="K117" i="34"/>
  <c r="G102" i="34"/>
  <c r="D115" i="34"/>
  <c r="G115" i="34" s="1"/>
  <c r="G94" i="34"/>
  <c r="D107" i="34"/>
  <c r="G107" i="34" s="1"/>
  <c r="D12" i="57"/>
  <c r="D11" i="57" s="1"/>
  <c r="H11" i="57"/>
  <c r="K23" i="59"/>
  <c r="H23" i="59" s="1"/>
  <c r="H24" i="59"/>
  <c r="I152" i="34"/>
  <c r="M131" i="34"/>
  <c r="M130" i="34" s="1"/>
  <c r="G126" i="34"/>
  <c r="G124" i="34"/>
  <c r="G122" i="34"/>
  <c r="G118" i="34"/>
  <c r="G101" i="34"/>
  <c r="D114" i="34"/>
  <c r="G114" i="34" s="1"/>
  <c r="D106" i="34"/>
  <c r="G106" i="34" s="1"/>
  <c r="G93" i="34"/>
  <c r="I16" i="57"/>
  <c r="E16" i="57"/>
  <c r="I18" i="57"/>
  <c r="E18" i="57"/>
  <c r="I151" i="34"/>
  <c r="G128" i="34"/>
  <c r="G100" i="34"/>
  <c r="D113" i="34"/>
  <c r="G113" i="34" s="1"/>
  <c r="D105" i="34"/>
  <c r="G105" i="34" s="1"/>
  <c r="G92" i="34"/>
  <c r="I89" i="34"/>
  <c r="I85" i="34"/>
  <c r="I81" i="34"/>
  <c r="I68" i="34"/>
  <c r="I66" i="34"/>
  <c r="G81" i="34"/>
  <c r="I76" i="34"/>
  <c r="H70" i="34"/>
  <c r="H68" i="34"/>
  <c r="H66" i="34"/>
  <c r="G55" i="34"/>
  <c r="I88" i="34"/>
  <c r="I84" i="34"/>
  <c r="I75" i="34"/>
  <c r="M64" i="34"/>
  <c r="G62" i="34"/>
  <c r="G84" i="34"/>
  <c r="I74" i="34"/>
  <c r="J64" i="34"/>
  <c r="G61" i="34"/>
  <c r="G53" i="34"/>
  <c r="H36" i="34"/>
  <c r="G35" i="34"/>
  <c r="I29" i="34"/>
  <c r="G27" i="34"/>
  <c r="I73" i="34"/>
  <c r="I69" i="34"/>
  <c r="I65" i="34"/>
  <c r="H37" i="34"/>
  <c r="G36" i="34"/>
  <c r="I30" i="34"/>
  <c r="H29" i="34"/>
  <c r="M25" i="34"/>
  <c r="G87" i="34"/>
  <c r="G83" i="34"/>
  <c r="G79" i="34"/>
  <c r="I72" i="34"/>
  <c r="H69" i="34"/>
  <c r="H65" i="34"/>
  <c r="G59" i="34"/>
  <c r="G37" i="34"/>
  <c r="I31" i="34"/>
  <c r="H30" i="34"/>
  <c r="G29" i="34"/>
  <c r="L25" i="34"/>
  <c r="I71" i="34"/>
  <c r="I32" i="34"/>
  <c r="H31" i="34"/>
  <c r="G30" i="34"/>
  <c r="K25" i="34"/>
  <c r="H71" i="34"/>
  <c r="I33" i="34"/>
  <c r="H32" i="34"/>
  <c r="G31" i="34"/>
  <c r="J25" i="34"/>
  <c r="I83" i="34"/>
  <c r="G60" i="34"/>
  <c r="I82" i="34"/>
  <c r="G58" i="34"/>
  <c r="G82" i="34"/>
  <c r="G57" i="34"/>
  <c r="I79" i="34"/>
  <c r="G56" i="34"/>
  <c r="I87" i="34"/>
  <c r="G78" i="34"/>
  <c r="I86" i="34"/>
  <c r="I78" i="34"/>
  <c r="G86" i="34"/>
  <c r="G52"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F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F28" i="109"/>
  <c r="O45" i="22"/>
  <c r="D49" i="70"/>
  <c r="E49" i="70" s="1"/>
  <c r="F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F13" i="33"/>
  <c r="L22" i="132"/>
  <c r="E33" i="132"/>
  <c r="H39" i="132" l="1"/>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Y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H11" i="73"/>
  <c r="G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H49" i="70" l="1"/>
  <c r="I34" i="73"/>
  <c r="J34" i="73" s="1"/>
  <c r="G35" i="73"/>
  <c r="H45" i="70"/>
  <c r="H22" i="73"/>
  <c r="H23" i="73"/>
  <c r="H24" i="73"/>
  <c r="H25" i="73"/>
  <c r="T49" i="70"/>
  <c r="H46" i="70"/>
  <c r="H65" i="70"/>
  <c r="T42" i="70"/>
  <c r="H21" i="73"/>
  <c r="T45" i="70"/>
  <c r="T44" i="70"/>
  <c r="T43"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I35" i="73" l="1"/>
  <c r="J35" i="73" s="1"/>
  <c r="G22" i="73"/>
  <c r="G23" i="73"/>
  <c r="G24"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<sst xmlns="http://schemas.openxmlformats.org/spreadsheetml/2006/main" count="19146" uniqueCount="2523">
  <si>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</si>
  <si>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</si>
  <si>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</si>
  <si>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</si>
  <si>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</si>
  <si>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</si>
  <si>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</si>
  <si>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</si>
  <si>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</si>
  <si>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</si>
  <si>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</si>
  <si>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</si>
  <si>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</si>
  <si>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</si>
  <si>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</si>
  <si>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</si>
  <si>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</si>
  <si>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</si>
  <si>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</si>
  <si>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</si>
  <si>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</si>
  <si>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</si>
  <si>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</si>
  <si>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</si>
  <si>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</si>
  <si>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</si>
  <si>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</si>
  <si>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</si>
  <si>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</si>
  <si>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</si>
  <si>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</si>
  <si>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</si>
  <si>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</si>
  <si>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</si>
  <si>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</si>
  <si>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</si>
  <si>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</si>
  <si>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</si>
  <si>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</si>
  <si>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</si>
  <si>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</si>
  <si>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</si>
  <si>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</si>
  <si>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</si>
  <si>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</si>
  <si>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</si>
  <si>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</si>
  <si>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</si>
  <si>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</si>
  <si>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</si>
  <si>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</si>
  <si>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</si>
  <si>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</si>
  <si>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</si>
  <si>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</si>
  <si>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</si>
  <si>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</si>
  <si>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</si>
  <si>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</si>
  <si>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</si>
  <si>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</si>
  <si>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</si>
  <si>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</si>
  <si>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</si>
  <si>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</si>
  <si>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</si>
  <si>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</si>
  <si>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</si>
  <si>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</si>
  <si>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</si>
  <si>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</si>
  <si>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</si>
  <si>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</si>
  <si>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</si>
  <si>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</si>
  <si>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</si>
  <si>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</si>
  <si>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</si>
  <si>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</si>
  <si>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</si>
  <si>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</si>
  <si>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</si>
  <si>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</si>
  <si>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</si>
  <si>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</si>
  <si>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</si>
  <si>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</si>
  <si>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</si>
  <si>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</si>
  <si>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</si>
  <si>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</si>
  <si>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</si>
  <si>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</si>
  <si>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</si>
  <si>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</si>
  <si>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</si>
  <si>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</si>
  <si>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</si>
  <si>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</si>
  <si>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</si>
  <si>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</si>
  <si>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</si>
  <si>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</si>
  <si>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</si>
  <si>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</si>
  <si>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</si>
  <si>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</si>
  <si>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</si>
  <si>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</si>
  <si>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</si>
  <si>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</si>
  <si>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</si>
  <si>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</si>
  <si>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</si>
  <si>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</si>
  <si>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</si>
  <si>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</si>
  <si>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</si>
  <si>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</si>
  <si>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</si>
  <si>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</si>
  <si>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</si>
  <si>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</si>
  <si>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</si>
  <si>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</si>
  <si>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</si>
  <si>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</si>
  <si>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</si>
  <si>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</si>
  <si>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</si>
  <si>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</si>
  <si>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</si>
  <si>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</si>
  <si>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</si>
  <si>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</si>
  <si>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</si>
  <si>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</si>
  <si>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</si>
  <si>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</si>
  <si>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</si>
  <si>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</si>
  <si>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</si>
  <si>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</si>
  <si>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</si>
  <si>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</si>
  <si>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</si>
  <si>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</si>
  <si>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</si>
  <si>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</si>
  <si>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</si>
  <si>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</si>
  <si>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</si>
  <si>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</si>
  <si>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</si>
  <si>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</si>
  <si>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</si>
  <si>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</si>
  <si>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</si>
  <si>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</si>
  <si>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</si>
  <si>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</si>
  <si>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</si>
  <si>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</si>
  <si>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</si>
  <si>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</si>
  <si>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</si>
  <si>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</si>
  <si>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</si>
  <si>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</si>
  <si>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</si>
  <si>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</si>
  <si>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</si>
  <si>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</si>
  <si>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</si>
  <si>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</si>
  <si>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</si>
  <si>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</si>
  <si>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</si>
  <si>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</si>
  <si>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</si>
  <si>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</si>
  <si>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</si>
  <si>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</si>
  <si>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</si>
  <si>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</si>
  <si>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</si>
  <si>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</si>
  <si>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</si>
  <si>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</si>
  <si>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</si>
  <si>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</si>
  <si>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</si>
  <si>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</si>
  <si>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</si>
  <si>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</si>
  <si>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</si>
  <si>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</si>
  <si>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</si>
  <si>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</si>
  <si>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</si>
  <si>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</si>
  <si>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</si>
  <si>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</si>
  <si>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</si>
  <si>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</si>
  <si>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</si>
  <si>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</si>
  <si>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</si>
  <si>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</si>
  <si>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</si>
  <si>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</si>
  <si>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</si>
  <si>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</si>
  <si>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</si>
  <si>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</si>
  <si>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</si>
  <si>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</si>
  <si>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</si>
  <si>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</si>
  <si>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</si>
  <si>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</si>
  <si>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</si>
  <si>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</si>
  <si>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</si>
  <si>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</si>
  <si>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</si>
  <si>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</si>
  <si>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</si>
  <si>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</si>
  <si>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</si>
  <si>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</si>
  <si>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</si>
  <si>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</si>
  <si>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</si>
  <si>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</si>
  <si>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</si>
  <si>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</si>
  <si>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</si>
  <si>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</si>
  <si>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</si>
  <si>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</si>
  <si>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</si>
  <si>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</si>
  <si>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</si>
  <si>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</si>
  <si>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</si>
  <si>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</si>
  <si>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</si>
  <si>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</si>
  <si>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</si>
  <si>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</si>
  <si>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</si>
  <si>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</si>
  <si>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</si>
  <si>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</si>
  <si>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</si>
  <si>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</si>
  <si>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</si>
  <si>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</si>
  <si>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</si>
  <si>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</si>
  <si>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</si>
  <si>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</si>
  <si>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</si>
  <si>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</si>
  <si>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</si>
  <si>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</si>
  <si>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</si>
  <si>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</si>
  <si>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</si>
  <si>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</si>
  <si>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</si>
  <si>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</si>
  <si>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</si>
  <si>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</si>
  <si>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</si>
  <si>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</si>
  <si>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</si>
  <si>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</si>
  <si>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</si>
  <si>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</si>
  <si>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</si>
  <si>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</si>
  <si>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</si>
  <si>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</si>
  <si>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</si>
  <si>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</si>
  <si>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</si>
  <si>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</si>
  <si>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</si>
  <si>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</si>
  <si>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</si>
  <si>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</si>
  <si>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</si>
  <si>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</si>
  <si>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</si>
  <si>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</si>
  <si>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</si>
  <si>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</si>
  <si>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</si>
  <si>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</si>
  <si>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</si>
  <si>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</si>
  <si>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</si>
  <si>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</si>
  <si>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</si>
  <si>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</si>
  <si>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</si>
  <si>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</si>
  <si>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</si>
  <si>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</si>
  <si>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</si>
  <si>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</si>
  <si>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</si>
  <si>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</si>
  <si>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</si>
  <si>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</si>
  <si>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</si>
  <si>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</si>
  <si>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</si>
  <si>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</si>
  <si>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</si>
  <si>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</si>
  <si>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</si>
  <si>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</si>
  <si>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</si>
  <si>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</si>
  <si>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</si>
  <si>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</si>
  <si>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</si>
  <si>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</si>
  <si>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</si>
  <si>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</si>
  <si>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</si>
  <si>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</si>
  <si>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</si>
  <si>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</si>
  <si>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</si>
  <si>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</si>
  <si>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</si>
  <si>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</si>
  <si>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</si>
  <si>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</si>
  <si>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</si>
  <si>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</si>
  <si>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</si>
  <si>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</si>
  <si>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</si>
  <si>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</si>
  <si>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</si>
  <si>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</si>
  <si>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</si>
  <si>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</si>
  <si>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</si>
  <si>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</si>
  <si>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</si>
  <si>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</si>
  <si>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</si>
  <si>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</si>
  <si>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</si>
  <si>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</si>
  <si>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</si>
  <si>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</si>
  <si>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</si>
  <si>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</si>
  <si>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</si>
  <si>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</si>
  <si>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</si>
  <si>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</si>
  <si>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</si>
  <si>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</si>
  <si>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</si>
  <si>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</si>
  <si>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</si>
  <si>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</si>
  <si>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</si>
  <si>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</si>
  <si>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</si>
  <si>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</si>
  <si>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</si>
  <si>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</si>
  <si>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</si>
  <si>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</si>
  <si>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</si>
  <si>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</si>
  <si>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</si>
  <si>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</si>
  <si>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</si>
  <si>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</si>
  <si>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</si>
  <si>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</si>
  <si>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</si>
  <si>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</si>
  <si>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</si>
  <si>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</si>
  <si>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</si>
  <si>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</si>
  <si>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</si>
  <si>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</si>
  <si>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</si>
  <si>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</si>
  <si>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</si>
  <si>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</si>
  <si>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</si>
  <si>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</si>
  <si>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</si>
  <si>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</si>
  <si>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</si>
  <si>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</si>
  <si>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</si>
  <si>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</si>
  <si>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</si>
  <si>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</si>
  <si>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</si>
  <si>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</si>
  <si>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</si>
  <si>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</si>
  <si>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</si>
  <si>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</si>
  <si>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</si>
  <si>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</si>
  <si>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</si>
  <si>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</si>
  <si>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</si>
  <si>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</si>
  <si>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</si>
  <si>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</si>
  <si>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</si>
  <si>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</si>
  <si>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</si>
  <si>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</si>
  <si>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</si>
  <si>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</si>
  <si>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</si>
  <si>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</si>
  <si>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</si>
  <si>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</si>
  <si>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</si>
  <si>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</si>
  <si>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</si>
  <si>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</si>
  <si>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</si>
  <si>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</si>
  <si>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</si>
  <si>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</si>
  <si>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</si>
  <si>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</si>
  <si>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</si>
  <si>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</si>
  <si>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</si>
  <si>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</si>
  <si>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</si>
  <si>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</si>
  <si>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</si>
  <si>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</si>
  <si>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</si>
  <si>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</si>
  <si>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</si>
  <si>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</si>
  <si>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</si>
  <si>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</si>
  <si>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</si>
  <si>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</si>
  <si>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</si>
  <si>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</si>
  <si>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</si>
  <si>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</si>
  <si>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</si>
  <si>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</si>
  <si>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</si>
  <si>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</si>
  <si>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</si>
  <si>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</si>
  <si>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</si>
  <si>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</si>
  <si>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</si>
  <si>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</si>
  <si>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</si>
  <si>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</si>
  <si>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</si>
  <si>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</si>
  <si>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</si>
  <si>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</si>
  <si>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</si>
  <si>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</si>
  <si>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</si>
  <si>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</si>
  <si>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</si>
  <si>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</si>
  <si>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</si>
  <si>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</si>
  <si>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</si>
  <si>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</si>
  <si>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</si>
  <si>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</si>
  <si>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</si>
  <si>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</si>
  <si>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</si>
  <si>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</si>
  <si>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</si>
  <si>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</si>
  <si>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</si>
  <si>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</si>
  <si>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</si>
  <si>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</si>
  <si>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</si>
  <si>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</si>
  <si>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</si>
  <si>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</si>
  <si>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</si>
  <si>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</si>
  <si>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</si>
  <si>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</si>
  <si>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</si>
  <si>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</si>
  <si>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</si>
  <si>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</si>
  <si>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</si>
  <si>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</si>
  <si>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</si>
  <si>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</si>
  <si>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</si>
  <si>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</si>
  <si>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</si>
  <si>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</si>
  <si>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</si>
  <si>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</si>
  <si>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</si>
  <si>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</si>
  <si>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</si>
  <si>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</si>
  <si>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</si>
  <si>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</si>
  <si>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</si>
  <si>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</si>
  <si>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</si>
  <si>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</si>
  <si>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</si>
  <si>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</si>
  <si>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</si>
  <si>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</si>
  <si>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</si>
  <si>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</si>
  <si>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</si>
  <si>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</si>
  <si>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</si>
  <si>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</si>
  <si>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</si>
  <si>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</si>
  <si>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</si>
  <si>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</si>
  <si>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</si>
  <si>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</si>
  <si>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</si>
  <si>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</si>
  <si>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</si>
  <si>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</si>
  <si>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</si>
  <si>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</si>
  <si>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</si>
  <si>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</si>
  <si>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</si>
  <si>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</si>
  <si>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</si>
  <si>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</si>
  <si>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</si>
  <si>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</si>
  <si>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</si>
  <si>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</si>
  <si>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</si>
  <si>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</si>
  <si>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</si>
  <si>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</si>
  <si>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</si>
  <si>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</si>
  <si>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</si>
  <si>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</si>
  <si>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</si>
  <si>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</si>
  <si>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</si>
  <si>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</si>
  <si>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</si>
  <si>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</si>
  <si>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</si>
  <si>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</si>
  <si>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</si>
  <si>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</si>
  <si>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</si>
  <si>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</si>
  <si>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</si>
  <si>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</si>
  <si>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</si>
  <si>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</si>
  <si>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</si>
  <si>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</si>
  <si>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</si>
  <si>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</si>
  <si>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</si>
  <si>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</si>
  <si>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</si>
  <si>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</si>
  <si>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</si>
  <si>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</si>
  <si>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</si>
  <si>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</si>
  <si>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</si>
  <si>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</si>
  <si>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</si>
  <si>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</si>
  <si>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</si>
  <si>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</si>
  <si>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</si>
  <si>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</si>
  <si>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</si>
  <si>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</si>
  <si>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</si>
  <si>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</si>
  <si>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</si>
  <si>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</si>
  <si>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</si>
  <si>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</si>
  <si>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</si>
  <si>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</si>
  <si>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</si>
  <si>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</si>
  <si>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</si>
  <si>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</si>
  <si>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</si>
  <si>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</si>
  <si>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</si>
  <si>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</si>
  <si>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</si>
  <si>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</si>
  <si>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</si>
  <si>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</si>
  <si>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</si>
  <si>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</si>
  <si>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</si>
  <si>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</si>
  <si>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</si>
  <si>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</si>
  <si>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</si>
  <si>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</si>
  <si>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</si>
  <si>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</si>
  <si>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</si>
  <si>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</si>
  <si>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</si>
  <si>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</si>
  <si>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</si>
  <si>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</si>
  <si>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</si>
  <si>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</si>
  <si>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</si>
  <si>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</si>
  <si>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</si>
  <si>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</si>
  <si>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</si>
  <si>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</si>
  <si>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</si>
  <si>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</si>
  <si>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</si>
  <si>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</si>
  <si>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</si>
  <si>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</si>
  <si>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</si>
  <si>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</si>
  <si>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</si>
  <si>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</si>
  <si>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</si>
  <si>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</si>
  <si>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</si>
  <si>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</si>
  <si>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</si>
  <si>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</si>
  <si>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</si>
  <si>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</si>
  <si>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</si>
  <si>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</si>
  <si>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</si>
  <si>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</si>
  <si>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</si>
  <si>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</si>
  <si>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</si>
  <si>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</si>
  <si>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</si>
  <si>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</si>
  <si>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</si>
  <si>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</si>
  <si>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</si>
  <si>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</si>
  <si>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</si>
  <si>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</si>
  <si>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</si>
  <si>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</si>
  <si>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</si>
  <si>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</si>
  <si>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</si>
  <si>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</si>
  <si>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</si>
  <si>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</si>
  <si>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</si>
  <si>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</si>
  <si>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</si>
  <si>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</si>
  <si>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</si>
  <si>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</si>
  <si>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</si>
  <si>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</si>
  <si>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</si>
  <si>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</si>
  <si>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</si>
  <si>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</si>
  <si>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</si>
  <si>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</si>
  <si>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</si>
  <si>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</si>
  <si>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</si>
  <si>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</si>
  <si>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</si>
  <si>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</si>
  <si>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</si>
  <si>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</si>
  <si>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</si>
  <si>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</si>
  <si>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</si>
  <si>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</si>
  <si>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</si>
  <si>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</si>
  <si>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</si>
  <si>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</si>
  <si>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</si>
  <si>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</si>
  <si>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</si>
  <si>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</si>
  <si>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</si>
  <si>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</si>
  <si>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</si>
  <si>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</si>
  <si>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</si>
  <si>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</si>
  <si>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</si>
  <si>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</si>
  <si>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</si>
  <si>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</si>
  <si>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</si>
  <si>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</si>
  <si>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</si>
  <si>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</si>
  <si>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</si>
  <si>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</si>
  <si>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</si>
  <si>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</si>
  <si>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</si>
  <si>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</si>
  <si>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</si>
  <si>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</si>
  <si>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</si>
  <si>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</si>
  <si>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</si>
  <si>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</si>
  <si>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</si>
  <si>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</si>
  <si>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</si>
  <si>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</si>
  <si>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</si>
  <si>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</si>
  <si>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</si>
  <si>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</si>
  <si>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</si>
  <si>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</si>
  <si>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</si>
  <si>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</si>
  <si>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</si>
  <si>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</si>
  <si>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</si>
  <si>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</si>
  <si>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</si>
  <si>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</si>
  <si>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</si>
  <si>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</si>
  <si>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</si>
  <si>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</si>
  <si>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</si>
  <si>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</si>
  <si>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</si>
  <si>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</si>
  <si>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</si>
  <si>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</si>
  <si>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</si>
  <si>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</si>
  <si>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</si>
  <si>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</si>
  <si>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</si>
  <si>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</si>
  <si>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</si>
  <si>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</si>
  <si>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</si>
  <si>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</si>
  <si>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</si>
  <si>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</si>
  <si>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</si>
  <si>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</si>
  <si>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</si>
  <si>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</si>
  <si>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</si>
  <si>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</si>
  <si>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</si>
  <si>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</si>
  <si>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</si>
  <si>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</si>
  <si>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</si>
  <si>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</si>
  <si>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</si>
  <si>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</si>
  <si>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</si>
  <si>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</si>
  <si>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</si>
  <si>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</si>
  <si>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</si>
  <si>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</si>
  <si>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</si>
  <si>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</si>
  <si>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</si>
  <si>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</si>
  <si>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</si>
  <si>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</si>
  <si>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</si>
  <si>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</si>
  <si>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</si>
  <si>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</si>
  <si>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</si>
  <si>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</si>
  <si>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</si>
  <si>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</si>
  <si>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</si>
  <si>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</si>
  <si>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</si>
  <si>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</si>
  <si>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</si>
  <si>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</si>
  <si>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</si>
  <si>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</si>
  <si>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</si>
  <si>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</si>
  <si>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</si>
  <si>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</si>
  <si>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</si>
  <si>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</si>
  <si>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</si>
  <si>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</si>
  <si>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</si>
  <si>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</si>
  <si>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</si>
  <si>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</si>
  <si>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</si>
  <si>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</si>
  <si>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</si>
  <si>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</si>
  <si>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</si>
  <si>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</si>
  <si>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</si>
  <si>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</si>
  <si>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</si>
  <si>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</si>
  <si>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</si>
  <si>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</si>
  <si>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</si>
  <si>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</si>
  <si>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</si>
  <si>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</si>
  <si>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</si>
  <si>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</si>
  <si>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</si>
  <si>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</si>
  <si>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</si>
  <si>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</si>
  <si>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</si>
  <si>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</si>
  <si>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</si>
  <si>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</si>
  <si>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</si>
  <si>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</si>
  <si>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</si>
  <si>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</si>
  <si>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</si>
  <si>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</si>
  <si>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</si>
  <si>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</si>
  <si>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</si>
  <si>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</si>
  <si>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</si>
  <si>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</si>
  <si>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</si>
  <si>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</si>
  <si>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</si>
  <si>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</si>
  <si>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</si>
  <si>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</si>
  <si>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</si>
  <si>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</si>
  <si>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</si>
  <si>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</si>
  <si>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</si>
  <si>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</si>
  <si>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</si>
  <si>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</si>
  <si>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</si>
  <si>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</si>
  <si>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</si>
  <si>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</si>
  <si>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</si>
  <si>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</si>
  <si>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</si>
  <si>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</si>
  <si>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</si>
  <si>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</si>
  <si>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</si>
  <si>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</si>
  <si>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</si>
  <si>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</si>
  <si>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</si>
  <si>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</si>
  <si>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</si>
  <si>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</si>
  <si>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</si>
  <si>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</si>
  <si>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</si>
  <si>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</si>
  <si>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</si>
  <si>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</si>
  <si>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</si>
  <si>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</si>
  <si>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</si>
  <si>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</si>
  <si>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</si>
  <si>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</si>
  <si>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</si>
  <si>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</si>
  <si>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</si>
  <si>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</si>
  <si>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</si>
  <si>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</si>
  <si>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</si>
  <si>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</si>
  <si>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</si>
  <si>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</si>
  <si>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</si>
  <si>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</si>
  <si>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</si>
  <si>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</si>
  <si>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</si>
  <si>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</si>
  <si>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</si>
  <si>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</si>
  <si>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</si>
  <si>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</si>
  <si>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</si>
  <si>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</si>
  <si>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</si>
  <si>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</si>
  <si>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</si>
  <si>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</si>
  <si>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</si>
  <si>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</si>
  <si>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</si>
  <si>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</si>
  <si>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</si>
  <si>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</si>
  <si>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</si>
  <si>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</si>
  <si>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</si>
  <si>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</si>
  <si>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</si>
  <si>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</si>
  <si>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</si>
  <si>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</si>
  <si>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</si>
  <si>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</si>
  <si>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</si>
  <si>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</si>
  <si>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</si>
  <si>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</si>
  <si>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</si>
  <si>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</si>
  <si>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</si>
  <si>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</si>
  <si>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</si>
  <si>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</si>
  <si>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</si>
  <si>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</si>
  <si>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</si>
  <si>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</si>
  <si>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</si>
  <si>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</si>
  <si>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</si>
  <si>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</si>
  <si>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</si>
  <si>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</si>
  <si>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</si>
  <si>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</si>
  <si>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</si>
  <si>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</si>
  <si>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</si>
  <si>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</si>
  <si>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</si>
  <si>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</si>
  <si>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</si>
  <si>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</si>
  <si>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</si>
  <si>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</si>
  <si>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</si>
  <si>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</si>
  <si>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</si>
  <si>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</si>
  <si>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</si>
  <si>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</si>
  <si>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</si>
  <si>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</si>
  <si>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</si>
  <si>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</si>
  <si>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</si>
  <si>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</si>
  <si>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</si>
  <si>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</si>
  <si>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</si>
  <si>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</si>
  <si>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</si>
  <si>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</si>
  <si>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</si>
  <si>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</si>
  <si>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</si>
  <si>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</si>
  <si>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</si>
  <si>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</si>
  <si>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</si>
  <si>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</si>
  <si>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</si>
  <si>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</si>
  <si>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</si>
  <si>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</si>
  <si>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</si>
  <si>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</si>
  <si>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</si>
  <si>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</si>
  <si>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</si>
  <si>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</si>
  <si>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</si>
  <si>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</si>
  <si>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</si>
  <si>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</si>
  <si>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</si>
  <si>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</si>
  <si>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</si>
  <si>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</si>
  <si>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</si>
  <si>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</si>
  <si>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</si>
  <si>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</si>
  <si>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</si>
  <si>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</si>
  <si>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</si>
  <si>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</si>
  <si>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</si>
  <si>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</si>
  <si>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</si>
  <si>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</si>
  <si>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</si>
  <si>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</si>
  <si>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</si>
  <si>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</si>
  <si>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</si>
  <si>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</si>
  <si>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</si>
  <si>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</si>
  <si>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</si>
  <si>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</si>
  <si>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</si>
  <si>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</si>
  <si>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</si>
  <si>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</si>
  <si>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</si>
  <si>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</si>
  <si>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</si>
  <si>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</si>
  <si>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</si>
  <si>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</si>
  <si>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</si>
  <si>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</si>
  <si>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</si>
  <si>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</si>
  <si>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</si>
  <si>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</si>
  <si>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</si>
  <si>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</si>
  <si>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</si>
  <si>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</si>
  <si>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</si>
  <si>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</si>
  <si>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</si>
  <si>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</si>
  <si>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</si>
  <si>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</si>
  <si>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</si>
  <si>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</si>
  <si>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</si>
  <si>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</si>
  <si>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</si>
  <si>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</si>
  <si>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</si>
  <si>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</si>
  <si>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</si>
  <si>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</si>
  <si>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</si>
  <si>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</si>
  <si>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</si>
  <si>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</si>
  <si>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</si>
  <si>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</si>
  <si>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</si>
  <si>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</si>
  <si>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</si>
  <si>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</si>
  <si>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</si>
  <si>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</si>
  <si>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</si>
  <si>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</si>
  <si>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</si>
  <si>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</si>
  <si>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</si>
  <si>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</si>
  <si>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</si>
  <si>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</si>
  <si>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</si>
  <si>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</si>
  <si>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</si>
  <si>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</si>
  <si>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</si>
  <si>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</si>
  <si>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</si>
  <si>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</si>
  <si>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</si>
  <si>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</si>
  <si>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</si>
  <si>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</si>
  <si>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</si>
  <si>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</si>
  <si>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</si>
  <si>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</si>
  <si>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</si>
  <si>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</si>
  <si>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</si>
  <si>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</si>
  <si>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</si>
  <si>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</si>
  <si>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</si>
  <si>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</si>
  <si>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</si>
  <si>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</si>
  <si>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</si>
  <si>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</si>
  <si>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</si>
  <si>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</si>
  <si>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</si>
  <si>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</si>
  <si>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</si>
  <si>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</si>
  <si>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</si>
  <si>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</si>
  <si>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</si>
  <si>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</si>
  <si>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</si>
  <si>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</si>
  <si>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</si>
  <si>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</si>
  <si>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</si>
  <si>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</si>
  <si>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</si>
  <si>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</si>
  <si>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</si>
  <si>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</si>
  <si>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</si>
  <si>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</si>
  <si>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</si>
  <si>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</si>
  <si>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</si>
  <si>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</si>
  <si>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</si>
  <si>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</si>
  <si>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</si>
  <si>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</si>
  <si>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</si>
  <si>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</si>
  <si>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</si>
  <si>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</si>
  <si>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</si>
  <si>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</si>
  <si>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</si>
  <si>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</si>
  <si>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</si>
  <si>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</si>
  <si>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</si>
  <si>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</si>
  <si>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</si>
  <si>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</si>
  <si>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</si>
  <si>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</si>
  <si>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</si>
  <si>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</si>
  <si>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</si>
  <si>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</si>
  <si>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</si>
  <si>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</si>
  <si>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</si>
  <si>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</si>
  <si>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</si>
  <si>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</si>
  <si>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</si>
  <si>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</si>
  <si>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</si>
  <si>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</si>
  <si>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</si>
  <si>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</si>
  <si>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</si>
  <si>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</si>
  <si>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</si>
  <si>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</si>
  <si>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</si>
  <si>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</si>
  <si>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</si>
  <si>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</si>
  <si>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</si>
  <si>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</si>
  <si>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</si>
  <si>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</si>
  <si>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</si>
  <si>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</si>
  <si>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</si>
  <si>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</si>
  <si>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</si>
  <si>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</si>
  <si>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</si>
  <si>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</si>
  <si>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</si>
  <si>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</si>
  <si>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</si>
  <si>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</si>
  <si>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</si>
  <si>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</si>
  <si>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</si>
  <si>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</si>
  <si>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</si>
  <si>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</si>
  <si>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</si>
  <si>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</si>
  <si>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</si>
  <si>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</si>
  <si>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</si>
  <si>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</si>
  <si>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</si>
  <si>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</si>
  <si>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</si>
  <si>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</si>
  <si>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</si>
  <si>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</si>
  <si>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</si>
  <si>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</si>
  <si>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</si>
  <si>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</si>
  <si>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</si>
  <si>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</si>
  <si>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</si>
  <si>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</si>
  <si>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</si>
  <si>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</si>
  <si>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</si>
  <si>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</si>
  <si>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</si>
  <si>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</si>
  <si>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</si>
  <si>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</si>
  <si>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</si>
  <si>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</si>
  <si>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</si>
  <si>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</si>
  <si>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</si>
  <si>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</si>
  <si>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</si>
  <si>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</si>
  <si>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</si>
  <si>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</si>
  <si>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</si>
  <si>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</si>
  <si>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</si>
  <si>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</si>
  <si>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</si>
  <si>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</si>
  <si>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</si>
  <si>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</si>
  <si>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</si>
  <si>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</si>
  <si>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</si>
  <si>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</si>
  <si>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</si>
  <si>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</si>
  <si>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</si>
  <si>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</si>
  <si>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</si>
  <si>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</si>
  <si>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</si>
  <si>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</si>
  <si>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</si>
  <si>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</si>
  <si>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</si>
  <si>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</si>
  <si>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</si>
  <si>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</si>
  <si>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</si>
  <si>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</si>
  <si>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</si>
  <si>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</si>
  <si>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</si>
  <si>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</si>
  <si>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</si>
  <si>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</si>
  <si>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</si>
  <si>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</si>
  <si>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</si>
  <si>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</si>
  <si>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</si>
  <si>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</si>
  <si>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</si>
  <si>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</si>
  <si>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</si>
  <si>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</si>
  <si>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</si>
  <si>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</si>
  <si>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</si>
  <si>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</si>
  <si>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</si>
  <si>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</si>
  <si>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</si>
  <si>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</si>
  <si>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</si>
  <si>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</si>
  <si>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</si>
  <si>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</si>
  <si>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</si>
  <si>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</si>
  <si>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</si>
  <si>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</si>
  <si>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</si>
  <si>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</si>
  <si>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</si>
  <si>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</si>
  <si>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</si>
  <si>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</si>
  <si>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</si>
  <si>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</si>
  <si>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</si>
  <si>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</si>
  <si>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</si>
  <si>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</si>
  <si>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</si>
  <si>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</si>
  <si>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</si>
  <si>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</si>
  <si>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</si>
  <si>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</si>
  <si>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</si>
  <si>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</si>
  <si>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</si>
  <si>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</si>
  <si>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</si>
  <si>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</si>
  <si>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</si>
  <si>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</si>
  <si>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</si>
  <si>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</si>
  <si>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</si>
  <si>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</si>
  <si>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</si>
  <si>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</si>
  <si>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</si>
  <si>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</si>
  <si>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</si>
  <si>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</si>
  <si>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</si>
  <si>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</si>
  <si>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</si>
  <si>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</si>
  <si>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</si>
  <si>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</si>
  <si>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</si>
  <si>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</si>
  <si>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</si>
  <si>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</si>
  <si>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</si>
  <si>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</si>
  <si>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</si>
  <si>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</si>
  <si>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</si>
  <si>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</si>
  <si>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</si>
  <si>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</si>
  <si>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</si>
  <si>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</si>
  <si>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</si>
  <si>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</si>
  <si>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</si>
  <si>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</si>
  <si>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</si>
  <si>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</si>
  <si>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</si>
  <si>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</si>
  <si>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</si>
  <si>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</si>
  <si>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</si>
  <si>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</si>
  <si>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</si>
  <si>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</si>
  <si>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</si>
  <si>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</si>
  <si>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</si>
  <si>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</si>
  <si>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</si>
  <si>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</si>
  <si>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</si>
  <si>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</si>
  <si>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</si>
  <si>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</si>
  <si>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</si>
  <si>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</si>
  <si>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</si>
  <si>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</si>
  <si>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</si>
  <si>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</si>
  <si>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</si>
  <si>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</si>
  <si>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</si>
  <si>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</si>
  <si>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</si>
  <si>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</si>
  <si>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</si>
  <si>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</si>
  <si>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</si>
  <si>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</si>
  <si>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</si>
  <si>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</si>
  <si>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</si>
  <si>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</si>
  <si>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</si>
  <si>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</si>
  <si>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</si>
  <si>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</si>
  <si>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</si>
  <si>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</si>
  <si>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</si>
  <si>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</si>
  <si>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</si>
  <si>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</si>
  <si>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</si>
  <si>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</si>
  <si>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</si>
  <si>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</si>
  <si>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</si>
  <si>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</si>
  <si>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</si>
  <si>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</si>
  <si>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</si>
  <si>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</si>
  <si>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</si>
  <si>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</si>
  <si>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</si>
  <si>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</si>
  <si>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</si>
  <si>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</si>
  <si>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</si>
  <si>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</si>
  <si>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</si>
  <si>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</si>
  <si>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</si>
  <si>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</si>
  <si>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</si>
  <si>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</si>
  <si>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</si>
  <si>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</si>
  <si>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</si>
  <si>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</si>
  <si>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</si>
  <si>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</si>
  <si>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</si>
  <si>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</si>
  <si>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</si>
  <si>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</si>
  <si>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</si>
  <si>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</si>
  <si>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</si>
  <si>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</si>
  <si>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</si>
  <si>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</si>
  <si>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</si>
  <si>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</si>
  <si>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</si>
  <si>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</si>
  <si>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</si>
  <si>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</si>
  <si>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</si>
  <si>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</si>
  <si>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</si>
  <si>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</si>
  <si>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</si>
  <si>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</si>
  <si>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</si>
  <si>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</si>
  <si>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</si>
  <si>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</si>
  <si>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</si>
  <si>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</si>
  <si>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</si>
  <si>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</si>
  <si>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</si>
  <si>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</si>
  <si>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</si>
  <si>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</si>
  <si>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</si>
  <si>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</si>
  <si>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</si>
  <si>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</si>
  <si>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</si>
  <si>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</si>
  <si>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</si>
  <si>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</si>
  <si>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</si>
  <si>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</si>
  <si>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</si>
  <si>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</si>
  <si>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</si>
  <si>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</si>
  <si>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</si>
  <si>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</si>
  <si>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</si>
  <si>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</si>
  <si>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</si>
  <si>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</si>
  <si>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</si>
  <si>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</si>
  <si>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</si>
  <si>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</si>
  <si>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</si>
  <si>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</si>
  <si>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</si>
  <si>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</si>
  <si>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</si>
  <si>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</si>
  <si>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</si>
  <si>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</si>
  <si>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</si>
  <si>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</si>
  <si>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</si>
  <si>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</si>
  <si>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</si>
  <si>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</si>
  <si>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</si>
  <si>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</si>
  <si>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</si>
  <si>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</si>
  <si>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</si>
  <si>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</si>
  <si>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</si>
  <si>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</si>
  <si>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</si>
  <si>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</si>
  <si>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</si>
  <si>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</si>
  <si>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</si>
  <si>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</si>
  <si>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</si>
  <si>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</si>
  <si>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</si>
  <si>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</si>
  <si>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</si>
  <si>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</si>
  <si>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</si>
  <si>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</si>
  <si>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</si>
  <si>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</si>
  <si>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</si>
  <si>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</si>
  <si>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</si>
  <si>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</si>
  <si>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</si>
  <si>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</si>
  <si>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</si>
  <si>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</si>
  <si>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</si>
  <si>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</si>
  <si>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</si>
  <si>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</si>
  <si>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</si>
  <si>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</si>
  <si>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</si>
  <si>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</si>
  <si>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</si>
  <si>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</si>
  <si>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</si>
  <si>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</si>
  <si>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</si>
  <si>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</si>
  <si>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</si>
  <si>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</si>
  <si>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</si>
  <si>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</si>
  <si>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</si>
  <si>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</si>
  <si>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</si>
  <si>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</si>
  <si>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</si>
  <si>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</si>
  <si>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</si>
  <si>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</si>
  <si>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</si>
  <si>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</si>
  <si>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</si>
  <si>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</si>
  <si>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</si>
  <si>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</si>
  <si>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</si>
  <si>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</si>
  <si>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</si>
  <si>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</si>
  <si>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</si>
  <si>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</si>
  <si>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</si>
  <si>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</si>
  <si>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</si>
  <si>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</si>
  <si>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</si>
  <si>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</si>
  <si>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</si>
  <si>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</si>
  <si>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</si>
  <si>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</si>
  <si>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</si>
  <si>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</si>
  <si>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</si>
  <si>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</si>
  <si>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</si>
  <si>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</si>
  <si>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</si>
  <si>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</si>
  <si>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</si>
  <si>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</si>
  <si>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</si>
  <si>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</si>
  <si>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</si>
  <si>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</si>
  <si>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</si>
  <si>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</si>
  <si>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</si>
  <si>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</si>
  <si>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</si>
  <si>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</si>
  <si>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</si>
  <si>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</si>
  <si>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</si>
  <si>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</si>
  <si>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</si>
  <si>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</si>
  <si>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</si>
  <si>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</si>
  <si>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</si>
  <si>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</si>
  <si>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</si>
  <si>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</si>
  <si>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</si>
  <si>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</si>
  <si>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</si>
  <si>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</si>
  <si>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</si>
  <si>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</si>
  <si>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</si>
  <si>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</si>
  <si>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</si>
  <si>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</si>
  <si>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</si>
  <si>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</si>
  <si>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</si>
  <si>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</si>
  <si>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</si>
  <si>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</si>
  <si>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</si>
  <si>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</si>
  <si>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</si>
  <si>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</si>
  <si>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</si>
  <si>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</si>
  <si>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</si>
  <si>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</si>
  <si>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</si>
  <si>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</si>
  <si>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</si>
  <si>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</si>
  <si>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</si>
  <si>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</si>
  <si>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</si>
  <si>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</si>
  <si>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</si>
  <si>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</si>
  <si>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</si>
  <si>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</si>
  <si>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</si>
  <si>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</si>
  <si>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</si>
  <si>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</si>
  <si>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</si>
  <si>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</si>
  <si>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</si>
  <si>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</si>
  <si>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</si>
  <si>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</si>
  <si>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</si>
  <si>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</si>
  <si>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</si>
  <si>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</si>
  <si>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</si>
  <si>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</si>
  <si>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</si>
  <si>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</si>
  <si>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</si>
  <si>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</si>
  <si>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</si>
  <si>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</si>
  <si>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</si>
  <si>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</si>
  <si>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</si>
  <si>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</si>
  <si>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</si>
  <si>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</si>
  <si>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</si>
  <si>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</si>
  <si>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</si>
  <si>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</si>
  <si>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</si>
  <si>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</si>
  <si>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</si>
  <si>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</si>
  <si>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</si>
  <si>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</si>
  <si>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</si>
  <si>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</si>
  <si>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</si>
  <si>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</si>
  <si>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</si>
  <si>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</si>
  <si>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</si>
  <si>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</si>
  <si>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</si>
  <si>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</si>
  <si>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</si>
  <si>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</si>
  <si>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</si>
  <si>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</si>
  <si>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</si>
  <si>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</si>
  <si>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</si>
  <si>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</si>
  <si>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</si>
  <si>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</si>
  <si>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</si>
  <si>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</si>
  <si>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</si>
  <si>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</si>
  <si>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</si>
  <si>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</si>
  <si>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</si>
  <si>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</si>
  <si>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</si>
  <si>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</si>
  <si>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</si>
  <si>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</si>
  <si>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</si>
  <si>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</si>
  <si>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</si>
  <si>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</si>
  <si>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</si>
  <si>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</si>
  <si>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</si>
  <si>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</si>
  <si>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</si>
  <si>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</si>
  <si>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</si>
  <si>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</si>
  <si>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</si>
  <si>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</si>
  <si>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</si>
  <si>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</si>
  <si>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</si>
  <si>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</si>
  <si>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</si>
  <si>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</si>
  <si>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</si>
  <si>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</si>
  <si>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</si>
  <si>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</si>
  <si>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</si>
  <si>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</si>
  <si>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</si>
  <si>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</si>
  <si>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</si>
  <si>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</si>
  <si>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</si>
  <si>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</si>
  <si>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</si>
  <si>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</si>
  <si>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</si>
  <si>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</si>
  <si>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</si>
  <si>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</si>
  <si>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</si>
  <si>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</si>
  <si>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</si>
  <si>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</si>
  <si>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</si>
  <si>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</si>
  <si>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</si>
  <si>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</si>
  <si>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</si>
  <si>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</si>
  <si>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</si>
  <si>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</si>
  <si>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</si>
  <si>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</si>
  <si>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</si>
  <si>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</si>
  <si>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</si>
  <si>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</si>
  <si>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</si>
  <si>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</si>
  <si>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</si>
  <si>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</si>
  <si>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</si>
  <si>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</si>
  <si>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</si>
  <si>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</si>
  <si>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</si>
  <si>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</si>
  <si>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</si>
  <si>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</si>
  <si>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</si>
  <si>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</si>
  <si>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</si>
  <si>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</si>
  <si>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</si>
  <si>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</si>
  <si>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</si>
  <si>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</si>
  <si>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</si>
  <si>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</si>
  <si>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</si>
  <si>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</si>
  <si>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</si>
  <si>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</si>
  <si>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</si>
  <si>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</si>
  <si>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</si>
  <si>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</si>
  <si>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</si>
  <si>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</si>
  <si>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</si>
  <si>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</si>
  <si>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</si>
  <si>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</si>
  <si>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</si>
  <si>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</si>
  <si>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</si>
  <si>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</si>
  <si>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</si>
  <si>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</si>
  <si>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</si>
  <si>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</si>
  <si>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</si>
  <si>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</si>
  <si>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</si>
  <si>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</si>
  <si>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</si>
  <si>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</si>
  <si>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</si>
  <si>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</si>
  <si>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</si>
  <si>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</si>
  <si>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</si>
  <si>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</si>
  <si>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</si>
  <si>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</si>
  <si>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</si>
  <si>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</si>
  <si>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</si>
  <si>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</si>
  <si>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</si>
  <si>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</si>
  <si>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</si>
  <si>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</si>
  <si>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</si>
  <si>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</si>
  <si>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</si>
  <si>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</si>
  <si>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</si>
  <si>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</si>
  <si>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</si>
  <si>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</si>
  <si>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</si>
  <si>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</si>
  <si>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</si>
  <si>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</si>
  <si>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</si>
  <si>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</si>
  <si>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</si>
  <si>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</si>
  <si>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</si>
  <si>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</si>
  <si>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</si>
  <si>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</si>
  <si>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</si>
  <si>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</si>
  <si>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</si>
  <si>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</si>
  <si>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</si>
  <si>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</si>
  <si>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</si>
  <si>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</si>
  <si>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</si>
  <si>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</si>
  <si>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</si>
  <si>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</si>
  <si>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</si>
  <si>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</si>
  <si>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</si>
  <si>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</si>
  <si>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</si>
  <si>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</si>
  <si>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</si>
  <si>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</si>
  <si>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</si>
  <si>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</si>
  <si>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</si>
  <si>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</si>
  <si>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</si>
  <si>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</si>
  <si>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</si>
  <si>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</si>
  <si>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</si>
  <si>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</si>
  <si>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</si>
  <si>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</si>
  <si>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</si>
  <si>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</si>
  <si>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</si>
  <si>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</si>
  <si>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</si>
  <si>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</si>
  <si>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</si>
  <si>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</si>
  <si>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</si>
  <si>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</si>
  <si>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</si>
  <si>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</si>
  <si>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</si>
  <si>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</si>
  <si>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</si>
  <si>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</si>
  <si>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</si>
  <si>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</si>
  <si>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</si>
  <si>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</si>
  <si>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</si>
  <si>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</si>
  <si>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</si>
  <si>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</si>
  <si>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</si>
  <si>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</si>
  <si>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</si>
  <si>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</si>
  <si>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</si>
  <si>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</si>
  <si>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</si>
  <si>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</si>
  <si>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</si>
  <si>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</si>
  <si>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</si>
  <si>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</si>
  <si>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</si>
  <si>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</si>
  <si>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</si>
  <si>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</si>
  <si>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</si>
  <si>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</si>
  <si>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</si>
  <si>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</si>
  <si>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</si>
  <si>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</si>
  <si>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</si>
  <si>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</si>
  <si>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</si>
  <si>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</si>
  <si>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</si>
  <si>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</si>
  <si>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</si>
  <si>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</si>
  <si>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</si>
  <si>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</si>
  <si>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</si>
  <si>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</si>
  <si>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</si>
  <si>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</si>
  <si>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</si>
  <si>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</si>
  <si>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</si>
  <si>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</si>
  <si>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</si>
  <si>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</si>
  <si>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</si>
  <si>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</si>
  <si>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</si>
  <si>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</si>
  <si>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</si>
  <si>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</si>
  <si>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</si>
  <si>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</si>
  <si>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</si>
  <si>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</si>
  <si>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</si>
  <si>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</si>
  <si>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</si>
  <si>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</si>
  <si>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</si>
  <si>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</si>
  <si>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</si>
  <si>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</si>
  <si>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</si>
  <si>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</si>
  <si>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</si>
  <si>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</si>
  <si>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</si>
  <si>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</si>
  <si>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</si>
  <si>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</si>
  <si>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</si>
  <si>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</si>
  <si>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</si>
  <si>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</si>
  <si>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</si>
  <si>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</si>
  <si>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</si>
  <si>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</si>
  <si>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</si>
  <si>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</si>
  <si>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</si>
  <si>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</si>
  <si>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</si>
  <si>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</si>
  <si>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</si>
  <si>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</si>
  <si>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</si>
  <si>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</si>
  <si>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</si>
  <si>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</si>
  <si>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</si>
  <si>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</si>
  <si>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</si>
  <si>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</si>
  <si>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</si>
  <si>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</si>
  <si>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</si>
  <si>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</si>
  <si>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</si>
  <si>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</si>
  <si>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</si>
  <si>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</si>
  <si>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</si>
  <si>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</si>
  <si>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</si>
  <si>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</si>
  <si>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</si>
  <si>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</si>
  <si>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</si>
  <si>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</si>
  <si>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</si>
  <si>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</si>
  <si>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</si>
  <si>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</si>
  <si>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</si>
  <si>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</si>
  <si>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</si>
  <si>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</si>
  <si>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</si>
  <si>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</si>
  <si>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</si>
  <si>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</si>
  <si>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</si>
  <si>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</si>
  <si>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</si>
  <si>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</si>
  <si>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</si>
  <si>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</si>
  <si>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</si>
  <si>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</si>
  <si>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</si>
  <si>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</si>
  <si>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</si>
  <si>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</si>
  <si>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</si>
  <si>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</si>
  <si>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</si>
  <si>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</si>
  <si>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</si>
  <si>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</si>
  <si>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</si>
  <si>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</si>
  <si>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</si>
  <si>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</si>
  <si>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</si>
  <si>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</si>
  <si>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</si>
  <si>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</si>
  <si>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</si>
  <si>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</si>
  <si>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</si>
  <si>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</si>
  <si>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</si>
  <si>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</si>
  <si>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</si>
  <si>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</si>
  <si>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</si>
  <si>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</si>
  <si>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</si>
  <si>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</si>
  <si>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</si>
  <si>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</si>
  <si>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</si>
  <si>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</si>
  <si>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</si>
  <si>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</si>
  <si>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</si>
  <si>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</si>
  <si>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</si>
  <si>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</si>
  <si>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</si>
  <si>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</si>
  <si>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</si>
  <si>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</si>
  <si>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</si>
  <si>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</si>
  <si>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</si>
  <si>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</si>
  <si>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</si>
  <si>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</si>
  <si>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</si>
  <si>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</si>
  <si>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</si>
  <si>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</si>
  <si>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</si>
  <si>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</si>
  <si>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</si>
  <si>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</si>
  <si>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</si>
  <si>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</si>
  <si>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</si>
  <si>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</si>
  <si>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</si>
  <si>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</si>
  <si>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</si>
  <si>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</si>
  <si>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</si>
  <si>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</si>
  <si>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</si>
  <si>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</si>
  <si>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</si>
  <si>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</si>
  <si>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</si>
  <si>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</si>
  <si>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</si>
  <si>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</si>
  <si>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</si>
  <si>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</si>
  <si>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</si>
  <si>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</si>
  <si>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</si>
  <si>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</si>
  <si>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</si>
  <si>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</si>
  <si>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</si>
  <si>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</si>
  <si>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</si>
  <si>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</si>
  <si>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</si>
  <si>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</si>
  <si>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</si>
  <si>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</si>
  <si>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</si>
  <si>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</si>
  <si>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</si>
  <si>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</si>
  <si>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</si>
  <si>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</si>
  <si>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</si>
  <si>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</si>
  <si>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</si>
  <si>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</si>
  <si>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</si>
  <si>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</si>
  <si>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</si>
  <si>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</si>
  <si>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</si>
  <si>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</si>
  <si>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</si>
  <si>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</si>
  <si>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</si>
  <si>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</si>
  <si>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</si>
  <si>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</si>
  <si>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</si>
  <si>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</si>
  <si>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</si>
  <si>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</si>
  <si>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</si>
  <si>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</si>
  <si>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</si>
  <si>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</si>
  <si>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</si>
  <si>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</si>
  <si>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</si>
  <si>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</si>
  <si>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</si>
  <si>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</si>
  <si>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</si>
  <si>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</si>
  <si>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</si>
  <si>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</si>
  <si>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</si>
  <si>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</si>
  <si>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</si>
  <si>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</si>
  <si>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</si>
  <si>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</si>
  <si>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</si>
  <si>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</si>
  <si>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</si>
  <si>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</si>
  <si>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</si>
  <si>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</si>
  <si>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</si>
  <si>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</si>
  <si>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</si>
  <si>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</si>
  <si>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</si>
  <si>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</si>
  <si>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</si>
  <si>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</si>
  <si>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</si>
  <si>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</si>
  <si>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</si>
  <si>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</si>
  <si>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</si>
  <si>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</si>
  <si>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</si>
  <si>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</si>
  <si>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</si>
  <si>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</si>
  <si>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</si>
  <si>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</si>
  <si>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</si>
  <si>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</si>
  <si>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</si>
  <si>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</si>
  <si>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</si>
  <si>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</si>
  <si>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</si>
  <si>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</si>
  <si>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</si>
  <si>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</si>
  <si>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</si>
  <si>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</si>
  <si>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</si>
  <si>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</si>
  <si>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</si>
  <si>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</si>
  <si>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</si>
  <si>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</si>
  <si>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</si>
  <si>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</si>
  <si>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</si>
  <si>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</si>
  <si>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</si>
  <si>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</si>
  <si>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</si>
  <si>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</si>
  <si>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</si>
  <si>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</si>
  <si>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</si>
  <si>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</si>
  <si>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</si>
  <si>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</si>
  <si>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</si>
  <si>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</si>
  <si>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</si>
  <si>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</si>
  <si>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</si>
  <si>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</si>
  <si>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</si>
  <si>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</si>
  <si>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</si>
  <si>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</si>
  <si>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</si>
  <si>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</si>
  <si>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</si>
  <si>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</si>
  <si>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</si>
  <si>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</si>
  <si>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</si>
  <si>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</si>
  <si>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</si>
  <si>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</si>
  <si>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</si>
  <si>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</si>
  <si>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</si>
  <si>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</si>
  <si>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</si>
  <si>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</si>
  <si>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</si>
  <si>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</si>
  <si>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</si>
  <si>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</si>
  <si>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</si>
  <si>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</si>
  <si>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</si>
  <si>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</si>
  <si>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</si>
  <si>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</si>
  <si>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</si>
  <si>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</si>
  <si>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</si>
  <si>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</si>
  <si>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</si>
  <si>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</si>
  <si>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</si>
  <si>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</si>
  <si>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</si>
  <si>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</si>
  <si>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</si>
  <si>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</si>
  <si>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</si>
  <si>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</si>
  <si>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</si>
  <si>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</si>
  <si>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</si>
  <si>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</si>
  <si>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</si>
  <si>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</si>
  <si>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</si>
  <si>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</si>
  <si>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</si>
  <si>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</si>
  <si>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</si>
  <si>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</si>
  <si>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</si>
  <si>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</si>
  <si>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</si>
  <si>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</si>
  <si>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</si>
  <si>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</si>
  <si>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</si>
  <si>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</si>
  <si>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</si>
  <si>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</si>
  <si>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</si>
  <si>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</si>
  <si>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</si>
  <si>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</si>
  <si>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</si>
  <si>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</si>
  <si>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</si>
  <si>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</si>
  <si>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</si>
  <si>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</si>
  <si>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</si>
  <si>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</si>
  <si>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</si>
  <si>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</si>
  <si>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</si>
  <si>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</si>
  <si>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</si>
  <si>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</si>
  <si>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</si>
  <si>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</si>
  <si>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</si>
  <si>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</si>
  <si>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</si>
  <si>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</si>
  <si>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</si>
  <si>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</si>
  <si>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</si>
  <si>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</si>
  <si>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</si>
  <si>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</si>
  <si>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</si>
  <si>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</si>
  <si>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</si>
  <si>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</si>
  <si>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</si>
  <si>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</si>
  <si>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</si>
  <si>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</si>
  <si>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</si>
  <si>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</si>
  <si>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</si>
  <si>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</si>
  <si>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</si>
  <si>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</si>
  <si>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</si>
  <si>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</si>
  <si>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</si>
  <si>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</si>
  <si>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</si>
  <si>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</si>
  <si>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</si>
  <si>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</si>
  <si>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</si>
  <si>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</si>
  <si>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</si>
  <si>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</si>
  <si>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</si>
  <si>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</si>
  <si>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</si>
  <si>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</si>
  <si>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</si>
  <si>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</si>
  <si>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</si>
  <si>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</si>
  <si>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</si>
  <si>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</si>
  <si>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</si>
  <si>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</si>
  <si>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</si>
  <si>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</si>
  <si>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</si>
  <si>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</si>
  <si>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</si>
  <si>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</si>
  <si>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</si>
  <si>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</si>
  <si>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</si>
  <si>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</si>
  <si>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</si>
  <si>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</si>
  <si>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</si>
  <si>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</si>
  <si>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</si>
  <si>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</si>
  <si>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</si>
  <si>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</si>
  <si>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</si>
  <si>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</si>
  <si>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</si>
  <si>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</si>
  <si>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</si>
  <si>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</si>
  <si>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</si>
  <si>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</si>
  <si>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</si>
  <si>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</si>
  <si>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</si>
  <si>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</si>
  <si>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</si>
  <si>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</si>
  <si>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</si>
  <si>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</si>
  <si>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</si>
  <si>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</si>
  <si>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</si>
  <si>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</si>
  <si>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</si>
  <si>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</si>
  <si>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</si>
  <si>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</si>
  <si>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</si>
  <si>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</si>
  <si>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</si>
  <si>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</si>
  <si>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</si>
  <si>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</si>
  <si>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</si>
  <si>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</si>
  <si>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</si>
  <si>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</si>
  <si>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</si>
  <si>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</si>
  <si>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</si>
  <si>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</si>
  <si>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</si>
  <si>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</si>
  <si>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</si>
  <si>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</si>
  <si>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</si>
  <si>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</si>
  <si>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</si>
  <si>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</si>
  <si>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</si>
  <si>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</si>
  <si>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</si>
  <si>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</si>
  <si>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</si>
  <si>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</si>
  <si>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</si>
  <si>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</si>
  <si>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</si>
  <si>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</si>
  <si>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</si>
  <si>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</si>
  <si>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</si>
  <si>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</si>
  <si>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2012</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</si>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</sst>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22700.402000000002</v>
      </c>
      <c r="F22" s="3419" t="str">
        <f t="shared" si="0"/>
        <v>NA</v>
      </c>
      <c r="G22" s="3395">
        <v>331.33007877272735</v>
      </c>
      <c r="H22" s="3374">
        <f t="shared" si="1"/>
        <v>1214.8769555000001</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31700</v>
      </c>
      <c r="F24" s="3419" t="str">
        <f t="shared" si="0"/>
        <v>NA</v>
      </c>
      <c r="G24" s="3395">
        <v>708.69272727272732</v>
      </c>
      <c r="H24" s="3374">
        <f t="shared" si="1"/>
        <v>2598.5400000000004</v>
      </c>
      <c r="I24" s="2579" t="s">
        <v>2147</v>
      </c>
      <c r="J24" s="2580"/>
      <c r="M24" s="125"/>
    </row>
    <row r="25" spans="2:13" ht="18" customHeight="1" x14ac:dyDescent="0.2">
      <c r="B25" s="165"/>
      <c r="C25" s="1563"/>
      <c r="D25" s="1452" t="s">
        <v>1789</v>
      </c>
      <c r="E25" s="3414">
        <v>16700</v>
      </c>
      <c r="F25" s="3419" t="str">
        <f t="shared" si="0"/>
        <v>NA</v>
      </c>
      <c r="G25" s="3395">
        <v>258.28254545454547</v>
      </c>
      <c r="H25" s="3374">
        <f t="shared" si="1"/>
        <v>947.03600000000006</v>
      </c>
      <c r="I25" s="2579" t="s">
        <v>2147</v>
      </c>
      <c r="J25" s="2580"/>
      <c r="M25" s="125"/>
    </row>
    <row r="26" spans="2:13" ht="18" customHeight="1" x14ac:dyDescent="0.2">
      <c r="B26" s="165"/>
      <c r="C26" s="1563"/>
      <c r="D26" s="1452" t="s">
        <v>1790</v>
      </c>
      <c r="E26" s="3418">
        <v>30305.981972834939</v>
      </c>
      <c r="F26" s="3419">
        <f t="shared" si="0"/>
        <v>23.905796704836888</v>
      </c>
      <c r="G26" s="3395">
        <v>724.48864398304318</v>
      </c>
      <c r="H26" s="3374">
        <f t="shared" si="1"/>
        <v>2656.4583612711581</v>
      </c>
      <c r="I26" s="3395">
        <v>2656.4583612711599</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26581.763996610167</v>
      </c>
      <c r="F28" s="3419">
        <f>IF(I28="NA","NA",I28/(44/12)*1000/E28)</f>
        <v>1.9174389619190115</v>
      </c>
      <c r="G28" s="3395">
        <v>398.32787721818181</v>
      </c>
      <c r="H28" s="3374">
        <f>IF(G28="NA","NA",IF(G28="NO","NO",G28*44/12))</f>
        <v>1460.5355497999999</v>
      </c>
      <c r="I28" s="3395">
        <v>186.88600319999998</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127988.14796944511</v>
      </c>
      <c r="F31" s="3359">
        <f t="shared" ref="F31" si="3">IF(I31="NA","NA",I31/(44/12)*1000/E31)</f>
        <v>6.0588231508108592</v>
      </c>
      <c r="G31" s="3423">
        <f>SUM(G11:G29)</f>
        <v>2421.1218727012251</v>
      </c>
      <c r="H31" s="3371">
        <f t="shared" ref="H31" si="4">IF(G31="NA","NA",IF(G31="NO","NO",G31*44/12))</f>
        <v>8877.4468665711593</v>
      </c>
      <c r="I31" s="3423">
        <f>SUM(I11:I29)</f>
        <v>2843.3443644711597</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t="s">
        <v>2147</v>
      </c>
      <c r="H34" s="3396" t="str">
        <f t="shared" ref="H34:H42" si="5">IF(G34="NA","NA",IF(G34="NO","NO",G34*44/12))</f>
        <v>NA</v>
      </c>
      <c r="I34" s="2363" t="s">
        <v>2153</v>
      </c>
      <c r="J34" s="2580"/>
      <c r="M34" s="125"/>
    </row>
    <row r="35" spans="2:13" ht="18" customHeight="1" x14ac:dyDescent="0.2">
      <c r="B35" s="1434"/>
      <c r="C35" s="1563"/>
      <c r="D35" s="1452" t="s">
        <v>261</v>
      </c>
      <c r="E35" s="3414">
        <v>34295.479800000001</v>
      </c>
      <c r="F35" s="3419">
        <f>IF(I35="NA","NA",I35/(44/12)*1000/E35)</f>
        <v>24.556565272382151</v>
      </c>
      <c r="G35" s="3399">
        <v>495.81044710363642</v>
      </c>
      <c r="H35" s="3396">
        <f t="shared" si="5"/>
        <v>1817.9716393800002</v>
      </c>
      <c r="I35" s="3395">
        <v>3087.9903569399999</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v>1.5465680454545501</v>
      </c>
      <c r="H37" s="3374">
        <f t="shared" si="5"/>
        <v>5.6707495000000172</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72319.290479999996</v>
      </c>
      <c r="F41" s="3419">
        <f t="shared" ref="F41" si="8">IF(I41="NA","NA",I41/(44/12)*1000/E41)</f>
        <v>28.753353101784974</v>
      </c>
      <c r="G41" s="3395">
        <v>1561.0505538816219</v>
      </c>
      <c r="H41" s="3396">
        <f t="shared" si="5"/>
        <v>5723.8520308992802</v>
      </c>
      <c r="I41" s="3395">
        <v>7624.5476825539863</v>
      </c>
      <c r="J41" s="3416" t="s">
        <v>2274</v>
      </c>
      <c r="M41" s="125"/>
    </row>
    <row r="42" spans="2:13" ht="18" customHeight="1" x14ac:dyDescent="0.2">
      <c r="B42" s="1434"/>
      <c r="C42" s="1564"/>
      <c r="D42" s="1452" t="s">
        <v>1792</v>
      </c>
      <c r="E42" s="3414">
        <v>12555.795018084338</v>
      </c>
      <c r="F42" s="3419">
        <f>IF(I42="NA","NA",I42/(44/12)*1000/E42)</f>
        <v>9.1236627869510514</v>
      </c>
      <c r="G42" s="3395">
        <v>218.97478786771208</v>
      </c>
      <c r="H42" s="3396">
        <f t="shared" si="5"/>
        <v>802.90755551494431</v>
      </c>
      <c r="I42" s="3395">
        <v>420.03441247929879</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119170.56529808433</v>
      </c>
      <c r="F45" s="3343">
        <f>IF(I45="NA","NA",I45/(44/12)*1000/E45)</f>
        <v>25.477399689017396</v>
      </c>
      <c r="G45" s="3423">
        <f>SUM(G33:G43)</f>
        <v>2277.3823568984249</v>
      </c>
      <c r="H45" s="3371">
        <f t="shared" ref="H45" si="9">IF(G45="NA","NA",IF(G45="NO","NO",G45*44/12))</f>
        <v>8350.401975294224</v>
      </c>
      <c r="I45" s="3423">
        <f>SUM(I33:I43)</f>
        <v>11132.572451973285</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49104.713062999988</v>
      </c>
      <c r="F47" s="3419">
        <f t="shared" ref="F47" si="10">IF(I47="NA","NA",I47/(44/12)*1000/E47)</f>
        <v>14.021432274344992</v>
      </c>
      <c r="G47" s="3395">
        <v>620.94069866978271</v>
      </c>
      <c r="H47" s="3374">
        <f t="shared" ref="H47" si="11">IF(G47="NA","NA",IF(G47="NO","NO",G47*44/12))</f>
        <v>2276.7825617892031</v>
      </c>
      <c r="I47" s="3395">
        <v>2524.5674980679933</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49104.713062999988</v>
      </c>
      <c r="F50" s="3343">
        <f>IF(I50="NA","NA",I50/(44/12)*1000/E50)</f>
        <v>14.021432274344992</v>
      </c>
      <c r="G50" s="3423">
        <f>SUM(G47:G48)</f>
        <v>620.94069866978271</v>
      </c>
      <c r="H50" s="3397">
        <f t="shared" ref="H50" si="13">IF(G50="NA","NA",IF(G50="NO","NO",G50*44/12))</f>
        <v>2276.7825617892031</v>
      </c>
      <c r="I50" s="3423">
        <f>SUM(I47:I48)</f>
        <v>2524.5674980679933</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296263.42633052944</v>
      </c>
      <c r="F55" s="3354">
        <f t="shared" si="14"/>
        <v>15.189630868426871</v>
      </c>
      <c r="G55" s="3423">
        <f>SUM(G31,G45,G50,G54)</f>
        <v>5319.4449282694331</v>
      </c>
      <c r="H55" s="3398">
        <f t="shared" si="15"/>
        <v>19504.631403654588</v>
      </c>
      <c r="I55" s="3423">
        <f>SUM(I31,I45,I50,I54)</f>
        <v>16500.48431451244</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548.49968299962495</v>
      </c>
      <c r="D10" s="3127"/>
      <c r="E10" s="3127"/>
      <c r="F10" s="3078">
        <f>SUM(F11,F18)</f>
        <v>1138.1027980094827</v>
      </c>
      <c r="G10" s="3078">
        <f>SUM(G11,G18)</f>
        <v>1580.216366257682</v>
      </c>
      <c r="H10" s="3078">
        <f>H11</f>
        <v>-66.706801094530007</v>
      </c>
      <c r="I10" s="3128" t="s">
        <v>2146</v>
      </c>
      <c r="L10" s="3750"/>
    </row>
    <row r="11" spans="2:12" ht="18" customHeight="1" x14ac:dyDescent="0.2">
      <c r="B11" s="1252" t="s">
        <v>334</v>
      </c>
      <c r="C11" s="3033">
        <v>95.831136000000001</v>
      </c>
      <c r="D11" s="3078">
        <f>IFERROR(SUM(F11,H11)/$C$11,"NA")</f>
        <v>8.3844560997929829</v>
      </c>
      <c r="E11" s="3078">
        <f>IFERROR(SUM(G11,I11)/$C$11,"NA")</f>
        <v>15.042215516845435</v>
      </c>
      <c r="F11" s="3078">
        <f>SUM(F12:F16)</f>
        <v>870.19875387982086</v>
      </c>
      <c r="G11" s="3078">
        <f>SUM(G12:G16)</f>
        <v>1441.5126009361252</v>
      </c>
      <c r="H11" s="3078">
        <f>H12</f>
        <v>-66.706801094530007</v>
      </c>
      <c r="I11" s="3128" t="s">
        <v>2146</v>
      </c>
    </row>
    <row r="12" spans="2:12" ht="18" customHeight="1" x14ac:dyDescent="0.2">
      <c r="B12" s="160" t="s">
        <v>335</v>
      </c>
      <c r="C12" s="3046"/>
      <c r="D12" s="3078">
        <f t="shared" ref="D12:D14" si="0">IFERROR(SUM(F12,H12)/$C$11,"NA")</f>
        <v>7.7339218357710271</v>
      </c>
      <c r="E12" s="3078">
        <f>IFERROR(SUM(G12,I12)/$C$11,"NA")</f>
        <v>13.07626905856786</v>
      </c>
      <c r="F12" s="3126">
        <v>807.85731635167292</v>
      </c>
      <c r="G12" s="3126">
        <v>1253.1137185242085</v>
      </c>
      <c r="H12" s="3126">
        <v>-66.706801094530007</v>
      </c>
      <c r="I12" s="3034" t="s">
        <v>2146</v>
      </c>
    </row>
    <row r="13" spans="2:12" ht="18" customHeight="1" x14ac:dyDescent="0.2">
      <c r="B13" s="160" t="s">
        <v>336</v>
      </c>
      <c r="C13" s="3046"/>
      <c r="D13" s="3078">
        <f t="shared" si="0"/>
        <v>0.38285421036956874</v>
      </c>
      <c r="E13" s="3078" t="s">
        <v>2147</v>
      </c>
      <c r="F13" s="3126">
        <v>36.689353902098752</v>
      </c>
      <c r="G13" s="3126" t="s">
        <v>2154</v>
      </c>
      <c r="H13" s="3126" t="s">
        <v>2146</v>
      </c>
      <c r="I13" s="3034" t="s">
        <v>2146</v>
      </c>
    </row>
    <row r="14" spans="2:12" ht="18" customHeight="1" x14ac:dyDescent="0.2">
      <c r="B14" s="160" t="s">
        <v>337</v>
      </c>
      <c r="C14" s="3046"/>
      <c r="D14" s="3078">
        <f t="shared" si="0"/>
        <v>0.26143169669196969</v>
      </c>
      <c r="E14" s="3078" t="s">
        <v>2147</v>
      </c>
      <c r="F14" s="3126">
        <v>25.053296480398899</v>
      </c>
      <c r="G14" s="3126" t="s">
        <v>2147</v>
      </c>
      <c r="H14" s="3126" t="s">
        <v>2146</v>
      </c>
      <c r="I14" s="3034" t="s">
        <v>2146</v>
      </c>
    </row>
    <row r="15" spans="2:12" ht="18" customHeight="1" x14ac:dyDescent="0.2">
      <c r="B15" s="160" t="s">
        <v>338</v>
      </c>
      <c r="C15" s="3033">
        <v>6.6706801094530005E-2</v>
      </c>
      <c r="D15" s="3078">
        <f>IFERROR(SUM(F15,H15)/$C15,"NA")</f>
        <v>8.9764032426279634</v>
      </c>
      <c r="E15" s="3078">
        <f>IFERROR(SUM(G15,I15)/$C15,"NA")</f>
        <v>2824.2829714609934</v>
      </c>
      <c r="F15" s="3126">
        <v>0.59878714565027769</v>
      </c>
      <c r="G15" s="3126">
        <v>188.39888241191665</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452.66854699962499</v>
      </c>
      <c r="D18" s="3078">
        <f>IFERROR(SUM(F18,H18)/$C$18,"NA")</f>
        <v>0.59183269061961996</v>
      </c>
      <c r="E18" s="3078">
        <f>IFERROR(SUM(G18,I18)/$C$18,"NA")</f>
        <v>0.30641352539493238</v>
      </c>
      <c r="F18" s="3078">
        <f>SUM(F19:F21)</f>
        <v>267.90404412966194</v>
      </c>
      <c r="G18" s="3131">
        <f t="shared" ref="G18" si="2">SUM(G19:G21)</f>
        <v>138.70376532155674</v>
      </c>
      <c r="H18" s="3078" t="s">
        <v>2146</v>
      </c>
      <c r="I18" s="3128" t="s">
        <v>2146</v>
      </c>
    </row>
    <row r="19" spans="2:9" ht="18" customHeight="1" x14ac:dyDescent="0.2">
      <c r="B19" s="160" t="s">
        <v>341</v>
      </c>
      <c r="C19" s="3046"/>
      <c r="D19" s="3078">
        <f>IFERROR(SUM(F19,H19)/$C$18,"NA")</f>
        <v>0.59183269061961996</v>
      </c>
      <c r="E19" s="3078">
        <f>IFERROR(SUM(G19,I19)/$C$18,"NA")</f>
        <v>0.30641352539493238</v>
      </c>
      <c r="F19" s="3126">
        <v>267.90404412966194</v>
      </c>
      <c r="G19" s="3126">
        <v>138.70376532155674</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229.60731854549999</v>
      </c>
      <c r="J10" s="3145">
        <f>IF(SUM(J11:J16)=0,"NO",SUM(J11:J16))</f>
        <v>4.9756270180422888</v>
      </c>
      <c r="K10" s="1913">
        <f>IF(SUM(K11:K16)=0,"NO",SUM(K11:K16))</f>
        <v>7.3061054508000009E-3</v>
      </c>
      <c r="L10" s="3146" t="s">
        <v>2146</v>
      </c>
    </row>
    <row r="11" spans="2:12" ht="18" customHeight="1" x14ac:dyDescent="0.2">
      <c r="B11" s="1252" t="s">
        <v>363</v>
      </c>
      <c r="C11" s="2165" t="s">
        <v>2159</v>
      </c>
      <c r="D11" s="2165" t="s">
        <v>2275</v>
      </c>
      <c r="E11" s="691">
        <v>376.77</v>
      </c>
      <c r="F11" s="1913">
        <f>I11*1000000/$E11</f>
        <v>3200</v>
      </c>
      <c r="G11" s="1913">
        <f>J11*1000000/$E11</f>
        <v>0.33</v>
      </c>
      <c r="H11" s="1913">
        <f>K11*1000000/$E11</f>
        <v>0.22</v>
      </c>
      <c r="I11" s="3141">
        <v>1.2056640000000001</v>
      </c>
      <c r="J11" s="691">
        <v>1.2433409999999999E-4</v>
      </c>
      <c r="K11" s="3142">
        <v>8.28894E-5</v>
      </c>
      <c r="L11" s="3093" t="s">
        <v>2146</v>
      </c>
    </row>
    <row r="12" spans="2:12" ht="18" customHeight="1" x14ac:dyDescent="0.2">
      <c r="B12" s="1252" t="s">
        <v>364</v>
      </c>
      <c r="C12" s="2165" t="s">
        <v>2160</v>
      </c>
      <c r="D12" s="2165" t="s">
        <v>2161</v>
      </c>
      <c r="E12" s="691">
        <v>506.00696317467299</v>
      </c>
      <c r="F12" s="1913" t="s">
        <v>2147</v>
      </c>
      <c r="G12" s="1913">
        <f>J12*1000000/$E12</f>
        <v>5957.8425940643911</v>
      </c>
      <c r="H12" s="3096"/>
      <c r="I12" s="3147" t="s">
        <v>2147</v>
      </c>
      <c r="J12" s="691">
        <v>3.0147098380952384</v>
      </c>
      <c r="K12" s="3046"/>
      <c r="L12" s="3093" t="s">
        <v>2146</v>
      </c>
    </row>
    <row r="13" spans="2:12" ht="18" customHeight="1" x14ac:dyDescent="0.2">
      <c r="B13" s="1252" t="s">
        <v>365</v>
      </c>
      <c r="C13" s="2165" t="s">
        <v>2162</v>
      </c>
      <c r="D13" s="2165" t="s">
        <v>2161</v>
      </c>
      <c r="E13" s="691">
        <v>770.32235100000003</v>
      </c>
      <c r="F13" s="1913" t="s">
        <v>2147</v>
      </c>
      <c r="G13" s="1913">
        <f>J13*1000000/$E13</f>
        <v>121.50882199510502</v>
      </c>
      <c r="H13" s="3096"/>
      <c r="I13" s="3147" t="s">
        <v>2147</v>
      </c>
      <c r="J13" s="691">
        <v>9.3600961426509824E-2</v>
      </c>
      <c r="K13" s="3046"/>
      <c r="L13" s="3093" t="s">
        <v>2146</v>
      </c>
    </row>
    <row r="14" spans="2:12" ht="18" customHeight="1" x14ac:dyDescent="0.2">
      <c r="B14" s="1252" t="s">
        <v>366</v>
      </c>
      <c r="C14" s="2165" t="s">
        <v>2163</v>
      </c>
      <c r="D14" s="2165" t="s">
        <v>2161</v>
      </c>
      <c r="E14" s="691">
        <v>1207.2632731621411</v>
      </c>
      <c r="F14" s="1913">
        <f>I14*1000000/$E14</f>
        <v>189189.59900706311</v>
      </c>
      <c r="G14" s="1913">
        <f>J14*1000000/$E14</f>
        <v>1478.0659433519315</v>
      </c>
      <c r="H14" s="1913">
        <f>K14*1000000/$E14</f>
        <v>5.9831324379482629</v>
      </c>
      <c r="I14" s="3147">
        <v>228.40165454549998</v>
      </c>
      <c r="J14" s="691">
        <v>1.7844147287205407</v>
      </c>
      <c r="K14" s="3142">
        <v>7.2232160508000007E-3</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8.2777155700000007E-2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3049</v>
      </c>
      <c r="F18" s="1913" t="s">
        <v>2147</v>
      </c>
      <c r="G18" s="1913">
        <f>J18*1000000/$E18</f>
        <v>27.148952345031159</v>
      </c>
      <c r="H18" s="3148"/>
      <c r="I18" s="3150" t="s">
        <v>2147</v>
      </c>
      <c r="J18" s="2190">
        <v>8.2777155700000007E-2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123.24841269703256</v>
      </c>
      <c r="J21" s="3155">
        <f>IF(SUM(J22:J27)=0,"NO",SUM(J22:J27))</f>
        <v>146.22631566476528</v>
      </c>
      <c r="K21" s="3067">
        <f>IF(SUM(K22:K27)=0,"NO",SUM(K22:K27))</f>
        <v>3.3723588924E-3</v>
      </c>
      <c r="L21" s="3068" t="str">
        <f>IF(SUM(L22:L27)=0,"NO",SUM(L22:L27))</f>
        <v>NO</v>
      </c>
    </row>
    <row r="22" spans="2:12" ht="18" customHeight="1" x14ac:dyDescent="0.2">
      <c r="B22" s="1469" t="s">
        <v>371</v>
      </c>
      <c r="C22" s="2165" t="s">
        <v>2164</v>
      </c>
      <c r="D22" s="2165" t="s">
        <v>2147</v>
      </c>
      <c r="E22" s="691">
        <v>659.75500596829534</v>
      </c>
      <c r="F22" s="1913">
        <f>I22*1000000/$E22</f>
        <v>173595.39708720488</v>
      </c>
      <c r="G22" s="1913">
        <f>J22*1000000/$E22</f>
        <v>8570.5450501038704</v>
      </c>
      <c r="H22" s="1913">
        <f>K22*1000000/$E22</f>
        <v>5.1115321019058086</v>
      </c>
      <c r="I22" s="3141">
        <v>114.53043224133746</v>
      </c>
      <c r="J22" s="692">
        <v>5.654460000682823</v>
      </c>
      <c r="K22" s="4141">
        <v>3.3723588924E-3</v>
      </c>
      <c r="L22" s="3156" t="s">
        <v>2146</v>
      </c>
    </row>
    <row r="23" spans="2:12" ht="18" customHeight="1" x14ac:dyDescent="0.2">
      <c r="B23" s="1252" t="s">
        <v>372</v>
      </c>
      <c r="C23" s="2165" t="s">
        <v>2165</v>
      </c>
      <c r="D23" s="2165" t="s">
        <v>2161</v>
      </c>
      <c r="E23" s="691">
        <v>3685.0695958699903</v>
      </c>
      <c r="F23" s="1913">
        <f>I23*1000000/$E23</f>
        <v>168.58323723939378</v>
      </c>
      <c r="G23" s="1913">
        <f>J23*1000000/$E23</f>
        <v>5880.718803549853</v>
      </c>
      <c r="H23" s="3096"/>
      <c r="I23" s="3147">
        <v>0.62124096192422751</v>
      </c>
      <c r="J23" s="691">
        <v>21.670858064822511</v>
      </c>
      <c r="K23" s="3046"/>
      <c r="L23" s="3156" t="s">
        <v>2146</v>
      </c>
    </row>
    <row r="24" spans="2:12" ht="18" customHeight="1" x14ac:dyDescent="0.2">
      <c r="B24" s="1252" t="s">
        <v>373</v>
      </c>
      <c r="C24" s="2165" t="s">
        <v>2165</v>
      </c>
      <c r="D24" s="2165" t="s">
        <v>2161</v>
      </c>
      <c r="E24" s="691">
        <v>3685.0695958699903</v>
      </c>
      <c r="F24" s="1913">
        <f t="shared" ref="F24:F26" si="0">I24*1000000/$E24</f>
        <v>942.88857659430425</v>
      </c>
      <c r="G24" s="1913">
        <f t="shared" ref="G24:G26" si="1">J24*1000000/$E24</f>
        <v>5686.3143663230576</v>
      </c>
      <c r="H24" s="1879"/>
      <c r="I24" s="691">
        <v>3.474610025900803</v>
      </c>
      <c r="J24" s="691">
        <v>20.95446418389583</v>
      </c>
      <c r="K24" s="1914"/>
      <c r="L24" s="3093" t="str">
        <f>IF(Table1.C!E21="NO","NO",-Table1.C!E21)</f>
        <v>NO</v>
      </c>
    </row>
    <row r="25" spans="2:12" ht="18" customHeight="1" x14ac:dyDescent="0.2">
      <c r="B25" s="1252" t="s">
        <v>374</v>
      </c>
      <c r="C25" s="2165" t="s">
        <v>2276</v>
      </c>
      <c r="D25" s="2165" t="s">
        <v>2171</v>
      </c>
      <c r="E25" s="691">
        <v>28491.249999999996</v>
      </c>
      <c r="F25" s="1913">
        <f t="shared" si="0"/>
        <v>20.035870662045369</v>
      </c>
      <c r="G25" s="1913">
        <f t="shared" si="1"/>
        <v>412.80627761656149</v>
      </c>
      <c r="H25" s="3096"/>
      <c r="I25" s="3147">
        <v>0.57084699999999999</v>
      </c>
      <c r="J25" s="691">
        <v>11.761366857142857</v>
      </c>
      <c r="K25" s="3046"/>
      <c r="L25" s="3093" t="s">
        <v>2146</v>
      </c>
    </row>
    <row r="26" spans="2:12" ht="18" customHeight="1" x14ac:dyDescent="0.2">
      <c r="B26" s="1252" t="s">
        <v>375</v>
      </c>
      <c r="C26" s="2165" t="s">
        <v>2166</v>
      </c>
      <c r="D26" s="2165" t="s">
        <v>2161</v>
      </c>
      <c r="E26" s="691">
        <v>386.93211538374902</v>
      </c>
      <c r="F26" s="1913">
        <f t="shared" si="0"/>
        <v>9050.5539880732285</v>
      </c>
      <c r="G26" s="1913">
        <f t="shared" si="1"/>
        <v>161862.57875722053</v>
      </c>
      <c r="H26" s="3096"/>
      <c r="I26" s="3147">
        <v>3.5019499999999999</v>
      </c>
      <c r="J26" s="691">
        <v>62.629830000000013</v>
      </c>
      <c r="K26" s="3046"/>
      <c r="L26" s="3093" t="s">
        <v>2146</v>
      </c>
    </row>
    <row r="27" spans="2:12" ht="18" customHeight="1" x14ac:dyDescent="0.2">
      <c r="B27" s="2414" t="s">
        <v>376</v>
      </c>
      <c r="C27" s="621"/>
      <c r="D27" s="621"/>
      <c r="E27" s="628"/>
      <c r="F27" s="628"/>
      <c r="G27" s="628"/>
      <c r="H27" s="3148"/>
      <c r="I27" s="1913">
        <f>IF(SUM(I29:I31)=0,"NO",SUM(I29:I31))</f>
        <v>0.54933246787007672</v>
      </c>
      <c r="J27" s="1913">
        <f>IF(SUM(J29:J31)=0,"NO",SUM(J29:J31))</f>
        <v>23.555336558221242</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0.54933246787007672</v>
      </c>
      <c r="J29" s="3150">
        <v>13.709373255021241</v>
      </c>
      <c r="K29" s="3132"/>
      <c r="L29" s="3102" t="s">
        <v>2146</v>
      </c>
    </row>
    <row r="30" spans="2:12" ht="18" customHeight="1" x14ac:dyDescent="0.2">
      <c r="B30" s="2415" t="s">
        <v>378</v>
      </c>
      <c r="C30" s="2165" t="s">
        <v>2156</v>
      </c>
      <c r="D30" s="2165" t="s">
        <v>2155</v>
      </c>
      <c r="E30" s="691">
        <v>12470</v>
      </c>
      <c r="F30" s="1913" t="s">
        <v>2147</v>
      </c>
      <c r="G30" s="1913">
        <f t="shared" ref="G30" si="2">J30*1000000/$E30</f>
        <v>19.644210360866079</v>
      </c>
      <c r="H30" s="3148"/>
      <c r="I30" s="3150" t="s">
        <v>2147</v>
      </c>
      <c r="J30" s="3150">
        <v>0.24496330320000004</v>
      </c>
      <c r="K30" s="3132"/>
      <c r="L30" s="3102" t="s">
        <v>2146</v>
      </c>
    </row>
    <row r="31" spans="2:12" ht="18" customHeight="1" x14ac:dyDescent="0.2">
      <c r="B31" s="1242" t="s">
        <v>379</v>
      </c>
      <c r="C31" s="621"/>
      <c r="D31" s="621"/>
      <c r="E31" s="628"/>
      <c r="F31" s="628"/>
      <c r="G31" s="628"/>
      <c r="H31" s="3148"/>
      <c r="I31" s="1913" t="s">
        <v>2147</v>
      </c>
      <c r="J31" s="1913">
        <f>IF(SUM(J32:J34)=0,"NO",SUM(J32:J34))</f>
        <v>9.6009999999999991</v>
      </c>
      <c r="K31" s="3132"/>
      <c r="L31" s="3149" t="str">
        <f>IF(SUM(L32:L34)=0,"NO",SUM(L32:L34))</f>
        <v>NO</v>
      </c>
    </row>
    <row r="32" spans="2:12" ht="18" customHeight="1" x14ac:dyDescent="0.2">
      <c r="B32" s="2592" t="s">
        <v>2173</v>
      </c>
      <c r="C32" s="310" t="s">
        <v>2172</v>
      </c>
      <c r="D32" s="310" t="s">
        <v>2172</v>
      </c>
      <c r="E32" s="2190">
        <v>7</v>
      </c>
      <c r="F32" s="3095" t="s">
        <v>2147</v>
      </c>
      <c r="G32" s="3095">
        <f t="shared" ref="G32:G33" si="3">J32*1000000/$E32</f>
        <v>475285.71428571426</v>
      </c>
      <c r="H32" s="3148"/>
      <c r="I32" s="3150" t="s">
        <v>2147</v>
      </c>
      <c r="J32" s="3150">
        <v>3.327</v>
      </c>
      <c r="K32" s="3132"/>
      <c r="L32" s="3102" t="s">
        <v>2146</v>
      </c>
    </row>
    <row r="33" spans="2:12" ht="18" customHeight="1" x14ac:dyDescent="0.2">
      <c r="B33" s="2592" t="s">
        <v>2174</v>
      </c>
      <c r="C33" s="277" t="s">
        <v>2172</v>
      </c>
      <c r="D33" s="277" t="s">
        <v>2172</v>
      </c>
      <c r="E33" s="691">
        <v>4</v>
      </c>
      <c r="F33" s="1913" t="s">
        <v>2147</v>
      </c>
      <c r="G33" s="1913">
        <f t="shared" si="3"/>
        <v>921000</v>
      </c>
      <c r="H33" s="3096"/>
      <c r="I33" s="3147" t="s">
        <v>2147</v>
      </c>
      <c r="J33" s="3147">
        <v>3.6840000000000002</v>
      </c>
      <c r="K33" s="3046"/>
      <c r="L33" s="3093" t="s">
        <v>2146</v>
      </c>
    </row>
    <row r="34" spans="2:12" ht="18" customHeight="1" thickBot="1" x14ac:dyDescent="0.25">
      <c r="B34" s="2590" t="s">
        <v>2175</v>
      </c>
      <c r="C34" s="2591" t="s">
        <v>2172</v>
      </c>
      <c r="D34" s="2591" t="s">
        <v>2172</v>
      </c>
      <c r="E34" s="2912">
        <v>3</v>
      </c>
      <c r="F34" s="3157" t="s">
        <v>2147</v>
      </c>
      <c r="G34" s="3157">
        <f t="shared" ref="G34" si="4">J34*1000000/$E34</f>
        <v>863333.33333333337</v>
      </c>
      <c r="H34" s="3158"/>
      <c r="I34" s="3159" t="s">
        <v>2147</v>
      </c>
      <c r="J34" s="3159">
        <v>2.59</v>
      </c>
      <c r="K34" s="3160"/>
      <c r="L34" s="3161" t="s">
        <v>2146</v>
      </c>
    </row>
    <row r="35" spans="2:12" ht="18" customHeight="1" x14ac:dyDescent="0.2">
      <c r="B35" s="1255" t="s">
        <v>380</v>
      </c>
      <c r="C35" s="2167"/>
      <c r="D35" s="2167"/>
      <c r="E35" s="3216"/>
      <c r="F35" s="3216"/>
      <c r="G35" s="3216"/>
      <c r="H35" s="3216"/>
      <c r="I35" s="3155">
        <f>IF(SUM(I36,I40)=0,"NO",SUM(I36,I40))</f>
        <v>6353.9247338599789</v>
      </c>
      <c r="J35" s="3067">
        <f>IF(SUM(J36,J40)=0,"NO",SUM(J36,J40))</f>
        <v>68.950649765652031</v>
      </c>
      <c r="K35" s="3067">
        <f>IF(SUM(K36,K40)=0,"NO",SUM(K36,K40))</f>
        <v>0.10359334720612905</v>
      </c>
      <c r="L35" s="3068" t="str">
        <f>IF(SUM(L36,L40)=0,"NO",SUM(L36,L40))</f>
        <v>NO</v>
      </c>
    </row>
    <row r="36" spans="2:12" ht="18" customHeight="1" x14ac:dyDescent="0.2">
      <c r="B36" s="1468" t="s">
        <v>381</v>
      </c>
      <c r="C36" s="2170"/>
      <c r="D36" s="2170"/>
      <c r="E36" s="3025"/>
      <c r="F36" s="3025"/>
      <c r="G36" s="3025"/>
      <c r="H36" s="3025"/>
      <c r="I36" s="3162">
        <f>IF(SUM(I37:I39)=0,"NO",SUM(I37:I39))</f>
        <v>3320.4344739869784</v>
      </c>
      <c r="J36" s="1913">
        <f>IF(SUM(J37:J39)=0,"NO",SUM(J37:J39))</f>
        <v>56.837382196175838</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4191.0765590446636</v>
      </c>
      <c r="F39" s="1913">
        <f t="shared" ref="F39" si="5">SUM(I39,L39)*1000000/$E39</f>
        <v>792262.90123983228</v>
      </c>
      <c r="G39" s="1913">
        <f t="shared" ref="G39" si="6">J39*1000000/$E39</f>
        <v>13561.523249561362</v>
      </c>
      <c r="H39" s="1913">
        <f t="shared" ref="H39" si="7">K39*1000000/$E39</f>
        <v>0</v>
      </c>
      <c r="I39" s="691">
        <v>3320.4344739869784</v>
      </c>
      <c r="J39" s="691">
        <v>56.837382196175838</v>
      </c>
      <c r="K39" s="3132"/>
      <c r="L39" s="3093" t="s">
        <v>2146</v>
      </c>
    </row>
    <row r="40" spans="2:12" ht="18" customHeight="1" x14ac:dyDescent="0.2">
      <c r="B40" s="1468" t="s">
        <v>385</v>
      </c>
      <c r="C40" s="2170"/>
      <c r="D40" s="2170"/>
      <c r="E40" s="3025"/>
      <c r="F40" s="3025"/>
      <c r="G40" s="3025"/>
      <c r="H40" s="3025"/>
      <c r="I40" s="3162">
        <f>IF(SUM(I41:I43)=0,"NO",SUM(I41:I43))</f>
        <v>3033.4902598730005</v>
      </c>
      <c r="J40" s="3162">
        <f>IF(SUM(J41:J43)=0,"NO",SUM(J41:J43))</f>
        <v>12.113267569476189</v>
      </c>
      <c r="K40" s="1913">
        <f>IF(SUM(K41:K43)=0,"NO",SUM(K41:K43))</f>
        <v>0.10359334720612905</v>
      </c>
      <c r="L40" s="3065" t="str">
        <f>IF(SUM(L41:L43)=0,"NO",SUM(L41:L43))</f>
        <v>NO</v>
      </c>
    </row>
    <row r="41" spans="2:12" ht="18" customHeight="1" x14ac:dyDescent="0.2">
      <c r="B41" s="1470" t="s">
        <v>386</v>
      </c>
      <c r="C41" s="277" t="s">
        <v>2169</v>
      </c>
      <c r="D41" s="277" t="s">
        <v>2170</v>
      </c>
      <c r="E41" s="691">
        <v>19.5243</v>
      </c>
      <c r="F41" s="1913">
        <f t="shared" ref="F41:F42" si="8">SUM(I41,L41)*1000000/$E41</f>
        <v>33690074.317645192</v>
      </c>
      <c r="G41" s="1913">
        <f t="shared" ref="G41:H42" si="9">J41*1000000/$E41</f>
        <v>405782.69643469923</v>
      </c>
      <c r="H41" s="1913">
        <f t="shared" si="9"/>
        <v>943.88208642563359</v>
      </c>
      <c r="I41" s="692">
        <v>657.77511800000002</v>
      </c>
      <c r="J41" s="692">
        <v>7.9226230999999991</v>
      </c>
      <c r="K41" s="692">
        <v>1.8428637019999999E-2</v>
      </c>
      <c r="L41" s="3156" t="s">
        <v>2146</v>
      </c>
    </row>
    <row r="42" spans="2:12" ht="18" customHeight="1" x14ac:dyDescent="0.2">
      <c r="B42" s="1470" t="s">
        <v>387</v>
      </c>
      <c r="C42" s="277" t="s">
        <v>2169</v>
      </c>
      <c r="D42" s="277" t="s">
        <v>2170</v>
      </c>
      <c r="E42" s="691">
        <v>50980.8207644266</v>
      </c>
      <c r="F42" s="1913">
        <f t="shared" si="8"/>
        <v>46600.174462682</v>
      </c>
      <c r="G42" s="1913">
        <f t="shared" si="9"/>
        <v>82.200411971404321</v>
      </c>
      <c r="H42" s="1913">
        <f t="shared" si="9"/>
        <v>1.6705245013543462</v>
      </c>
      <c r="I42" s="691">
        <v>2375.7151418730004</v>
      </c>
      <c r="J42" s="691">
        <v>4.1906444694761902</v>
      </c>
      <c r="K42" s="691">
        <v>8.5164710186129047E-2</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43.103302858572484</v>
      </c>
      <c r="M9" s="3358">
        <f>100*C10/SUM(C10,'Table1.A(a)s3'!C16)</f>
        <v>56.896697141427516</v>
      </c>
    </row>
    <row r="10" spans="1:13" ht="18" customHeight="1" thickTop="1" thickBot="1" x14ac:dyDescent="0.25">
      <c r="B10" s="223" t="s">
        <v>430</v>
      </c>
      <c r="C10" s="3338">
        <f>IF(SUM(C11:C13)=0,"NO",SUM(C11:C13))</f>
        <v>150460</v>
      </c>
      <c r="D10" s="3339"/>
      <c r="E10" s="3340"/>
      <c r="F10" s="3340"/>
      <c r="G10" s="3338">
        <f>IF(SUM(G11:G13)=0,"NO",SUM(G11:G13))</f>
        <v>10472.016000000001</v>
      </c>
      <c r="H10" s="3338">
        <f>IF(SUM(H11:H13)=0,"NO",SUM(H11:H13))</f>
        <v>2.0785209534883727E-2</v>
      </c>
      <c r="I10" s="1154">
        <f>IF(SUM(I11:I13)=0,"NO",SUM(I11:I13))</f>
        <v>5.3561028018800499E-2</v>
      </c>
      <c r="J10" s="4"/>
      <c r="K10" s="68" t="s">
        <v>431</v>
      </c>
      <c r="L10" s="3359">
        <f>100-M10</f>
        <v>41.517407687972543</v>
      </c>
      <c r="M10" s="3360">
        <f>100*C14/SUM(C14,'Table1.A(a)s3'!C88)</f>
        <v>58.482592312027457</v>
      </c>
    </row>
    <row r="11" spans="1:13" ht="18" customHeight="1" x14ac:dyDescent="0.2">
      <c r="B11" s="1258" t="s">
        <v>178</v>
      </c>
      <c r="C11" s="3341">
        <v>150460</v>
      </c>
      <c r="D11" s="116">
        <f>IF(G11="NO","NA",G11*1000/$C11)</f>
        <v>69.600000000000009</v>
      </c>
      <c r="E11" s="116">
        <f t="shared" ref="E11:F13" si="0">IF(H11="NO","NA",H11*1000000/$C11)</f>
        <v>0.138144420675819</v>
      </c>
      <c r="F11" s="116">
        <f t="shared" si="0"/>
        <v>0.35598184247507975</v>
      </c>
      <c r="G11" s="3062">
        <v>10472.016000000001</v>
      </c>
      <c r="H11" s="3062">
        <v>2.0785209534883727E-2</v>
      </c>
      <c r="I11" s="3063">
        <v>5.3561028018800499E-2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33325</v>
      </c>
      <c r="D14" s="3348"/>
      <c r="E14" s="3349"/>
      <c r="F14" s="3350"/>
      <c r="G14" s="3347">
        <f>IF(SUM(G15:G18,G20:G22)=0,"NO",SUM(G15:G18,G20:G22))</f>
        <v>2446.5595000000003</v>
      </c>
      <c r="H14" s="3347">
        <f>IF(SUM(H15:H18,H20:H22)=0,"NO",SUM(H15:H18,H20:H22))</f>
        <v>0.23327500000000001</v>
      </c>
      <c r="I14" s="1155">
        <f>IF(SUM(I15:I18,I20:I22)=0,"NO",SUM(I15:I18,I20:I22))</f>
        <v>6.6650000000000001E-2</v>
      </c>
      <c r="J14" s="4"/>
      <c r="K14" s="1047"/>
      <c r="L14" s="1047"/>
      <c r="M14" s="1047"/>
    </row>
    <row r="15" spans="1:13" ht="18" customHeight="1" x14ac:dyDescent="0.2">
      <c r="B15" s="1260" t="s">
        <v>190</v>
      </c>
      <c r="C15" s="143">
        <v>31660</v>
      </c>
      <c r="D15" s="116">
        <f>IF(G15="NO","NA",G15*1000/$C15)</f>
        <v>73.600000000000009</v>
      </c>
      <c r="E15" s="116">
        <f t="shared" ref="E15:F17" si="1">IF(H15="NO","NA",H15*1000000/$C15)</f>
        <v>7</v>
      </c>
      <c r="F15" s="116">
        <f t="shared" si="1"/>
        <v>2</v>
      </c>
      <c r="G15" s="3064">
        <v>2330.1760000000004</v>
      </c>
      <c r="H15" s="3064">
        <v>0.22162000000000001</v>
      </c>
      <c r="I15" s="135">
        <v>6.3320000000000001E-2</v>
      </c>
      <c r="J15" s="4"/>
      <c r="K15" s="1047"/>
      <c r="L15" s="1047"/>
      <c r="M15" s="1047"/>
    </row>
    <row r="16" spans="1:13" ht="18" customHeight="1" x14ac:dyDescent="0.2">
      <c r="B16" s="1260" t="s">
        <v>191</v>
      </c>
      <c r="C16" s="3351">
        <v>1665</v>
      </c>
      <c r="D16" s="116">
        <f>IF(G16="NO","NA",G16*1000/$C16)</f>
        <v>69.900000000000006</v>
      </c>
      <c r="E16" s="116">
        <f t="shared" si="1"/>
        <v>7.0000000000000009</v>
      </c>
      <c r="F16" s="116">
        <f t="shared" si="1"/>
        <v>2</v>
      </c>
      <c r="G16" s="3064">
        <v>116.3835</v>
      </c>
      <c r="H16" s="3064">
        <v>1.1655000000000002E-2</v>
      </c>
      <c r="I16" s="135">
        <v>3.3300000000000001E-3</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21453.369801551238</v>
      </c>
      <c r="D10" s="2913">
        <f t="shared" ref="D10:N10" si="0">IF(SUM(D11,D16,D27,D35,D39,D45,D52,D57)=0,"NO",SUM(D11,D16,D27,D35,D39,D45,D52,D57))</f>
        <v>3.0130608782400001</v>
      </c>
      <c r="E10" s="2913">
        <f t="shared" si="0"/>
        <v>8.1442053829338708</v>
      </c>
      <c r="F10" s="2913">
        <f t="shared" si="0"/>
        <v>7816.4186628708076</v>
      </c>
      <c r="G10" s="2913">
        <f t="shared" si="0"/>
        <v>265.12979067717396</v>
      </c>
      <c r="H10" s="2913" t="str">
        <f t="shared" si="0"/>
        <v>NO</v>
      </c>
      <c r="I10" s="2913">
        <f t="shared" si="0"/>
        <v>5.043008131454231E-3</v>
      </c>
      <c r="J10" s="2913" t="str">
        <f t="shared" si="0"/>
        <v>NO</v>
      </c>
      <c r="K10" s="2913">
        <f t="shared" si="0"/>
        <v>32.896949126478567</v>
      </c>
      <c r="L10" s="2914">
        <f t="shared" si="0"/>
        <v>8.7912354537057098</v>
      </c>
      <c r="M10" s="2915">
        <f t="shared" si="0"/>
        <v>229.2808028723602</v>
      </c>
      <c r="N10" s="2916">
        <f t="shared" si="0"/>
        <v>1791.4374563769563</v>
      </c>
      <c r="O10" s="3020">
        <f t="shared" ref="O10:O58" si="1">IF(SUM(C10:J10)=0,"NO",SUM(C10,F10:H10)+28*SUM(D10)+265*SUM(E10)+23500*SUM(I10)+16100*SUM(J10))</f>
        <v>31896.009077256589</v>
      </c>
    </row>
    <row r="11" spans="1:15" ht="18" customHeight="1" x14ac:dyDescent="0.2">
      <c r="B11" s="1263" t="s">
        <v>444</v>
      </c>
      <c r="C11" s="2137">
        <f>IF(SUM(C12:C15)=0,"NO",SUM(C12:C15))</f>
        <v>6411.4761811194594</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6411.4761811194594</v>
      </c>
    </row>
    <row r="12" spans="1:15" ht="18" customHeight="1" x14ac:dyDescent="0.2">
      <c r="B12" s="1264" t="s">
        <v>445</v>
      </c>
      <c r="C12" s="2920">
        <f>'Table2(I).A-H'!H11</f>
        <v>3518.2373745599998</v>
      </c>
      <c r="D12" s="2136"/>
      <c r="E12" s="2136"/>
      <c r="F12" s="628"/>
      <c r="G12" s="628"/>
      <c r="H12" s="2135"/>
      <c r="I12" s="628"/>
      <c r="J12" s="2135"/>
      <c r="K12" s="2135"/>
      <c r="L12" s="2135"/>
      <c r="M12" s="2135"/>
      <c r="N12" s="2919" t="s">
        <v>2146</v>
      </c>
      <c r="O12" s="2934">
        <f t="shared" si="1"/>
        <v>3518.2373745599998</v>
      </c>
    </row>
    <row r="13" spans="1:15" ht="18" customHeight="1" x14ac:dyDescent="0.2">
      <c r="B13" s="1264" t="s">
        <v>446</v>
      </c>
      <c r="C13" s="1878">
        <f>'Table2(I).A-H'!H12</f>
        <v>1304.7142518465926</v>
      </c>
      <c r="D13" s="2108"/>
      <c r="E13" s="2108"/>
      <c r="F13" s="628"/>
      <c r="G13" s="628"/>
      <c r="H13" s="2135"/>
      <c r="I13" s="628"/>
      <c r="J13" s="2135"/>
      <c r="K13" s="628"/>
      <c r="L13" s="628"/>
      <c r="M13" s="628"/>
      <c r="N13" s="1838"/>
      <c r="O13" s="1880">
        <f t="shared" si="1"/>
        <v>1304.7142518465926</v>
      </c>
    </row>
    <row r="14" spans="1:15" ht="18" customHeight="1" x14ac:dyDescent="0.2">
      <c r="B14" s="1264" t="s">
        <v>447</v>
      </c>
      <c r="C14" s="1878">
        <f>'Table2(I).A-H'!H13</f>
        <v>97.244468193204298</v>
      </c>
      <c r="D14" s="2108"/>
      <c r="E14" s="2108"/>
      <c r="F14" s="628"/>
      <c r="G14" s="628"/>
      <c r="H14" s="2135"/>
      <c r="I14" s="628"/>
      <c r="J14" s="2135"/>
      <c r="K14" s="628"/>
      <c r="L14" s="628"/>
      <c r="M14" s="628"/>
      <c r="N14" s="1838"/>
      <c r="O14" s="1880">
        <f t="shared" si="1"/>
        <v>97.244468193204298</v>
      </c>
    </row>
    <row r="15" spans="1:15" ht="18" customHeight="1" thickBot="1" x14ac:dyDescent="0.25">
      <c r="B15" s="1264" t="s">
        <v>448</v>
      </c>
      <c r="C15" s="1878">
        <f>'Table2(I).A-H'!H14</f>
        <v>1491.2800865196621</v>
      </c>
      <c r="D15" s="1879"/>
      <c r="E15" s="1879"/>
      <c r="F15" s="3021"/>
      <c r="G15" s="3021"/>
      <c r="H15" s="3021"/>
      <c r="I15" s="3021"/>
      <c r="J15" s="3021"/>
      <c r="K15" s="2606" t="s">
        <v>2146</v>
      </c>
      <c r="L15" s="2606" t="s">
        <v>2146</v>
      </c>
      <c r="M15" s="2606" t="s">
        <v>2146</v>
      </c>
      <c r="N15" s="2607" t="s">
        <v>2146</v>
      </c>
      <c r="O15" s="1880">
        <f t="shared" si="1"/>
        <v>1491.2800865196621</v>
      </c>
    </row>
    <row r="16" spans="1:15" ht="18" customHeight="1" x14ac:dyDescent="0.2">
      <c r="B16" s="1265" t="s">
        <v>449</v>
      </c>
      <c r="C16" s="2137">
        <f>IF(SUM(C17:C26)=0,"NO",SUM(C17:C26))</f>
        <v>3232.4615421484659</v>
      </c>
      <c r="D16" s="2137">
        <f t="shared" ref="D16:N16" si="3">IF(SUM(D17:D26)=0,"NO",SUM(D17:D26))</f>
        <v>0.57776360000000004</v>
      </c>
      <c r="E16" s="2137">
        <f t="shared" si="3"/>
        <v>8.0798403411564426</v>
      </c>
      <c r="F16" s="2138" t="str">
        <f t="shared" si="3"/>
        <v>NO</v>
      </c>
      <c r="G16" s="2138" t="str">
        <f t="shared" si="3"/>
        <v>NO</v>
      </c>
      <c r="H16" s="2138" t="str">
        <f t="shared" si="3"/>
        <v>NO</v>
      </c>
      <c r="I16" s="2138" t="str">
        <f t="shared" si="3"/>
        <v>NO</v>
      </c>
      <c r="J16" s="2138" t="str">
        <f t="shared" si="3"/>
        <v>NO</v>
      </c>
      <c r="K16" s="2920" t="str">
        <f t="shared" si="3"/>
        <v>NO</v>
      </c>
      <c r="L16" s="2137" t="str">
        <f t="shared" si="3"/>
        <v>NO</v>
      </c>
      <c r="M16" s="2137">
        <f t="shared" si="3"/>
        <v>2.8425606806999988</v>
      </c>
      <c r="N16" s="2918" t="str">
        <f t="shared" si="3"/>
        <v>NO</v>
      </c>
      <c r="O16" s="2941">
        <f t="shared" si="1"/>
        <v>5389.7966133549235</v>
      </c>
    </row>
    <row r="17" spans="2:15" ht="18" customHeight="1" x14ac:dyDescent="0.2">
      <c r="B17" s="1266" t="s">
        <v>450</v>
      </c>
      <c r="C17" s="2920">
        <f>SUM('Table2(I).A-H'!H23,'Table2(I).A-H'!K23:L23)</f>
        <v>1991.9950205464343</v>
      </c>
      <c r="D17" s="2139" t="str">
        <f>'Table2(I).A-H'!I23</f>
        <v>NO</v>
      </c>
      <c r="E17" s="2139" t="str">
        <f>'Table2(I).A-H'!J23</f>
        <v>NO</v>
      </c>
      <c r="F17" s="2135"/>
      <c r="G17" s="2135"/>
      <c r="H17" s="2135"/>
      <c r="I17" s="2135"/>
      <c r="J17" s="2135"/>
      <c r="K17" s="692" t="s">
        <v>2146</v>
      </c>
      <c r="L17" s="692" t="s">
        <v>2146</v>
      </c>
      <c r="M17" s="692" t="s">
        <v>2146</v>
      </c>
      <c r="N17" s="692" t="s">
        <v>2146</v>
      </c>
      <c r="O17" s="2934">
        <f t="shared" si="1"/>
        <v>1991.9950205464343</v>
      </c>
    </row>
    <row r="18" spans="2:15" ht="18" customHeight="1" x14ac:dyDescent="0.2">
      <c r="B18" s="1264" t="s">
        <v>451</v>
      </c>
      <c r="C18" s="1910"/>
      <c r="D18" s="2136"/>
      <c r="E18" s="2139">
        <f>'Table2(I).A-H'!J24</f>
        <v>8.0798403411564426</v>
      </c>
      <c r="F18" s="628"/>
      <c r="G18" s="628"/>
      <c r="H18" s="2135"/>
      <c r="I18" s="628"/>
      <c r="J18" s="2135"/>
      <c r="K18" s="692" t="s">
        <v>2146</v>
      </c>
      <c r="L18" s="628"/>
      <c r="M18" s="628"/>
      <c r="N18" s="1838"/>
      <c r="O18" s="2934">
        <f t="shared" si="1"/>
        <v>2141.1576904064573</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1013.8021903229074</v>
      </c>
      <c r="D22" s="1914"/>
      <c r="E22" s="628"/>
      <c r="F22" s="628"/>
      <c r="G22" s="628"/>
      <c r="H22" s="2135"/>
      <c r="I22" s="628"/>
      <c r="J22" s="2135"/>
      <c r="K22" s="1914"/>
      <c r="L22" s="1914"/>
      <c r="M22" s="1914"/>
      <c r="N22" s="2921"/>
      <c r="O22" s="1880">
        <f t="shared" si="1"/>
        <v>1013.8021903229074</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f>'Table2(I).A-H'!H35</f>
        <v>48.294806000000001</v>
      </c>
      <c r="D24" s="1878">
        <f>'Table2(I).A-H'!I35</f>
        <v>0.57776360000000004</v>
      </c>
      <c r="E24" s="628"/>
      <c r="F24" s="628"/>
      <c r="G24" s="628"/>
      <c r="H24" s="2135"/>
      <c r="I24" s="628"/>
      <c r="J24" s="2135"/>
      <c r="K24" s="692" t="s">
        <v>2146</v>
      </c>
      <c r="L24" s="692" t="s">
        <v>2146</v>
      </c>
      <c r="M24" s="691">
        <v>2.8425606806999988</v>
      </c>
      <c r="N24" s="692" t="s">
        <v>2146</v>
      </c>
      <c r="O24" s="1880">
        <f t="shared" si="1"/>
        <v>64.472186800000003</v>
      </c>
    </row>
    <row r="25" spans="2:15" ht="18" customHeight="1" x14ac:dyDescent="0.2">
      <c r="B25" s="1264" t="s">
        <v>458</v>
      </c>
      <c r="C25" s="1914"/>
      <c r="D25" s="1914"/>
      <c r="E25" s="628"/>
      <c r="F25" s="2140" t="str">
        <f>'Table2(II)'!W40</f>
        <v>NO</v>
      </c>
      <c r="G25" s="2140" t="str">
        <f>'Table2(II)'!AH40</f>
        <v>NO</v>
      </c>
      <c r="H25" s="2139" t="str">
        <f>'Table2(II)'!AI40</f>
        <v>NO</v>
      </c>
      <c r="I25" s="2140" t="str">
        <f>'Table2(II)'!AJ40</f>
        <v>NO</v>
      </c>
      <c r="J25" s="2139" t="str">
        <f>'Table2(II)'!AK40</f>
        <v>NO</v>
      </c>
      <c r="K25" s="1914"/>
      <c r="L25" s="1914"/>
      <c r="M25" s="1914"/>
      <c r="N25" s="2921"/>
      <c r="O25" s="1880" t="str">
        <f t="shared" si="1"/>
        <v>NO</v>
      </c>
    </row>
    <row r="26" spans="2:15" ht="18" customHeight="1" thickBot="1" x14ac:dyDescent="0.25">
      <c r="B26" s="1264" t="s">
        <v>2110</v>
      </c>
      <c r="C26" s="1878">
        <f>'Table2(I).A-H'!H47</f>
        <v>178.36952527912467</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178.36952527912467</v>
      </c>
    </row>
    <row r="27" spans="2:15" ht="18" customHeight="1" x14ac:dyDescent="0.2">
      <c r="B27" s="1263" t="s">
        <v>459</v>
      </c>
      <c r="C27" s="2137">
        <f>IF(SUM(C28:C34)=0,"NO",SUM(C28:C34))</f>
        <v>11398.781007211961</v>
      </c>
      <c r="D27" s="2137">
        <f t="shared" ref="D27:N27" si="4">IF(SUM(D28:D34)=0,"NO",SUM(D28:D34))</f>
        <v>2.4352972782400002</v>
      </c>
      <c r="E27" s="2137">
        <f t="shared" si="4"/>
        <v>6.4365041777428578E-2</v>
      </c>
      <c r="F27" s="2138" t="str">
        <f t="shared" si="4"/>
        <v>NO</v>
      </c>
      <c r="G27" s="2138">
        <f t="shared" si="4"/>
        <v>265.12979067717396</v>
      </c>
      <c r="H27" s="2138" t="str">
        <f t="shared" si="4"/>
        <v>NO</v>
      </c>
      <c r="I27" s="2138" t="str">
        <f t="shared" si="4"/>
        <v>NO</v>
      </c>
      <c r="J27" s="2138" t="str">
        <f t="shared" si="4"/>
        <v>NO</v>
      </c>
      <c r="K27" s="2137">
        <f t="shared" si="4"/>
        <v>32.896949126478567</v>
      </c>
      <c r="L27" s="2137">
        <f t="shared" si="4"/>
        <v>8.7912354537057098</v>
      </c>
      <c r="M27" s="2917">
        <f t="shared" si="4"/>
        <v>8.0269704660142868E-2</v>
      </c>
      <c r="N27" s="2918">
        <f t="shared" si="4"/>
        <v>1791.4374563769563</v>
      </c>
      <c r="O27" s="2941">
        <f t="shared" si="1"/>
        <v>11749.155857750875</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3193.6197834852833</v>
      </c>
      <c r="D30" s="1879"/>
      <c r="E30" s="628"/>
      <c r="F30" s="628"/>
      <c r="G30" s="2140">
        <f>SUM('Table2(II)'!X41:Y41)</f>
        <v>265.12979067717396</v>
      </c>
      <c r="H30" s="2136"/>
      <c r="I30" s="2142" t="s">
        <v>2146</v>
      </c>
      <c r="J30" s="2135"/>
      <c r="K30" s="691" t="s">
        <v>2147</v>
      </c>
      <c r="L30" s="691" t="s">
        <v>2147</v>
      </c>
      <c r="M30" s="691" t="s">
        <v>2147</v>
      </c>
      <c r="N30" s="2911">
        <v>49.62156384</v>
      </c>
      <c r="O30" s="1880">
        <f t="shared" si="1"/>
        <v>3458.7495741624571</v>
      </c>
    </row>
    <row r="31" spans="2:15" ht="18" customHeight="1" x14ac:dyDescent="0.2">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8205.1612237266781</v>
      </c>
      <c r="D34" s="1881">
        <f>'Table2(I).A-H'!I67</f>
        <v>2.4352972782400002</v>
      </c>
      <c r="E34" s="1881">
        <f>'Table2(I).A-H'!J67</f>
        <v>6.4365041777428578E-2</v>
      </c>
      <c r="F34" s="2146" t="s">
        <v>2146</v>
      </c>
      <c r="G34" s="2146" t="s">
        <v>2146</v>
      </c>
      <c r="H34" s="2146" t="s">
        <v>2146</v>
      </c>
      <c r="I34" s="2146" t="s">
        <v>2146</v>
      </c>
      <c r="J34" s="2146" t="s">
        <v>2146</v>
      </c>
      <c r="K34" s="2606">
        <v>32.896949126478567</v>
      </c>
      <c r="L34" s="2606">
        <v>8.7912354537057098</v>
      </c>
      <c r="M34" s="2606">
        <v>8.0269704660142868E-2</v>
      </c>
      <c r="N34" s="2607">
        <v>1741.8158925369564</v>
      </c>
      <c r="O34" s="1882">
        <f t="shared" si="1"/>
        <v>8290.4062835884179</v>
      </c>
    </row>
    <row r="35" spans="2:15" ht="18" customHeight="1" x14ac:dyDescent="0.2">
      <c r="B35" s="2470" t="s">
        <v>2014</v>
      </c>
      <c r="C35" s="2920">
        <f>IF(SUM(C36:C38)=0,"NO",SUM(C36:C38))</f>
        <v>192.64508823</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185.13279564421933</v>
      </c>
      <c r="N35" s="2048" t="str">
        <f t="shared" ref="N35" si="7">IF(SUM(N36:N38)=0,"NO",SUM(N36:N38))</f>
        <v>NO</v>
      </c>
      <c r="O35" s="2934">
        <f t="shared" si="1"/>
        <v>192.64508823</v>
      </c>
    </row>
    <row r="36" spans="2:15" ht="18" customHeight="1" x14ac:dyDescent="0.2">
      <c r="B36" s="1270" t="s">
        <v>466</v>
      </c>
      <c r="C36" s="1878">
        <f>'Table2(I).A-H'!H73</f>
        <v>192.64508823</v>
      </c>
      <c r="D36" s="2140" t="str">
        <f>'Table2(I).A-H'!I73</f>
        <v>NO</v>
      </c>
      <c r="E36" s="2140" t="str">
        <f>'Table2(I).A-H'!J73</f>
        <v>NO</v>
      </c>
      <c r="F36" s="628"/>
      <c r="G36" s="628"/>
      <c r="H36" s="2135"/>
      <c r="I36" s="628"/>
      <c r="J36" s="2135"/>
      <c r="K36" s="2147" t="s">
        <v>2147</v>
      </c>
      <c r="L36" s="2147" t="s">
        <v>2147</v>
      </c>
      <c r="M36" s="691" t="s">
        <v>2147</v>
      </c>
      <c r="N36" s="2141" t="s">
        <v>2147</v>
      </c>
      <c r="O36" s="1880">
        <f t="shared" si="1"/>
        <v>192.64508823</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185.13279564421933</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7816.4186628708076</v>
      </c>
      <c r="G45" s="2137" t="str">
        <f t="shared" ref="G45:J45" si="9">IF(SUM(G46:G51)=0,"NO",SUM(G46:G51))</f>
        <v>NO</v>
      </c>
      <c r="H45" s="2920" t="str">
        <f t="shared" si="9"/>
        <v>NO</v>
      </c>
      <c r="I45" s="2920" t="str">
        <f t="shared" si="9"/>
        <v>NO</v>
      </c>
      <c r="J45" s="2139" t="str">
        <f t="shared" si="9"/>
        <v>NO</v>
      </c>
      <c r="K45" s="1929"/>
      <c r="L45" s="1929"/>
      <c r="M45" s="1929"/>
      <c r="N45" s="2153"/>
      <c r="O45" s="2941">
        <f t="shared" si="1"/>
        <v>7816.4186628708076</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7423.4579708927758</v>
      </c>
      <c r="G46" s="1878" t="s">
        <v>2146</v>
      </c>
      <c r="H46" s="1878" t="s">
        <v>2146</v>
      </c>
      <c r="I46" s="1878" t="s">
        <v>2146</v>
      </c>
      <c r="J46" s="2139" t="str">
        <f t="shared" ref="J46" si="10">IF(SUM(J47:J52)=0,"NO",SUM(J47:J52))</f>
        <v>NO</v>
      </c>
      <c r="K46" s="628"/>
      <c r="L46" s="628"/>
      <c r="M46" s="628"/>
      <c r="N46" s="1838"/>
      <c r="O46" s="1880">
        <f t="shared" si="1"/>
        <v>7423.4579708927758</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51.336876868575885</v>
      </c>
      <c r="G47" s="1878" t="s">
        <v>2146</v>
      </c>
      <c r="H47" s="1878" t="s">
        <v>2146</v>
      </c>
      <c r="I47" s="1878" t="s">
        <v>2146</v>
      </c>
      <c r="J47" s="2139" t="str">
        <f t="shared" ref="J47" si="11">IF(SUM(J48:J53)=0,"NO",SUM(J48:J53))</f>
        <v>NO</v>
      </c>
      <c r="K47" s="628"/>
      <c r="L47" s="628"/>
      <c r="M47" s="628"/>
      <c r="N47" s="1838"/>
      <c r="O47" s="1880">
        <f t="shared" si="1"/>
        <v>51.336876868575885</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56.016051475947293</v>
      </c>
      <c r="G48" s="1878" t="s">
        <v>2146</v>
      </c>
      <c r="H48" s="1878" t="s">
        <v>2146</v>
      </c>
      <c r="I48" s="1878" t="s">
        <v>2146</v>
      </c>
      <c r="J48" s="2139" t="str">
        <f t="shared" ref="J48" si="12">IF(SUM(J49:J54)=0,"NO",SUM(J49:J54))</f>
        <v>NO</v>
      </c>
      <c r="K48" s="628"/>
      <c r="L48" s="628"/>
      <c r="M48" s="628"/>
      <c r="N48" s="1838"/>
      <c r="O48" s="1880">
        <f t="shared" si="1"/>
        <v>56.016051475947293</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188.13976790689463</v>
      </c>
      <c r="G49" s="1878" t="s">
        <v>2146</v>
      </c>
      <c r="H49" s="1878" t="s">
        <v>2146</v>
      </c>
      <c r="I49" s="1878" t="s">
        <v>2146</v>
      </c>
      <c r="J49" s="2139" t="str">
        <f t="shared" ref="J49" si="13">IF(SUM(J50:J55)=0,"NO",SUM(J50:J55))</f>
        <v>NO</v>
      </c>
      <c r="K49" s="628"/>
      <c r="L49" s="628"/>
      <c r="M49" s="628"/>
      <c r="N49" s="1838"/>
      <c r="O49" s="1880">
        <f t="shared" si="1"/>
        <v>188.13976790689463</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97.467995726613921</v>
      </c>
      <c r="G50" s="1878" t="s">
        <v>2146</v>
      </c>
      <c r="H50" s="1878" t="s">
        <v>2146</v>
      </c>
      <c r="I50" s="1878" t="s">
        <v>2146</v>
      </c>
      <c r="J50" s="2139" t="str">
        <f t="shared" ref="J50" si="14">IF(SUM(J51:J56)=0,"NO",SUM(J51:J56))</f>
        <v>NO</v>
      </c>
      <c r="K50" s="628"/>
      <c r="L50" s="628"/>
      <c r="M50" s="628"/>
      <c r="N50" s="1838"/>
      <c r="O50" s="1880">
        <f t="shared" si="1"/>
        <v>97.467995726613921</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5.043008131454231E-3</v>
      </c>
      <c r="J52" s="2139" t="str">
        <f t="shared" si="16"/>
        <v>NO</v>
      </c>
      <c r="K52" s="2139" t="str">
        <f t="shared" si="16"/>
        <v>NO</v>
      </c>
      <c r="L52" s="2139" t="str">
        <f t="shared" si="16"/>
        <v>NO</v>
      </c>
      <c r="M52" s="2139" t="str">
        <f t="shared" si="16"/>
        <v>NO</v>
      </c>
      <c r="N52" s="2048" t="str">
        <f t="shared" si="16"/>
        <v>NO</v>
      </c>
      <c r="O52" s="2934">
        <f t="shared" si="1"/>
        <v>118.51069108917443</v>
      </c>
    </row>
    <row r="53" spans="2:15" ht="18" customHeight="1" x14ac:dyDescent="0.2">
      <c r="B53" s="1270" t="s">
        <v>481</v>
      </c>
      <c r="C53" s="2135"/>
      <c r="D53" s="2135"/>
      <c r="E53" s="2135"/>
      <c r="F53" s="2920" t="s">
        <v>2146</v>
      </c>
      <c r="G53" s="2920" t="s">
        <v>2146</v>
      </c>
      <c r="H53" s="2920" t="s">
        <v>2146</v>
      </c>
      <c r="I53" s="2920">
        <f>SUM('Table2(II).B-Hs2'!J163:M163)/1000</f>
        <v>4.2556394121607242E-3</v>
      </c>
      <c r="J53" s="2920" t="s">
        <v>2146</v>
      </c>
      <c r="K53" s="2135"/>
      <c r="L53" s="2135"/>
      <c r="M53" s="2135"/>
      <c r="N53" s="2149"/>
      <c r="O53" s="2934">
        <f t="shared" si="1"/>
        <v>100.00752618577702</v>
      </c>
    </row>
    <row r="54" spans="2:15" ht="18" customHeight="1" x14ac:dyDescent="0.2">
      <c r="B54" s="1270" t="s">
        <v>482</v>
      </c>
      <c r="C54" s="2135"/>
      <c r="D54" s="2135"/>
      <c r="E54" s="2135"/>
      <c r="F54" s="2135"/>
      <c r="G54" s="2920" t="s">
        <v>2146</v>
      </c>
      <c r="H54" s="3025"/>
      <c r="I54" s="2920">
        <f>SUM('Table2(II).B-Hs2'!J165:M165)/1000</f>
        <v>7.8736871929350723E-4</v>
      </c>
      <c r="J54" s="2135"/>
      <c r="K54" s="2135"/>
      <c r="L54" s="2135"/>
      <c r="M54" s="2135"/>
      <c r="N54" s="2149"/>
      <c r="O54" s="2934">
        <f t="shared" si="1"/>
        <v>18.503164903397419</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218.00598284134924</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41.225176842780726</v>
      </c>
      <c r="N57" s="2073" t="str">
        <f>N58</f>
        <v>NA</v>
      </c>
      <c r="O57" s="2941">
        <f t="shared" si="1"/>
        <v>218.00598284134924</v>
      </c>
    </row>
    <row r="58" spans="2:15" ht="18" customHeight="1" thickBot="1" x14ac:dyDescent="0.25">
      <c r="B58" s="2596" t="s">
        <v>2180</v>
      </c>
      <c r="C58" s="2500">
        <f>'Table2(I).A-H'!H97</f>
        <v>218.00598284134924</v>
      </c>
      <c r="D58" s="2500" t="str">
        <f>'Table2(I).A-H'!I97</f>
        <v>NO</v>
      </c>
      <c r="E58" s="2500" t="str">
        <f>'Table2(I).A-H'!J97</f>
        <v>NO</v>
      </c>
      <c r="F58" s="2500" t="s">
        <v>2146</v>
      </c>
      <c r="G58" s="2500" t="s">
        <v>2146</v>
      </c>
      <c r="H58" s="2500" t="s">
        <v>2146</v>
      </c>
      <c r="I58" s="2500" t="s">
        <v>2146</v>
      </c>
      <c r="J58" s="2500" t="s">
        <v>2146</v>
      </c>
      <c r="K58" s="2912" t="s">
        <v>2147</v>
      </c>
      <c r="L58" s="2912" t="s">
        <v>2147</v>
      </c>
      <c r="M58" s="2912">
        <v>41.225176842780726</v>
      </c>
      <c r="N58" s="2922" t="s">
        <v>2147</v>
      </c>
      <c r="O58" s="2925">
        <f t="shared" si="1"/>
        <v>218.00598284134924</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45.494324366241635</v>
      </c>
      <c r="D10" s="2044">
        <f t="shared" ref="D10:X10" si="0">IF(SUM(D11,D16,D20,D26,D33,D37)=0,"NO",SUM(D11,D16,D20,D26,D33,D37))</f>
        <v>202.81583704901954</v>
      </c>
      <c r="E10" s="2044" t="str">
        <f t="shared" si="0"/>
        <v>NO</v>
      </c>
      <c r="F10" s="2044" t="str">
        <f t="shared" si="0"/>
        <v>NO</v>
      </c>
      <c r="G10" s="2044">
        <f t="shared" si="0"/>
        <v>603.64268996403837</v>
      </c>
      <c r="H10" s="2044">
        <f t="shared" si="0"/>
        <v>1.6073015934328172</v>
      </c>
      <c r="I10" s="2044">
        <f t="shared" si="0"/>
        <v>1872.5216615972599</v>
      </c>
      <c r="J10" s="2044" t="str">
        <f t="shared" si="0"/>
        <v>NO</v>
      </c>
      <c r="K10" s="2044">
        <f t="shared" si="0"/>
        <v>529.3083736148634</v>
      </c>
      <c r="L10" s="2044" t="str">
        <f t="shared" si="0"/>
        <v>NO</v>
      </c>
      <c r="M10" s="2044">
        <f t="shared" si="0"/>
        <v>76.769991626036031</v>
      </c>
      <c r="N10" s="2044" t="str">
        <f t="shared" si="0"/>
        <v>NO</v>
      </c>
      <c r="O10" s="2044">
        <f t="shared" si="0"/>
        <v>19.991865803223554</v>
      </c>
      <c r="P10" s="2044" t="str">
        <f t="shared" si="0"/>
        <v>NO</v>
      </c>
      <c r="Q10" s="2044" t="str">
        <f t="shared" si="0"/>
        <v>NO</v>
      </c>
      <c r="R10" s="2044">
        <f t="shared" si="0"/>
        <v>5.2652184344619446</v>
      </c>
      <c r="S10" s="2044" t="str">
        <f t="shared" si="0"/>
        <v>NO</v>
      </c>
      <c r="T10" s="2044">
        <f t="shared" si="0"/>
        <v>56.130689999506501</v>
      </c>
      <c r="U10" s="2044">
        <f t="shared" si="0"/>
        <v>70.288630301323479</v>
      </c>
      <c r="V10" s="2045" t="str">
        <f t="shared" si="0"/>
        <v>NO</v>
      </c>
      <c r="W10" s="2046"/>
      <c r="X10" s="2044">
        <f t="shared" si="0"/>
        <v>33.785883846153851</v>
      </c>
      <c r="Y10" s="2044">
        <f t="shared" ref="Y10" si="1">IF(SUM(Y11,Y16,Y20,Y26,Y33,Y37)=0,"NO",SUM(Y11,Y16,Y20,Y26,Y33,Y37))</f>
        <v>3.7053496195652174</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5.0430081314542319</v>
      </c>
      <c r="AK10" s="2048" t="str">
        <f t="shared" si="9"/>
        <v>NO</v>
      </c>
    </row>
    <row r="11" spans="2:37" ht="18" customHeight="1" x14ac:dyDescent="0.2">
      <c r="B11" s="1288" t="s">
        <v>595</v>
      </c>
      <c r="C11" s="2049" t="str">
        <f>IF(SUM(C12,C15)=0,"NO",SUM(C12,C15))</f>
        <v>NO</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t="str">
        <f>IF(SUM(C13:C14)=0,"NO",SUM(C13:C14))</f>
        <v>NO</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t="str">
        <f>'Table2(II).B-Hs1'!G13</f>
        <v>NO</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33.785883846153851</v>
      </c>
      <c r="Y16" s="2050">
        <f t="shared" ref="Y16" si="35">IF(SUM(Y17:Y19)=0,"NO",SUM(Y17:Y19))</f>
        <v>3.7053496195652174</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33.785883846153851</v>
      </c>
      <c r="Y17" s="2050">
        <f>'Table2(II).B-Hs1'!G26</f>
        <v>3.7053496195652174</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45.494324366241635</v>
      </c>
      <c r="D26" s="2069">
        <f t="shared" ref="D26:AK26" si="58">IF(SUM(D27:D32)=0,"NO",SUM(D27:D32))</f>
        <v>202.81583704901954</v>
      </c>
      <c r="E26" s="2069" t="str">
        <f t="shared" si="58"/>
        <v>NO</v>
      </c>
      <c r="F26" s="2069" t="str">
        <f t="shared" si="58"/>
        <v>NO</v>
      </c>
      <c r="G26" s="2069">
        <f t="shared" si="58"/>
        <v>603.64268996403837</v>
      </c>
      <c r="H26" s="2069">
        <f t="shared" si="58"/>
        <v>1.6073015934328172</v>
      </c>
      <c r="I26" s="2069">
        <f t="shared" si="58"/>
        <v>1872.5216615972599</v>
      </c>
      <c r="J26" s="2069" t="str">
        <f t="shared" si="58"/>
        <v>NO</v>
      </c>
      <c r="K26" s="2069">
        <f t="shared" si="58"/>
        <v>529.3083736148634</v>
      </c>
      <c r="L26" s="2069" t="str">
        <f t="shared" si="58"/>
        <v>NO</v>
      </c>
      <c r="M26" s="2069">
        <f t="shared" si="58"/>
        <v>76.769991626036031</v>
      </c>
      <c r="N26" s="2069" t="str">
        <f t="shared" si="58"/>
        <v>NO</v>
      </c>
      <c r="O26" s="2069">
        <f t="shared" si="58"/>
        <v>19.991865803223554</v>
      </c>
      <c r="P26" s="2069" t="str">
        <f t="shared" si="58"/>
        <v>NO</v>
      </c>
      <c r="Q26" s="2069" t="str">
        <f t="shared" si="58"/>
        <v>NO</v>
      </c>
      <c r="R26" s="2069">
        <f t="shared" si="58"/>
        <v>5.2652184344619446</v>
      </c>
      <c r="S26" s="2069" t="str">
        <f t="shared" si="58"/>
        <v>NO</v>
      </c>
      <c r="T26" s="2069">
        <f t="shared" si="58"/>
        <v>56.130689999506501</v>
      </c>
      <c r="U26" s="2069">
        <f t="shared" si="58"/>
        <v>70.288630301323479</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43.207153993836663</v>
      </c>
      <c r="D27" s="2044">
        <f>IF(SUM('Table2(II).B-Hs2'!J14:M14,'Table2(II).B-Hs2'!J27:M27,'Table2(II).B-Hs2'!J40:M40,'Table2(II).B-Hs2'!J53:M53,'Table2(II).B-Hs2'!J66:M66,'Table2(II).B-Hs2'!J79:M79)=0,"NO",SUM('Table2(II).B-Hs2'!J14:M14,'Table2(II).B-Hs2'!J27:M27,'Table2(II).B-Hs2'!J40:M40,'Table2(II).B-Hs2'!J53:M53,'Table2(II).B-Hs2'!J66:M66,'Table2(II).B-Hs2'!J79:M79))</f>
        <v>192.61952399206066</v>
      </c>
      <c r="E27" s="2044" t="s">
        <v>2146</v>
      </c>
      <c r="F27" s="2044" t="str">
        <f>IF(SUM('Table2(II).B-Hs2'!J15:M15,'Table2(II).B-Hs2'!J28:M28,'Table2(II).B-Hs2'!J41:M41,'Table2(II).B-Hs2'!J54:M54,'Table2(II).B-Hs2'!J67:M67,'Table2(II).B-Hs2'!J80:M80)=0,"NO",SUM('Table2(II).B-Hs2'!J15:M15,'Table2(II).B-Hs2'!J28:M28,'Table2(II).B-Hs2'!J41:M41,'Table2(II).B-Hs2'!J54:M54,'Table2(II).B-Hs2'!J67:M67,'Table2(II).B-Hs2'!J80:M80))</f>
        <v>NO</v>
      </c>
      <c r="G27" s="2044">
        <f>IF(SUM('Table2(II).B-Hs2'!J16:M16,'Table2(II).B-Hs2'!J29:M29,'Table2(II).B-Hs2'!J42:M42,'Table2(II).B-Hs2'!J55:M55,'Table2(II).B-Hs2'!J68:M68,'Table2(II).B-Hs2'!J81:M81)=0,"NO",SUM('Table2(II).B-Hs2'!J16:M16,'Table2(II).B-Hs2'!J29:M29,'Table2(II).B-Hs2'!J42:M42,'Table2(II).B-Hs2'!J55:M55,'Table2(II).B-Hs2'!J68:M68,'Table2(II).B-Hs2'!J81:M81))</f>
        <v>573.29530718085618</v>
      </c>
      <c r="H27" s="2044">
        <f>IF(SUM('Table2(II).B-Hs2'!J17:M17,'Table2(II).B-Hs2'!J30:M30,'Table2(II).B-Hs2'!J43:M43,'Table2(II).B-Hs2'!J56:M56,'Table2(II).B-Hs2'!J69:M69,'Table2(II).B-Hs2'!J82:M82)=0,"NO",SUM('Table2(II).B-Hs2'!J17:M17,'Table2(II).B-Hs2'!J30:M30,'Table2(II).B-Hs2'!J43:M43,'Table2(II).B-Hs2'!J56:M56,'Table2(II).B-Hs2'!J69:M69,'Table2(II).B-Hs2'!J82:M82))</f>
        <v>1.5264965120247573</v>
      </c>
      <c r="I27" s="2044">
        <f>IF(SUM('Table2(II).B-Hs2'!J18:M18,'Table2(II).B-Hs2'!J31:M31,'Table2(II).B-Hs2'!J44:M44,'Table2(II).B-Hs2'!J57:M57,'Table2(II).B-Hs2'!J70:M70,'Table2(II).B-Hs2'!J83:M83)=0,"NO",SUM('Table2(II).B-Hs2'!J18:M18,'Table2(II).B-Hs2'!J31:M31,'Table2(II).B-Hs2'!J44:M44,'Table2(II).B-Hs2'!J57:M57,'Table2(II).B-Hs2'!J70:M70,'Table2(II).B-Hs2'!J83:M83))</f>
        <v>1778.3829723046294</v>
      </c>
      <c r="J27" s="2044" t="s">
        <v>2146</v>
      </c>
      <c r="K27" s="2044">
        <f>IF(SUM('Table2(II).B-Hs2'!J19:M19,'Table2(II).B-Hs2'!J32:M32,'Table2(II).B-Hs2'!J45:M45,'Table2(II).B-Hs2'!J58:M58,'Table2(II).B-Hs2'!J71:M71,'Table2(II).B-Hs2'!J84:M84)=0,"NO",SUM('Table2(II).B-Hs2'!J19:M19,'Table2(II).B-Hs2'!J32:M32,'Table2(II).B-Hs2'!J45:M45,'Table2(II).B-Hs2'!J58:M58,'Table2(II).B-Hs2'!J71:M71,'Table2(II).B-Hs2'!J84:M84))</f>
        <v>502.69805580352573</v>
      </c>
      <c r="L27" s="2044" t="s">
        <v>2146</v>
      </c>
      <c r="M27" s="2044">
        <f>IF(SUM('Table2(II).B-Hs2'!J20:M20,'Table2(II).B-Hs2'!J33:M33,'Table2(II).B-Hs2'!J46:M46,'Table2(II).B-Hs2'!J59:M59,'Table2(II).B-Hs2'!J72:M72,'Table2(II).B-Hs2'!J85:M85)=0,"NO",SUM('Table2(II).B-Hs2'!J20:M20,'Table2(II).B-Hs2'!J33:M33,'Table2(II).B-Hs2'!J46:M46,'Table2(II).B-Hs2'!J59:M59,'Table2(II).B-Hs2'!J72:M72,'Table2(II).B-Hs2'!J85:M85))</f>
        <v>72.910476119808678</v>
      </c>
      <c r="N27" s="2044" t="s">
        <v>2146</v>
      </c>
      <c r="O27" s="2044">
        <f>IF(SUM('Table2(II).B-Hs2'!J21:M21,'Table2(II).B-Hs2'!J34:M34,'Table2(II).B-Hs2'!J47:M47,'Table2(II).B-Hs2'!J60:M60,'Table2(II).B-Hs2'!J73:M73,'Table2(II).B-Hs2'!J86:M86)=0,"NO",SUM('Table2(II).B-Hs2'!J21:M21,'Table2(II).B-Hs2'!J34:M34,'Table2(II).B-Hs2'!J47:M47,'Table2(II).B-Hs2'!J60:M60,'Table2(II).B-Hs2'!J73:M73,'Table2(II).B-Hs2'!J86:M86))</f>
        <v>18.986799703414444</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5.0005161496099522</v>
      </c>
      <c r="S27" s="2044" t="s">
        <v>2146</v>
      </c>
      <c r="T27" s="2044">
        <f>IF(SUM('Table2(II).B-Hs2'!J23:M23,'Table2(II).B-Hs2'!J36:M36,'Table2(II).B-Hs2'!J49:M49,'Table2(II).B-Hs2'!J62:M62,'Table2(II).B-Hs2'!J75:M75,'Table2(II).B-Hs2'!J88:M88)=0,"NO",SUM('Table2(II).B-Hs2'!J23:M23,'Table2(II).B-Hs2'!J36:M36,'Table2(II).B-Hs2'!J49:M49,'Table2(II).B-Hs2'!J62:M62,'Table2(II).B-Hs2'!J75:M75,'Table2(II).B-Hs2'!J88:M88))</f>
        <v>53.308789620988478</v>
      </c>
      <c r="U27" s="2044">
        <f>IF(SUM('Table2(II).B-Hs2'!J24:M24,'Table2(II).B-Hs2'!J37:M37,'Table2(II).B-Hs2'!J50:M50,'Table2(II).B-Hs2'!J63:M63,'Table2(II).B-Hs2'!J76:M76,'Table2(II).B-Hs2'!J89:M89)=0,"NO",SUM('Table2(II).B-Hs2'!J24:M24,'Table2(II).B-Hs2'!J37:M37,'Table2(II).B-Hs2'!J50:M50,'Table2(II).B-Hs2'!J63:M63,'Table2(II).B-Hs2'!J76:M76,'Table2(II).B-Hs2'!J89:M89))</f>
        <v>66.754957145790172</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f>IF(SUM('Table2(II).B-Hs2'!J92:M92,'Table2(II).B-Hs2'!J105:M105)=0,"NO",SUM('Table2(II).B-Hs2'!J92:M92,'Table2(II).B-Hs2'!J105:M105))</f>
        <v>0.29879880146427618</v>
      </c>
      <c r="D28" s="2044">
        <f>IF(SUM('Table2(II).B-Hs2'!J93:M93,'Table2(II).B-Hs2'!J106:M106)=0,"NO",SUM('Table2(II).B-Hs2'!J93:M93,'Table2(II).B-Hs2'!J106:M106))</f>
        <v>1.3320591056670166</v>
      </c>
      <c r="E28" s="2044" t="s">
        <v>2146</v>
      </c>
      <c r="F28" s="2044" t="str">
        <f>IF(SUM('Table2(II).B-Hs2'!J94:M94,'Table2(II).B-Hs2'!J107:M107)=0,"NO",SUM('Table2(II).B-Hs2'!J94:M94,'Table2(II).B-Hs2'!J107:M107))</f>
        <v>NO</v>
      </c>
      <c r="G28" s="2044">
        <f>IF(SUM('Table2(II).B-Hs2'!J95:M95,'Table2(II).B-Hs2'!J108:M108)=0,"NO",SUM('Table2(II).B-Hs2'!J95:M95,'Table2(II).B-Hs2'!J108:M108))</f>
        <v>3.964620088033783</v>
      </c>
      <c r="H28" s="2044">
        <f>IF(SUM('Table2(II).B-Hs2'!J96:M96,'Table2(II).B-Hs2'!J109:M109)=0,"NO",SUM('Table2(II).B-Hs2'!J96:M96,'Table2(II).B-Hs2'!J109:M109))</f>
        <v>1.0556477019927273E-2</v>
      </c>
      <c r="I28" s="2044">
        <f>IF(SUM('Table2(II).B-Hs2'!J97:M97,'Table2(II).B-Hs2'!J110:M110)=0,"NO",SUM('Table2(II).B-Hs2'!J97:M97,'Table2(II).B-Hs2'!J110:M110))</f>
        <v>12.298396250419541</v>
      </c>
      <c r="J28" s="2044" t="s">
        <v>2146</v>
      </c>
      <c r="K28" s="2044">
        <f>IF(SUM('Table2(II).B-Hs2'!J98:M98,'Table2(II).B-Hs2'!J111:M111)=0,"NO",SUM('Table2(II).B-Hs2'!J98:M98,'Table2(II).B-Hs2'!J111:M111))</f>
        <v>3.4764052405289556</v>
      </c>
      <c r="L28" s="2044" t="s">
        <v>2146</v>
      </c>
      <c r="M28" s="2044">
        <f>IF(SUM('Table2(II).B-Hs2'!J99:M99,'Table2(II).B-Hs2'!J112:M112)=0,"NO",SUM('Table2(II).B-Hs2'!J99:M99,'Table2(II).B-Hs2'!J112:M112))</f>
        <v>0.50421193865016423</v>
      </c>
      <c r="N28" s="2044" t="s">
        <v>2146</v>
      </c>
      <c r="O28" s="2044">
        <f>IF(SUM('Table2(II).B-Hs2'!J100:M100,'Table2(II).B-Hs2'!J113:M113)=0,"NO",SUM('Table2(II).B-Hs2'!J100:M100,'Table2(II).B-Hs2'!J113:M113))</f>
        <v>0.13130309383098404</v>
      </c>
      <c r="P28" s="2044" t="s">
        <v>2146</v>
      </c>
      <c r="Q28" s="2044" t="s">
        <v>2146</v>
      </c>
      <c r="R28" s="2044">
        <f>IF(SUM('Table2(II).B-Hs2'!J101:M101,'Table2(II).B-Hs2'!J114:M114)=0,"NO",SUM('Table2(II).B-Hs2'!J101:M101,'Table2(II).B-Hs2'!J114:M114))</f>
        <v>3.4581037955412335E-2</v>
      </c>
      <c r="S28" s="2044" t="s">
        <v>2146</v>
      </c>
      <c r="T28" s="2044">
        <f>IF(SUM('Table2(II).B-Hs2'!J102:M102,'Table2(II).B-Hs2'!J115:M115)=0,"NO",SUM('Table2(II).B-Hs2'!J102:M102,'Table2(II).B-Hs2'!J115:M115))</f>
        <v>0.36865659905613685</v>
      </c>
      <c r="U28" s="2044">
        <f>IF(SUM('Table2(II).B-Hs2'!J103:M103,'Table2(II).B-Hs2'!J116:M116)=0,"NO",SUM('Table2(II).B-Hs2'!J103:M103,'Table2(II).B-Hs2'!J116:M116))</f>
        <v>0.46164348593305848</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f>IF(SUM('Table2(II).B-Hs2'!J118:M118)=0,"NO",SUM('Table2(II).B-Hs2'!J118:M118))</f>
        <v>0.32603325454765941</v>
      </c>
      <c r="D29" s="2044">
        <f>IF(SUM('Table2(II).B-Hs2'!J119:M119)=0,"NO",SUM('Table2(II).B-Hs2'!J119:M119))</f>
        <v>1.4534715780055949</v>
      </c>
      <c r="E29" s="2044" t="s">
        <v>2146</v>
      </c>
      <c r="F29" s="2044" t="str">
        <f>IF(SUM('Table2(II).B-Hs2'!J120:M120)=0,"NO",SUM('Table2(II).B-Hs2'!J120:M120))</f>
        <v>NO</v>
      </c>
      <c r="G29" s="2044">
        <f>IF(SUM('Table2(II).B-Hs2'!J121:M121)=0,"NO",SUM('Table2(II).B-Hs2'!J121:M121))</f>
        <v>4.3259811753335402</v>
      </c>
      <c r="H29" s="2044">
        <f>IF(SUM('Table2(II).B-Hs2'!J122:M122)=0,"NO",SUM('Table2(II).B-Hs2'!J122:M122))</f>
        <v>1.1518662533109111E-2</v>
      </c>
      <c r="I29" s="2044">
        <f>IF(SUM('Table2(II).B-Hs2'!J123:M123)=0,"NO",SUM('Table2(II).B-Hs2'!J123:M123))</f>
        <v>13.419351535519478</v>
      </c>
      <c r="J29" s="2044" t="s">
        <v>2146</v>
      </c>
      <c r="K29" s="2044">
        <f>IF(SUM('Table2(II).B-Hs2'!J124:M124)=0,"NO",SUM('Table2(II).B-Hs2'!J124:M124))</f>
        <v>3.7932672726322973</v>
      </c>
      <c r="L29" s="2044" t="s">
        <v>2146</v>
      </c>
      <c r="M29" s="2044">
        <f>IF(SUM('Table2(II).B-Hs2'!J125:M125)=0,"NO",SUM('Table2(II).B-Hs2'!J125:M125))</f>
        <v>0.55016907207893184</v>
      </c>
      <c r="N29" s="2044" t="s">
        <v>2146</v>
      </c>
      <c r="O29" s="2044">
        <f>IF(SUM('Table2(II).B-Hs2'!J126:M126)=0,"NO",SUM('Table2(II).B-Hs2'!J126:M126))</f>
        <v>0.14327090605485782</v>
      </c>
      <c r="P29" s="2044" t="s">
        <v>2146</v>
      </c>
      <c r="Q29" s="2044" t="s">
        <v>2146</v>
      </c>
      <c r="R29" s="2044">
        <f>IF(SUM('Table2(II).B-Hs2'!J127:M127)=0,"NO",SUM('Table2(II).B-Hs2'!J127:M127))</f>
        <v>3.773297715716302E-2</v>
      </c>
      <c r="S29" s="2044" t="s">
        <v>2146</v>
      </c>
      <c r="T29" s="2044">
        <f>IF(SUM('Table2(II).B-Hs2'!J128:M128)=0,"NO",SUM('Table2(II).B-Hs2'!J128:M128))</f>
        <v>0.40225834311157399</v>
      </c>
      <c r="U29" s="2044">
        <f>IF(SUM('Table2(II).B-Hs2'!J129:M129)=0,"NO",SUM('Table2(II).B-Hs2'!J129:M129))</f>
        <v>0.50372065557791901</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f>IF(SUM('Table2(II).B-Hs2'!J132:M132)=0,"NO",SUM('Table2(II).B-Hs2'!J132:M132))</f>
        <v>1.0950400684144046</v>
      </c>
      <c r="D30" s="2044">
        <f>IF(SUM('Table2(II).B-Hs2'!J133:M133)=0,"NO",SUM('Table2(II).B-Hs2'!J133:M133))</f>
        <v>4.8817401109155218</v>
      </c>
      <c r="E30" s="2044" t="s">
        <v>2146</v>
      </c>
      <c r="F30" s="2044" t="str">
        <f>IF(SUM('Table2(II).B-Hs2'!J134:M134)=0,"NO",SUM('Table2(II).B-Hs2'!J134:M134))</f>
        <v>NO</v>
      </c>
      <c r="G30" s="2044">
        <f>IF(SUM('Table2(II).B-Hs2'!J135:M135)=0,"NO",SUM('Table2(II).B-Hs2'!J135:M135))</f>
        <v>14.5295691654797</v>
      </c>
      <c r="H30" s="2044">
        <f>IF(SUM('Table2(II).B-Hs2'!J136:M136)=0,"NO",SUM('Table2(II).B-Hs2'!J136:M136))</f>
        <v>3.868745544315149E-2</v>
      </c>
      <c r="I30" s="2044">
        <f>IF(SUM('Table2(II).B-Hs2'!J137:M137)=0,"NO",SUM('Table2(II).B-Hs2'!J137:M137))</f>
        <v>45.071253985792815</v>
      </c>
      <c r="J30" s="2044" t="s">
        <v>2146</v>
      </c>
      <c r="K30" s="2044">
        <f>IF(SUM('Table2(II).B-Hs2'!J138:M138)=0,"NO",SUM('Table2(II).B-Hs2'!J138:M138))</f>
        <v>12.740355763709974</v>
      </c>
      <c r="L30" s="2044" t="s">
        <v>2146</v>
      </c>
      <c r="M30" s="2044">
        <f>IF(SUM('Table2(II).B-Hs2'!J139:M139)=0,"NO",SUM('Table2(II).B-Hs2'!J139:M139))</f>
        <v>1.8478396602967879</v>
      </c>
      <c r="N30" s="2044" t="s">
        <v>2146</v>
      </c>
      <c r="O30" s="2044">
        <f>IF(SUM('Table2(II).B-Hs2'!J140:M140)=0,"NO",SUM('Table2(II).B-Hs2'!J140:M140))</f>
        <v>0.48120055417589785</v>
      </c>
      <c r="P30" s="2044" t="s">
        <v>2146</v>
      </c>
      <c r="Q30" s="2044" t="s">
        <v>2146</v>
      </c>
      <c r="R30" s="2044">
        <f>IF(SUM('Table2(II).B-Hs2'!J141:M141)=0,"NO",SUM('Table2(II).B-Hs2'!J141:M141))</f>
        <v>0.12673284492094336</v>
      </c>
      <c r="S30" s="2044" t="s">
        <v>2146</v>
      </c>
      <c r="T30" s="2044">
        <f>IF(SUM('Table2(II).B-Hs2'!J142:M142)=0,"NO",SUM('Table2(II).B-Hs2'!J142:M142))</f>
        <v>1.3510554442438711</v>
      </c>
      <c r="U30" s="2044">
        <f>IF(SUM('Table2(II).B-Hs2'!J143:M143)=0,"NO",SUM('Table2(II).B-Hs2'!J143:M143))</f>
        <v>1.6918344783911037</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f>IF(SUM('Table2(II).B-Hs2'!J147:M147)=0,"NO",SUM('Table2(II).B-Hs2'!J147:M147))</f>
        <v>0.56729824797862372</v>
      </c>
      <c r="D31" s="2044">
        <f>IF(SUM('Table2(II).B-Hs2'!J148:M148)=0,"NO",SUM('Table2(II).B-Hs2'!J148:M148))</f>
        <v>2.5290422623707141</v>
      </c>
      <c r="E31" s="2044" t="s">
        <v>2146</v>
      </c>
      <c r="F31" s="2044" t="str">
        <f>IF(SUM('Table2(II).B-Hs2'!J149:M149)=0,"NO",SUM('Table2(II).B-Hs2'!J149:M149))</f>
        <v>NO</v>
      </c>
      <c r="G31" s="2044">
        <f>IF(SUM('Table2(II).B-Hs2'!J150:M150)=0,"NO",SUM('Table2(II).B-Hs2'!J150:M150))</f>
        <v>7.5272123543351057</v>
      </c>
      <c r="H31" s="2044">
        <f>IF(SUM('Table2(II).B-Hs2'!J151:M151)=0,"NO",SUM('Table2(II).B-Hs2'!J151:M151))</f>
        <v>2.0042486411871833E-2</v>
      </c>
      <c r="I31" s="2044">
        <f>IF(SUM('Table2(II).B-Hs2'!J152:M152)=0,"NO",SUM('Table2(II).B-Hs2'!J152:M152))</f>
        <v>23.349687520898648</v>
      </c>
      <c r="J31" s="2044" t="s">
        <v>2146</v>
      </c>
      <c r="K31" s="2044">
        <f>IF(SUM('Table2(II).B-Hs2'!J153:M153)=0,"NO",SUM('Table2(II).B-Hs2'!J153:M153))</f>
        <v>6.6002895344664569</v>
      </c>
      <c r="L31" s="2044" t="s">
        <v>2146</v>
      </c>
      <c r="M31" s="2044">
        <f>IF(SUM('Table2(II).B-Hs2'!J154:M154)=0,"NO",SUM('Table2(II).B-Hs2'!J154:M154))</f>
        <v>0.95729483520147807</v>
      </c>
      <c r="N31" s="2044" t="s">
        <v>2146</v>
      </c>
      <c r="O31" s="2044">
        <f>IF(SUM('Table2(II).B-Hs2'!J155:M155)=0,"NO",SUM('Table2(II).B-Hs2'!J155:M155))</f>
        <v>0.24929154574736717</v>
      </c>
      <c r="P31" s="2044" t="s">
        <v>2146</v>
      </c>
      <c r="Q31" s="2044" t="s">
        <v>2146</v>
      </c>
      <c r="R31" s="2044">
        <f>IF(SUM('Table2(II).B-Hs2'!J156:M156)=0,"NO",SUM('Table2(II).B-Hs2'!J156:M156))</f>
        <v>6.5655424818473279E-2</v>
      </c>
      <c r="S31" s="2044" t="s">
        <v>2146</v>
      </c>
      <c r="T31" s="2044">
        <f>IF(SUM('Table2(II).B-Hs2'!J157:M157)=0,"NO",SUM('Table2(II).B-Hs2'!J157:M157))</f>
        <v>0.69992999210643936</v>
      </c>
      <c r="U31" s="2044">
        <f>IF(SUM('Table2(II).B-Hs2'!J158:M158)=0,"NO",SUM('Table2(II).B-Hs2'!J158:M158))</f>
        <v>0.87647453563122646</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5.0430081314542319</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4.2556394121607246</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0.78736871929350727</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564.12962214139623</v>
      </c>
      <c r="D39" s="4196">
        <f t="shared" ref="D39:AK39" si="72">IF(SUM(D40:D45)=0,"NO",SUM(D40:D45))</f>
        <v>137.30632168218622</v>
      </c>
      <c r="E39" s="4196" t="str">
        <f t="shared" si="72"/>
        <v>NO</v>
      </c>
      <c r="F39" s="4196" t="str">
        <f t="shared" si="72"/>
        <v>NO</v>
      </c>
      <c r="G39" s="4196">
        <f t="shared" si="72"/>
        <v>1913.5473271860017</v>
      </c>
      <c r="H39" s="4196">
        <f t="shared" si="72"/>
        <v>1.8001777846447553</v>
      </c>
      <c r="I39" s="4196">
        <f t="shared" si="72"/>
        <v>2434.2781600764379</v>
      </c>
      <c r="J39" s="4196" t="str">
        <f t="shared" si="72"/>
        <v>NO</v>
      </c>
      <c r="K39" s="4196">
        <f t="shared" si="72"/>
        <v>2540.6801933513443</v>
      </c>
      <c r="L39" s="4196" t="str">
        <f t="shared" si="72"/>
        <v>NO</v>
      </c>
      <c r="M39" s="4196">
        <f t="shared" si="72"/>
        <v>10.594258844392973</v>
      </c>
      <c r="N39" s="4196" t="str">
        <f t="shared" si="72"/>
        <v>NO</v>
      </c>
      <c r="O39" s="4196">
        <f t="shared" si="72"/>
        <v>66.972750440798904</v>
      </c>
      <c r="P39" s="4196" t="str">
        <f t="shared" si="72"/>
        <v>NO</v>
      </c>
      <c r="Q39" s="4196" t="str">
        <f t="shared" si="72"/>
        <v>NO</v>
      </c>
      <c r="R39" s="4196">
        <f t="shared" si="72"/>
        <v>42.437660581763275</v>
      </c>
      <c r="S39" s="4196" t="str">
        <f t="shared" si="72"/>
        <v>NO</v>
      </c>
      <c r="T39" s="4196">
        <f t="shared" si="72"/>
        <v>48.160132019576579</v>
      </c>
      <c r="U39" s="4196">
        <f t="shared" si="72"/>
        <v>56.512058762264076</v>
      </c>
      <c r="V39" s="4196" t="str">
        <f t="shared" si="72"/>
        <v>NO</v>
      </c>
      <c r="W39" s="4196">
        <f t="shared" si="72"/>
        <v>7816.4186628708076</v>
      </c>
      <c r="X39" s="4196">
        <f t="shared" si="72"/>
        <v>224.00040990000002</v>
      </c>
      <c r="Y39" s="4196">
        <f t="shared" si="72"/>
        <v>41.129380777173914</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265.12979067717396</v>
      </c>
      <c r="AI39" s="4197" t="str">
        <f t="shared" si="72"/>
        <v>NO</v>
      </c>
      <c r="AJ39" s="4197">
        <f t="shared" si="72"/>
        <v>118.51069108917444</v>
      </c>
      <c r="AK39" s="2918" t="str">
        <f t="shared" si="72"/>
        <v>NO</v>
      </c>
    </row>
    <row r="40" spans="2:37" ht="18" customHeight="1" x14ac:dyDescent="0.2">
      <c r="B40" s="1292" t="s">
        <v>595</v>
      </c>
      <c r="C40" s="4198" t="str">
        <f>IF(SUM(C11)=0,"NO",C11*12400/1000)</f>
        <v>NO</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t="str">
        <f>IF(SUM(C40:V40)=0,"NO",SUM(C40:V40))</f>
        <v>NO</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224.00040990000002</v>
      </c>
      <c r="Y41" s="4199">
        <f>IF(SUM(Y16)=0,"NO",Y16*11100/1000)</f>
        <v>41.129380777173914</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265.12979067717396</v>
      </c>
      <c r="AI41" s="4200" t="str">
        <f>IF(SUM(AI16)=0,"NO",AI16*1/1000)</f>
        <v>NO</v>
      </c>
      <c r="AJ41" s="4200" t="str">
        <f>IF(SUM(AJ16)=0,"NO",AJ16*23500/1000)</f>
        <v>NO</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564.12962214139623</v>
      </c>
      <c r="D43" s="4199">
        <f>IF(SUM(D26)=0,"NO",D26*677/1000)</f>
        <v>137.30632168218622</v>
      </c>
      <c r="E43" s="4199" t="str">
        <f>IF(SUM(E26)=0,"NO",E26*116/1000)</f>
        <v>NO</v>
      </c>
      <c r="F43" s="4199" t="str">
        <f>IF(SUM(F26)=0,"NO",F26*1650/1000)</f>
        <v>NO</v>
      </c>
      <c r="G43" s="4199">
        <f>IF(SUM(G26)=0,"NO",G26*3170/1000)</f>
        <v>1913.5473271860017</v>
      </c>
      <c r="H43" s="4199">
        <f>IF(SUM(H26)=0,"NO",H26*1120/1000)</f>
        <v>1.8001777846447553</v>
      </c>
      <c r="I43" s="4199">
        <f>IF(SUM(I26)=0,"NO",I26*1300/1000)</f>
        <v>2434.2781600764379</v>
      </c>
      <c r="J43" s="4199" t="str">
        <f>IF(SUM(J26)=0,"NO",J26*328/1000)</f>
        <v>NO</v>
      </c>
      <c r="K43" s="4199">
        <f>IF(SUM(K26)=0,"NO",K26*4800/1000)</f>
        <v>2540.6801933513443</v>
      </c>
      <c r="L43" s="4199" t="str">
        <f>IF(SUM(L26)=0,"NO",L26*16/1000)</f>
        <v>NO</v>
      </c>
      <c r="M43" s="4199">
        <f>IF(SUM(M26)=0,"NO",M26*138/1000)</f>
        <v>10.594258844392973</v>
      </c>
      <c r="N43" s="4199" t="str">
        <f>IF(SUM(N26)=0,"NO",N26*4/1000)</f>
        <v>NO</v>
      </c>
      <c r="O43" s="4199">
        <f>IF(SUM(O26)=0,"NO",O26*3350/1000)</f>
        <v>66.972750440798904</v>
      </c>
      <c r="P43" s="4199" t="str">
        <f>IF(SUM(P26)=0,"NO",P26*1210/1000)</f>
        <v>NO</v>
      </c>
      <c r="Q43" s="4199" t="str">
        <f>IF(SUM(Q26)=0,"NO",Q26*1330/1000)</f>
        <v>NO</v>
      </c>
      <c r="R43" s="4199">
        <f>IF(SUM(R26)=0,"NO",R26*8060/1000)</f>
        <v>42.437660581763275</v>
      </c>
      <c r="S43" s="4199" t="str">
        <f>IF(SUM(S26)=0,"NO",S26*716/1000)</f>
        <v>NO</v>
      </c>
      <c r="T43" s="4199">
        <f>IF(SUM(T26)=0,"NO",T26*858/1000)</f>
        <v>48.160132019576579</v>
      </c>
      <c r="U43" s="4199">
        <f>IF(SUM(U26)=0,"NO",U26*804/1000)</f>
        <v>56.512058762264076</v>
      </c>
      <c r="V43" s="4199" t="str">
        <f>IF(SUM(V26)=0,"NO",V26*1/1000)</f>
        <v>NO</v>
      </c>
      <c r="W43" s="4199">
        <f t="shared" si="73"/>
        <v>7816.4186628708076</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118.51069108917444</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6411.4761811194594</v>
      </c>
      <c r="I10" s="628"/>
      <c r="J10" s="628"/>
      <c r="K10" s="3192" t="str">
        <f>IF(SUM(K11:K14)=0,"NO",SUM(K11:K14))</f>
        <v>NO</v>
      </c>
      <c r="L10" s="3192" t="str">
        <f>IF(SUM(L11:L14)=0,"NO",SUM(L11:L14))</f>
        <v>NO</v>
      </c>
      <c r="M10" s="628"/>
      <c r="N10" s="1838"/>
    </row>
    <row r="11" spans="2:14" ht="18" customHeight="1" x14ac:dyDescent="0.2">
      <c r="B11" s="287" t="s">
        <v>491</v>
      </c>
      <c r="C11" s="2099" t="s">
        <v>2181</v>
      </c>
      <c r="D11" s="691">
        <v>6424.6210000000001</v>
      </c>
      <c r="E11" s="1913">
        <f>IF(SUM($D11)=0,"NA",H11/$D11)</f>
        <v>0.54761788665199085</v>
      </c>
      <c r="F11" s="628"/>
      <c r="G11" s="628"/>
      <c r="H11" s="3180">
        <v>3518.2373745599998</v>
      </c>
      <c r="I11" s="628"/>
      <c r="J11" s="628"/>
      <c r="K11" s="3180" t="s">
        <v>2146</v>
      </c>
      <c r="L11" s="691" t="s">
        <v>2146</v>
      </c>
      <c r="M11" s="628"/>
      <c r="N11" s="1838"/>
    </row>
    <row r="12" spans="2:14" ht="18" customHeight="1" x14ac:dyDescent="0.2">
      <c r="B12" s="287" t="s">
        <v>492</v>
      </c>
      <c r="C12" s="2100" t="s">
        <v>2182</v>
      </c>
      <c r="D12" s="691">
        <v>1601.4638639999998</v>
      </c>
      <c r="E12" s="1913">
        <f>IF(SUM($D12)=0,"NA",H12/$D12)</f>
        <v>0.81470102521563525</v>
      </c>
      <c r="F12" s="628"/>
      <c r="G12" s="628"/>
      <c r="H12" s="3180">
        <v>1304.7142518465926</v>
      </c>
      <c r="I12" s="628"/>
      <c r="J12" s="628"/>
      <c r="K12" s="3180" t="s">
        <v>2146</v>
      </c>
      <c r="L12" s="691" t="s">
        <v>2146</v>
      </c>
      <c r="M12" s="628"/>
      <c r="N12" s="1838"/>
    </row>
    <row r="13" spans="2:14" ht="18" customHeight="1" x14ac:dyDescent="0.2">
      <c r="B13" s="287" t="s">
        <v>493</v>
      </c>
      <c r="C13" s="2100" t="s">
        <v>2267</v>
      </c>
      <c r="D13" s="691">
        <v>225.37818009999995</v>
      </c>
      <c r="E13" s="1913">
        <f>IF(SUM($D13)=0,"NA",H13/$D13)</f>
        <v>0.43147241738333797</v>
      </c>
      <c r="F13" s="628"/>
      <c r="G13" s="628"/>
      <c r="H13" s="3180">
        <v>97.244468193204298</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1491.2800865196621</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29.128874553006192</v>
      </c>
      <c r="I15" s="628"/>
      <c r="J15" s="628"/>
      <c r="K15" s="3180" t="s">
        <v>2146</v>
      </c>
      <c r="L15" s="691" t="s">
        <v>2146</v>
      </c>
      <c r="M15" s="628"/>
      <c r="N15" s="1838"/>
    </row>
    <row r="16" spans="2:14" ht="18" customHeight="1" x14ac:dyDescent="0.2">
      <c r="B16" s="160" t="s">
        <v>496</v>
      </c>
      <c r="C16" s="484" t="s">
        <v>2316</v>
      </c>
      <c r="D16" s="2905">
        <v>352.50003900000013</v>
      </c>
      <c r="E16" s="1913">
        <f>IF(SUM($D16)=0,"NA",H16/$D16)</f>
        <v>0.4149199999999999</v>
      </c>
      <c r="F16" s="628"/>
      <c r="G16" s="628"/>
      <c r="H16" s="3180">
        <v>146.25931618188002</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1315.8918957847759</v>
      </c>
      <c r="I18" s="628"/>
      <c r="J18" s="628"/>
      <c r="K18" s="3181" t="str">
        <f>K19</f>
        <v>NO</v>
      </c>
      <c r="L18" s="3193" t="str">
        <f>L19</f>
        <v>NO</v>
      </c>
      <c r="M18" s="628"/>
      <c r="N18" s="1838"/>
    </row>
    <row r="19" spans="2:14" ht="18" customHeight="1" x14ac:dyDescent="0.2">
      <c r="B19" s="3182" t="s">
        <v>2265</v>
      </c>
      <c r="C19" s="484" t="s">
        <v>2267</v>
      </c>
      <c r="D19" s="2905">
        <v>1442.3770410000002</v>
      </c>
      <c r="E19" s="1913">
        <f>IF(SUM($D19)=0,"NA",H19/$D19)</f>
        <v>0.41301803654099889</v>
      </c>
      <c r="F19" s="628"/>
      <c r="G19" s="628"/>
      <c r="H19" s="3180">
        <v>595.72773342563596</v>
      </c>
      <c r="I19" s="628"/>
      <c r="J19" s="628"/>
      <c r="K19" s="3180" t="s">
        <v>2146</v>
      </c>
      <c r="L19" s="3180" t="s">
        <v>2146</v>
      </c>
      <c r="M19" s="628"/>
      <c r="N19" s="1838"/>
    </row>
    <row r="20" spans="2:14" ht="18" customHeight="1" x14ac:dyDescent="0.2">
      <c r="B20" s="3183" t="s">
        <v>2264</v>
      </c>
      <c r="C20" s="484" t="s">
        <v>2267</v>
      </c>
      <c r="D20" s="2905">
        <v>551.52219463312372</v>
      </c>
      <c r="E20" s="1913">
        <f>IF(SUM($D20)=0,"NA",H20/$D20)</f>
        <v>0.51336128361728517</v>
      </c>
      <c r="F20" s="628"/>
      <c r="G20" s="628"/>
      <c r="H20" s="3180">
        <v>283.1301417802826</v>
      </c>
      <c r="I20" s="628"/>
      <c r="J20" s="628"/>
      <c r="K20" s="3180" t="s">
        <v>2146</v>
      </c>
      <c r="L20" s="3180" t="s">
        <v>2146</v>
      </c>
      <c r="M20" s="2135"/>
      <c r="N20" s="2149"/>
    </row>
    <row r="21" spans="2:14" ht="18" customHeight="1" thickBot="1" x14ac:dyDescent="0.25">
      <c r="B21" s="3183" t="s">
        <v>2266</v>
      </c>
      <c r="C21" s="484" t="s">
        <v>2267</v>
      </c>
      <c r="D21" s="2905">
        <v>1459.3384450059841</v>
      </c>
      <c r="E21" s="1913">
        <f>IF(SUM($D21)=0,"NA",H21/$D21)</f>
        <v>0.29947406790688991</v>
      </c>
      <c r="F21" s="628"/>
      <c r="G21" s="628"/>
      <c r="H21" s="3180">
        <v>437.03402057885722</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3517.160632148466</v>
      </c>
      <c r="I22" s="3067">
        <f>IF(SUM(I23:I26,I30,I33:I35,I47)=0,"IE",SUM(I23:I26,I30,I33:I35,I47))</f>
        <v>0.57776360000000004</v>
      </c>
      <c r="J22" s="3067">
        <f>IF(SUM(J23:J26,J30,J33:J35,J47)=0,"IE",SUM(J23:J26,J30,J33:J35,J47))</f>
        <v>8.0798403411564426</v>
      </c>
      <c r="K22" s="3067">
        <f>IF(SUM(K23:K26,K30,K33:K35,K47)=0,"NO",SUM(K23:K26,K30,K33:K35,K47))</f>
        <v>-284.69909000000001</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1917.2465400000001</v>
      </c>
      <c r="E23" s="1913">
        <f>IF(SUM($D23)=0,"NA",H23/$D23)</f>
        <v>1.1874811418600522</v>
      </c>
      <c r="F23" s="1913" t="str">
        <f>IFERROR(IF(SUM($D23)=0,"NA",I23/$D23),"NA")</f>
        <v>NA</v>
      </c>
      <c r="G23" s="1913" t="str">
        <f>IFERROR(IF(SUM($D23)=0,"NA",J23/$D23),"NA")</f>
        <v>NA</v>
      </c>
      <c r="H23" s="691">
        <v>2276.6941105464343</v>
      </c>
      <c r="I23" s="691" t="s">
        <v>2146</v>
      </c>
      <c r="J23" s="691" t="s">
        <v>2146</v>
      </c>
      <c r="K23" s="3180">
        <v>-284.69909000000001</v>
      </c>
      <c r="L23" s="691" t="s">
        <v>2146</v>
      </c>
      <c r="M23" s="691" t="s">
        <v>2146</v>
      </c>
      <c r="N23" s="2911" t="s">
        <v>2146</v>
      </c>
    </row>
    <row r="24" spans="2:14" ht="18" customHeight="1" x14ac:dyDescent="0.2">
      <c r="B24" s="287" t="s">
        <v>500</v>
      </c>
      <c r="C24" s="484" t="s">
        <v>220</v>
      </c>
      <c r="D24" s="691">
        <v>1283.857</v>
      </c>
      <c r="E24" s="2108"/>
      <c r="F24" s="2108"/>
      <c r="G24" s="1913">
        <f>IF(SUM($D24)=0,"NA",J24/$D24)</f>
        <v>6.2934114478142367E-3</v>
      </c>
      <c r="H24" s="2108"/>
      <c r="I24" s="2108"/>
      <c r="J24" s="691">
        <v>8.0798403411564426</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1013.8021903229074</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f>H46</f>
        <v>48.294806000000001</v>
      </c>
      <c r="I35" s="3196">
        <f>I46</f>
        <v>0.57776360000000004</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IE</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IE</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f>IF(SUM(H44:H45)=0,"NO",SUM(H44:H45))</f>
        <v>48.294806000000001</v>
      </c>
      <c r="I42" s="3198">
        <f>IF(SUM(I44:I45)=0,"NO",SUM(I44:I45))</f>
        <v>0.57776360000000004</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f>H46</f>
        <v>48.294806000000001</v>
      </c>
      <c r="I45" s="3198">
        <f>I46</f>
        <v>0.57776360000000004</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v>48.294806000000001</v>
      </c>
      <c r="I46" s="691">
        <v>0.57776360000000004</v>
      </c>
      <c r="J46" s="628"/>
      <c r="K46" s="691" t="s">
        <v>2146</v>
      </c>
      <c r="L46" s="691" t="s">
        <v>2146</v>
      </c>
      <c r="M46" s="691" t="s">
        <v>2146</v>
      </c>
      <c r="N46" s="1838"/>
    </row>
    <row r="47" spans="2:16" ht="18" customHeight="1" x14ac:dyDescent="0.2">
      <c r="B47" s="287" t="s">
        <v>520</v>
      </c>
      <c r="C47" s="2104"/>
      <c r="D47" s="628"/>
      <c r="E47" s="628"/>
      <c r="F47" s="628"/>
      <c r="G47" s="628"/>
      <c r="H47" s="3198">
        <f>H50</f>
        <v>178.36952527912467</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178.36952527912467</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178.36952527912467</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11398.781007211961</v>
      </c>
      <c r="I52" s="3192">
        <f>IF(SUM(I53,I62:I67)=0,"IE",SUM(I53,I62:I67))</f>
        <v>2.4352972782400002</v>
      </c>
      <c r="J52" s="1909">
        <f>J67</f>
        <v>6.4365041777428578E-2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1942.896</v>
      </c>
      <c r="E63" s="4130">
        <f>IF(SUM($D63)=0,"NA",H63/$D63)</f>
        <v>1.6437420137183274</v>
      </c>
      <c r="F63" s="1892"/>
      <c r="G63" s="2107"/>
      <c r="H63" s="691">
        <v>3193.6197834852833</v>
      </c>
      <c r="I63" s="1879"/>
      <c r="J63" s="2108"/>
      <c r="K63" s="3180" t="s">
        <v>2146</v>
      </c>
      <c r="L63" s="691" t="s">
        <v>2146</v>
      </c>
      <c r="M63" s="3119"/>
      <c r="N63" s="2109"/>
    </row>
    <row r="64" spans="2:14" s="83" customFormat="1" ht="18" customHeight="1" x14ac:dyDescent="0.2">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8205.1612237266781</v>
      </c>
      <c r="I67" s="3199">
        <f t="shared" ref="I67:N67" si="8">IF(SUM(I69:I70)=0,I70,SUM(I69:I70))</f>
        <v>2.4352972782400002</v>
      </c>
      <c r="J67" s="3199">
        <f t="shared" si="8"/>
        <v>6.4365041777428578E-2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8205.1612237266781</v>
      </c>
      <c r="I70" s="3095">
        <f t="shared" si="9"/>
        <v>2.4352972782400002</v>
      </c>
      <c r="J70" s="3095">
        <f t="shared" si="9"/>
        <v>6.4365041777428578E-2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8205.1612237266781</v>
      </c>
      <c r="I71" s="3123">
        <v>2.4352972782400002</v>
      </c>
      <c r="J71" s="3123">
        <v>6.4365041777428578E-2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192.64508823</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348.11597938144337</v>
      </c>
      <c r="E73" s="4130">
        <f t="shared" ref="E73:G74" si="11">IF(SUM($D73)=0,"NA",H73/$D73)</f>
        <v>0.55339340805988035</v>
      </c>
      <c r="F73" s="276" t="s">
        <v>2147</v>
      </c>
      <c r="G73" s="276" t="s">
        <v>2147</v>
      </c>
      <c r="H73" s="3122">
        <v>192.64508823</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315.798</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218.00598284134924</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218.00598284134924</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t="str">
        <f t="shared" ref="G10:H12" si="0">G11</f>
        <v>NO</v>
      </c>
      <c r="H10" s="2612" t="str">
        <f t="shared" si="0"/>
        <v>NO</v>
      </c>
    </row>
    <row r="11" spans="2:8" ht="18" customHeight="1" x14ac:dyDescent="0.2">
      <c r="B11" s="169" t="s">
        <v>596</v>
      </c>
      <c r="C11" s="2507"/>
      <c r="D11" s="1825"/>
      <c r="E11" s="1826"/>
      <c r="F11" s="4322"/>
      <c r="G11" s="1913" t="str">
        <f t="shared" si="0"/>
        <v>NO</v>
      </c>
      <c r="H11" s="2611" t="str">
        <f t="shared" si="0"/>
        <v>NO</v>
      </c>
    </row>
    <row r="12" spans="2:8" ht="18" customHeight="1" x14ac:dyDescent="0.2">
      <c r="B12" s="1169" t="s">
        <v>597</v>
      </c>
      <c r="C12" s="2507"/>
      <c r="D12" s="1825"/>
      <c r="E12" s="1826"/>
      <c r="F12" s="4322"/>
      <c r="G12" s="1913" t="str">
        <f t="shared" si="0"/>
        <v>NO</v>
      </c>
      <c r="H12" s="2611" t="str">
        <f t="shared" si="0"/>
        <v>NO</v>
      </c>
    </row>
    <row r="13" spans="2:8" ht="18" customHeight="1" x14ac:dyDescent="0.2">
      <c r="B13" s="1170" t="s">
        <v>622</v>
      </c>
      <c r="C13" s="2620" t="s">
        <v>559</v>
      </c>
      <c r="D13" s="73" t="s">
        <v>624</v>
      </c>
      <c r="E13" s="2608" t="s">
        <v>2146</v>
      </c>
      <c r="F13" s="4323" t="str">
        <f>IF(SUM(E13)=0,"NA",SUM(G13)*1000/E13)</f>
        <v>NA</v>
      </c>
      <c r="G13" s="691" t="s">
        <v>2146</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37.49123346571907</v>
      </c>
      <c r="H22" s="2611" t="str">
        <f>H23</f>
        <v>NO</v>
      </c>
    </row>
    <row r="23" spans="2:8" ht="18" customHeight="1" x14ac:dyDescent="0.2">
      <c r="B23" s="169" t="s">
        <v>636</v>
      </c>
      <c r="C23" s="2507"/>
      <c r="D23" s="76"/>
      <c r="E23" s="76"/>
      <c r="F23" s="4322"/>
      <c r="G23" s="3188">
        <f>IF(SUM(G24,G27)=0,"NO",SUM(G24,G27))</f>
        <v>37.49123346571907</v>
      </c>
      <c r="H23" s="2611" t="str">
        <f>H24</f>
        <v>NO</v>
      </c>
    </row>
    <row r="24" spans="2:8" ht="18" customHeight="1" x14ac:dyDescent="0.2">
      <c r="B24" s="171" t="s">
        <v>637</v>
      </c>
      <c r="C24" s="2507"/>
      <c r="D24" s="76"/>
      <c r="E24" s="76"/>
      <c r="F24" s="4322"/>
      <c r="G24" s="3188">
        <f>IF(SUM(G25:G26)=0,"NO",SUM(G25:G26))</f>
        <v>37.49123346571907</v>
      </c>
      <c r="H24" s="2611" t="str">
        <f>H25</f>
        <v>NO</v>
      </c>
    </row>
    <row r="25" spans="2:8" ht="18" customHeight="1" x14ac:dyDescent="0.25">
      <c r="B25" s="2609" t="s">
        <v>1741</v>
      </c>
      <c r="C25" s="2620" t="s">
        <v>1741</v>
      </c>
      <c r="D25" s="73" t="s">
        <v>638</v>
      </c>
      <c r="E25" s="691">
        <v>1942896</v>
      </c>
      <c r="F25" s="4320">
        <f t="shared" ref="F25:F28" si="2">IF(SUM(E25)=0,"NA",G25*1000/E25)</f>
        <v>1.7389445367201259E-2</v>
      </c>
      <c r="G25" s="691">
        <v>33.785883846153851</v>
      </c>
      <c r="H25" s="2610" t="s">
        <v>2146</v>
      </c>
    </row>
    <row r="26" spans="2:8" ht="18" customHeight="1" x14ac:dyDescent="0.25">
      <c r="B26" s="2609" t="s">
        <v>1742</v>
      </c>
      <c r="C26" s="2620" t="s">
        <v>1742</v>
      </c>
      <c r="D26" s="73" t="s">
        <v>638</v>
      </c>
      <c r="E26" s="691">
        <v>1942896</v>
      </c>
      <c r="F26" s="4320">
        <f t="shared" si="2"/>
        <v>1.9071271028223936E-3</v>
      </c>
      <c r="G26" s="691">
        <v>3.7053496195652174</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t="s">
        <v>2146</v>
      </c>
      <c r="F28" s="4320" t="str">
        <f t="shared" si="2"/>
        <v>NA</v>
      </c>
      <c r="G28" s="691" t="s">
        <v>2146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35.9267314436402</v>
      </c>
      <c r="K10" s="3224">
        <f>IF(SUM(K11,K90,K117,K130,K146,K159)=0,"NO",SUM(K11,K90,K117,K130,K146,K159))</f>
        <v>2760.3947167648516</v>
      </c>
      <c r="L10" s="3225">
        <f>IF(SUM(L11,L90,L117,L130,L146,L159)=0,"NO",SUM(L11,L90,L117,L130,L146,L159))</f>
        <v>945.56593883447215</v>
      </c>
      <c r="M10" s="3498">
        <f>IF(SUM(M11,M90,M117,M130,M146,M159)=0,"NO",SUM(M11,M90,M117,M130,M146,M159))</f>
        <v>-258.05080269355676</v>
      </c>
    </row>
    <row r="11" spans="1:13" ht="18" customHeight="1" x14ac:dyDescent="0.2">
      <c r="B11" s="147" t="s">
        <v>667</v>
      </c>
      <c r="C11" s="2508"/>
      <c r="D11" s="2108"/>
      <c r="E11" s="2108"/>
      <c r="F11" s="2108"/>
      <c r="G11" s="2108"/>
      <c r="H11" s="2108"/>
      <c r="I11" s="2108"/>
      <c r="J11" s="3103">
        <f>IF(SUM(J12,J25,J38,J51,J64,J77)=0,"NO",SUM(J12,J25,J38,J51,J64,J77))</f>
        <v>18.785845465621591</v>
      </c>
      <c r="K11" s="3103">
        <f t="shared" ref="K11:M11" si="0">IF(SUM(K12,K25,K38,K51,K64,K77)=0,"NO",SUM(K12,K25,K38,K51,K64,K77))</f>
        <v>2625.4728053678018</v>
      </c>
      <c r="L11" s="3103">
        <f t="shared" si="0"/>
        <v>913.88357796875448</v>
      </c>
      <c r="M11" s="3226">
        <f t="shared" si="0"/>
        <v>-249.45118027563231</v>
      </c>
    </row>
    <row r="12" spans="1:13" ht="18" customHeight="1" x14ac:dyDescent="0.2">
      <c r="B12" s="104" t="s">
        <v>668</v>
      </c>
      <c r="C12" s="2508"/>
      <c r="D12" s="2108"/>
      <c r="E12" s="2108"/>
      <c r="F12" s="2108"/>
      <c r="G12" s="2108"/>
      <c r="H12" s="2108"/>
      <c r="I12" s="2108"/>
      <c r="J12" s="3103">
        <f>IF(SUM(J13:J24)=0,"NO",SUM(J13:J24))</f>
        <v>14.294070158993719</v>
      </c>
      <c r="K12" s="3103">
        <f>IF(SUM(K13:K24)=0,"NO",SUM(K13:K24))</f>
        <v>1554.0376663545985</v>
      </c>
      <c r="L12" s="3103">
        <f>IF(SUM(L13:L24)=0,"NO",SUM(L13:L24))</f>
        <v>333.57511988894379</v>
      </c>
      <c r="M12" s="3226">
        <f>IF(SUM(M13:M24)=0,"NO",SUM(M13:M24))</f>
        <v>-75.848455179392431</v>
      </c>
    </row>
    <row r="13" spans="1:13" ht="18" customHeight="1" x14ac:dyDescent="0.2">
      <c r="B13" s="2616" t="s">
        <v>559</v>
      </c>
      <c r="C13" s="2618" t="s">
        <v>559</v>
      </c>
      <c r="D13" s="3227">
        <v>10.666386219121463</v>
      </c>
      <c r="E13" s="3227">
        <v>142.50095491203643</v>
      </c>
      <c r="F13" s="3227">
        <v>5.3585478063210932</v>
      </c>
      <c r="G13" s="3103">
        <f>IF(SUM(D13)=0,"NA",J13/D13)</f>
        <v>1.7500000000000005E-2</v>
      </c>
      <c r="H13" s="3103">
        <f>IF(SUM(E13)=0,"NA",K13/E13)</f>
        <v>0.14241089328265255</v>
      </c>
      <c r="I13" s="3103">
        <f>IF(SUM(F13)=0,"NA",(SUM(L13:M13))/F13)</f>
        <v>0.62807526196515162</v>
      </c>
      <c r="J13" s="3227">
        <v>0.18666175883462566</v>
      </c>
      <c r="K13" s="3227">
        <v>20.293688282654102</v>
      </c>
      <c r="L13" s="3227">
        <v>4.3620595617645037</v>
      </c>
      <c r="M13" s="3497">
        <v>-0.99648824455659446</v>
      </c>
    </row>
    <row r="14" spans="1:13" ht="18" customHeight="1" x14ac:dyDescent="0.2">
      <c r="B14" s="2616" t="s">
        <v>560</v>
      </c>
      <c r="C14" s="2618" t="s">
        <v>560</v>
      </c>
      <c r="D14" s="3227">
        <v>47.55125127046616</v>
      </c>
      <c r="E14" s="3227">
        <v>635.27595702058943</v>
      </c>
      <c r="F14" s="3227">
        <v>23.888658065502391</v>
      </c>
      <c r="G14" s="3103">
        <f t="shared" ref="G14:G24" si="1">IF(SUM(D14)=0,"NA",J14/D14)</f>
        <v>1.7500000000000005E-2</v>
      </c>
      <c r="H14" s="3103">
        <f t="shared" ref="H14:H24" si="2">IF(SUM(E14)=0,"NA",K14/E14)</f>
        <v>0.14241089328265252</v>
      </c>
      <c r="I14" s="3103">
        <f t="shared" ref="I14:I78" si="3">IF(SUM(F14)=0,"NA",(SUM(L14:M14))/F14)</f>
        <v>0.62807526196515129</v>
      </c>
      <c r="J14" s="3227">
        <v>0.83214689723315804</v>
      </c>
      <c r="K14" s="3227">
        <v>90.470216520294116</v>
      </c>
      <c r="L14" s="3227">
        <v>19.446266618994372</v>
      </c>
      <c r="M14" s="3497">
        <v>-4.4423914465080339</v>
      </c>
    </row>
    <row r="15" spans="1:13" ht="18" customHeight="1" x14ac:dyDescent="0.2">
      <c r="B15" s="2616" t="s">
        <v>562</v>
      </c>
      <c r="C15" s="2618" t="s">
        <v>562</v>
      </c>
      <c r="D15" s="3227" t="s">
        <v>2146</v>
      </c>
      <c r="E15" s="3227" t="s">
        <v>2146</v>
      </c>
      <c r="F15" s="3227" t="s">
        <v>2146</v>
      </c>
      <c r="G15" s="3103" t="str">
        <f t="shared" ref="G15" si="4">IF(SUM(D15)=0,"NA",J15/D15)</f>
        <v>NA</v>
      </c>
      <c r="H15" s="3103" t="str">
        <f t="shared" ref="H15" si="5">IF(SUM(E15)=0,"NA",K15/E15)</f>
        <v>NA</v>
      </c>
      <c r="I15" s="3103" t="str">
        <f t="shared" si="3"/>
        <v>NA</v>
      </c>
      <c r="J15" s="3227" t="s">
        <v>2146</v>
      </c>
      <c r="K15" s="3227" t="s">
        <v>2146</v>
      </c>
      <c r="L15" s="3227" t="s">
        <v>2146</v>
      </c>
      <c r="M15" s="3497" t="s">
        <v>2146</v>
      </c>
    </row>
    <row r="16" spans="1:13" ht="18" customHeight="1" x14ac:dyDescent="0.2">
      <c r="B16" s="2616" t="s">
        <v>563</v>
      </c>
      <c r="C16" s="2618" t="s">
        <v>563</v>
      </c>
      <c r="D16" s="3227">
        <v>141.52723794011456</v>
      </c>
      <c r="E16" s="3227">
        <v>1890.7778265496222</v>
      </c>
      <c r="F16" s="3227">
        <v>71.100038459056307</v>
      </c>
      <c r="G16" s="3103">
        <f t="shared" si="1"/>
        <v>1.7500000000000005E-2</v>
      </c>
      <c r="H16" s="3103">
        <f t="shared" si="2"/>
        <v>0.14241089328265252</v>
      </c>
      <c r="I16" s="3103">
        <f t="shared" si="3"/>
        <v>0.62807526196515184</v>
      </c>
      <c r="J16" s="3227">
        <v>2.4767266639520056</v>
      </c>
      <c r="K16" s="3227">
        <v>269.26735927796392</v>
      </c>
      <c r="L16" s="3227">
        <v>57.878106869980286</v>
      </c>
      <c r="M16" s="3497">
        <v>-13.221931589076117</v>
      </c>
    </row>
    <row r="17" spans="2:13" ht="18" customHeight="1" x14ac:dyDescent="0.2">
      <c r="B17" s="2616" t="s">
        <v>564</v>
      </c>
      <c r="C17" s="2618" t="s">
        <v>564</v>
      </c>
      <c r="D17" s="3227">
        <v>0.37684040383035766</v>
      </c>
      <c r="E17" s="3227">
        <v>5.0345183731483534</v>
      </c>
      <c r="F17" s="3227">
        <v>0.18931597616991586</v>
      </c>
      <c r="G17" s="3103">
        <f t="shared" si="1"/>
        <v>1.7499999999999998E-2</v>
      </c>
      <c r="H17" s="3103">
        <f t="shared" si="2"/>
        <v>0.14241089328265252</v>
      </c>
      <c r="I17" s="3103">
        <f t="shared" si="3"/>
        <v>0.62807526196515095</v>
      </c>
      <c r="J17" s="3227">
        <v>6.594707067031259E-3</v>
      </c>
      <c r="K17" s="3227">
        <v>0.71697025876798359</v>
      </c>
      <c r="L17" s="3227">
        <v>0.15411032874851205</v>
      </c>
      <c r="M17" s="3497">
        <v>-3.520564742140387E-2</v>
      </c>
    </row>
    <row r="18" spans="2:13" ht="18" customHeight="1" x14ac:dyDescent="0.2">
      <c r="B18" s="2616" t="s">
        <v>565</v>
      </c>
      <c r="C18" s="2618" t="s">
        <v>565</v>
      </c>
      <c r="D18" s="3227">
        <v>439.02265885913755</v>
      </c>
      <c r="E18" s="3227">
        <v>5865.2618450376322</v>
      </c>
      <c r="F18" s="3227">
        <v>220.55491496619092</v>
      </c>
      <c r="G18" s="3103">
        <f t="shared" si="1"/>
        <v>1.7500000000000002E-2</v>
      </c>
      <c r="H18" s="3103">
        <f t="shared" si="2"/>
        <v>0.14241089328265252</v>
      </c>
      <c r="I18" s="3103">
        <f t="shared" si="3"/>
        <v>0.62807526196515073</v>
      </c>
      <c r="J18" s="3227">
        <v>7.6828965300349079</v>
      </c>
      <c r="K18" s="3227">
        <v>835.27717868846787</v>
      </c>
      <c r="L18" s="3227">
        <v>179.54000048064142</v>
      </c>
      <c r="M18" s="3497">
        <v>-41.014914485549511</v>
      </c>
    </row>
    <row r="19" spans="2:13" ht="18" customHeight="1" x14ac:dyDescent="0.2">
      <c r="B19" s="2616" t="s">
        <v>567</v>
      </c>
      <c r="C19" s="2618" t="s">
        <v>567</v>
      </c>
      <c r="D19" s="3227">
        <v>124.09916227221879</v>
      </c>
      <c r="E19" s="3227">
        <v>1657.9419462491119</v>
      </c>
      <c r="F19" s="3227">
        <v>62.344572950861632</v>
      </c>
      <c r="G19" s="3103">
        <f t="shared" si="1"/>
        <v>1.7500000000000002E-2</v>
      </c>
      <c r="H19" s="3103">
        <f t="shared" si="2"/>
        <v>0.14241089328265255</v>
      </c>
      <c r="I19" s="3103">
        <f t="shared" si="3"/>
        <v>0.62807526196514984</v>
      </c>
      <c r="J19" s="3227">
        <v>2.171735339763829</v>
      </c>
      <c r="K19" s="3227">
        <v>236.10899357611555</v>
      </c>
      <c r="L19" s="3227">
        <v>50.750828469539698</v>
      </c>
      <c r="M19" s="3497">
        <v>-11.593744481321885</v>
      </c>
    </row>
    <row r="20" spans="2:13" ht="18" customHeight="1" x14ac:dyDescent="0.2">
      <c r="B20" s="2616" t="s">
        <v>569</v>
      </c>
      <c r="C20" s="2618" t="s">
        <v>569</v>
      </c>
      <c r="D20" s="3227">
        <v>17.999132685870652</v>
      </c>
      <c r="E20" s="3227">
        <v>240.46509685979407</v>
      </c>
      <c r="F20" s="3227">
        <v>9.0423514570146981</v>
      </c>
      <c r="G20" s="3103">
        <f t="shared" si="1"/>
        <v>1.7499999999999998E-2</v>
      </c>
      <c r="H20" s="3103">
        <f t="shared" si="2"/>
        <v>0.14241089328265252</v>
      </c>
      <c r="I20" s="3103">
        <f t="shared" si="3"/>
        <v>0.62807526196515084</v>
      </c>
      <c r="J20" s="3227">
        <v>0.31498482200273636</v>
      </c>
      <c r="K20" s="3227">
        <v>34.244849247102835</v>
      </c>
      <c r="L20" s="3227">
        <v>7.1870099780118579</v>
      </c>
      <c r="M20" s="3497">
        <v>-1.5077327178663871</v>
      </c>
    </row>
    <row r="21" spans="2:13" ht="18" customHeight="1" x14ac:dyDescent="0.2">
      <c r="B21" s="2616" t="s">
        <v>571</v>
      </c>
      <c r="C21" s="2618" t="s">
        <v>571</v>
      </c>
      <c r="D21" s="3227">
        <v>4.6871992247072836</v>
      </c>
      <c r="E21" s="3227">
        <v>62.620118160202793</v>
      </c>
      <c r="F21" s="3227">
        <v>2.3547413910738615</v>
      </c>
      <c r="G21" s="3103">
        <f t="shared" si="1"/>
        <v>1.7500000000000002E-2</v>
      </c>
      <c r="H21" s="3103">
        <f t="shared" si="2"/>
        <v>0.14241089328265255</v>
      </c>
      <c r="I21" s="3103">
        <f t="shared" si="3"/>
        <v>0.62807526196515073</v>
      </c>
      <c r="J21" s="3227">
        <v>8.2025986432377462E-2</v>
      </c>
      <c r="K21" s="3227">
        <v>8.917786964659733</v>
      </c>
      <c r="L21" s="3227">
        <v>1.9168481035663802</v>
      </c>
      <c r="M21" s="3497">
        <v>-0.4378932875074813</v>
      </c>
    </row>
    <row r="22" spans="2:13" ht="18" customHeight="1" x14ac:dyDescent="0.2">
      <c r="B22" s="2616" t="s">
        <v>574</v>
      </c>
      <c r="C22" s="2618" t="s">
        <v>574</v>
      </c>
      <c r="D22" s="3227">
        <v>1.2344584545953277</v>
      </c>
      <c r="E22" s="3227">
        <v>14.414733186838202</v>
      </c>
      <c r="F22" s="3227">
        <v>0.62016361567780875</v>
      </c>
      <c r="G22" s="3103">
        <f t="shared" si="1"/>
        <v>1.7500000000000002E-2</v>
      </c>
      <c r="H22" s="3103">
        <f t="shared" si="2"/>
        <v>0.16293468694495467</v>
      </c>
      <c r="I22" s="3103">
        <f t="shared" si="3"/>
        <v>0.62807526196515095</v>
      </c>
      <c r="J22" s="3227">
        <v>2.1603022955418237E-2</v>
      </c>
      <c r="K22" s="3227">
        <v>2.3486600391925312</v>
      </c>
      <c r="L22" s="3227">
        <v>0.50483652052795192</v>
      </c>
      <c r="M22" s="3497">
        <v>-0.11532709514985701</v>
      </c>
    </row>
    <row r="23" spans="2:13" ht="18" customHeight="1" x14ac:dyDescent="0.2">
      <c r="B23" s="2616" t="s">
        <v>576</v>
      </c>
      <c r="C23" s="2618" t="s">
        <v>576</v>
      </c>
      <c r="D23" s="3227">
        <v>13.160138690284189</v>
      </c>
      <c r="E23" s="3227">
        <v>175.81702852447393</v>
      </c>
      <c r="F23" s="3227">
        <v>6.611351854415787</v>
      </c>
      <c r="G23" s="3103">
        <f t="shared" si="1"/>
        <v>1.7500000000000002E-2</v>
      </c>
      <c r="H23" s="3103">
        <f t="shared" si="2"/>
        <v>0.14241089328265252</v>
      </c>
      <c r="I23" s="3103">
        <f t="shared" si="3"/>
        <v>0.62807526196515073</v>
      </c>
      <c r="J23" s="3227">
        <v>0.23030242707997334</v>
      </c>
      <c r="K23" s="3227">
        <v>25.038260086471933</v>
      </c>
      <c r="L23" s="3227">
        <v>5.2548114250715763</v>
      </c>
      <c r="M23" s="3497">
        <v>-1.1023848771655957</v>
      </c>
    </row>
    <row r="24" spans="2:13" ht="18" customHeight="1" x14ac:dyDescent="0.2">
      <c r="B24" s="2616" t="s">
        <v>577</v>
      </c>
      <c r="C24" s="2618" t="s">
        <v>577</v>
      </c>
      <c r="D24" s="3227">
        <v>16.479543065008848</v>
      </c>
      <c r="E24" s="3227">
        <v>220.16365946584023</v>
      </c>
      <c r="F24" s="3227">
        <v>8.2789444827969572</v>
      </c>
      <c r="G24" s="3103">
        <f t="shared" si="1"/>
        <v>1.7500000000000002E-2</v>
      </c>
      <c r="H24" s="3103">
        <f t="shared" si="2"/>
        <v>0.14241089328265255</v>
      </c>
      <c r="I24" s="3103">
        <f t="shared" si="3"/>
        <v>0.62807526196515129</v>
      </c>
      <c r="J24" s="3227">
        <v>0.28839200363765488</v>
      </c>
      <c r="K24" s="3227">
        <v>31.353703412908029</v>
      </c>
      <c r="L24" s="3227">
        <v>6.5802415320972258</v>
      </c>
      <c r="M24" s="3497">
        <v>-1.3804413072695829</v>
      </c>
    </row>
    <row r="25" spans="2:13" ht="18" customHeight="1" x14ac:dyDescent="0.2">
      <c r="B25" s="105" t="s">
        <v>669</v>
      </c>
      <c r="C25" s="2508"/>
      <c r="D25" s="2108"/>
      <c r="E25" s="2108"/>
      <c r="F25" s="2108"/>
      <c r="G25" s="2108"/>
      <c r="H25" s="2108"/>
      <c r="I25" s="2108"/>
      <c r="J25" s="3103">
        <f>IF(SUM(J26:J37)=0,"NO",SUM(J26:J37))</f>
        <v>6.986410657738841E-2</v>
      </c>
      <c r="K25" s="3103">
        <f>IF(SUM(K26:K37)=0,"NO",SUM(K26:K37))</f>
        <v>13.504623638718106</v>
      </c>
      <c r="L25" s="3103">
        <f>IF(SUM(L26:L37)=0,"NO",SUM(L26:L37))</f>
        <v>33.269179358337666</v>
      </c>
      <c r="M25" s="3226">
        <f>IF(SUM(M26:M37)=0,"NO",SUM(M26:M37))</f>
        <v>-6.2377123601229423</v>
      </c>
    </row>
    <row r="26" spans="2:13" ht="18" customHeight="1" x14ac:dyDescent="0.2">
      <c r="B26" s="2616" t="s">
        <v>559</v>
      </c>
      <c r="C26" s="2618" t="s">
        <v>559</v>
      </c>
      <c r="D26" s="3227">
        <v>0.15205555949763069</v>
      </c>
      <c r="E26" s="3227">
        <v>10.115963546777026</v>
      </c>
      <c r="F26" s="3227">
        <v>0.51590805223640457</v>
      </c>
      <c r="G26" s="3103">
        <f>IF(SUM(D26)=0,"NA",J26/D26)</f>
        <v>5.9999999999999993E-3</v>
      </c>
      <c r="H26" s="3103">
        <f>IF(SUM(E26)=0,"NA",K26/E26)</f>
        <v>1.7433102109094944E-2</v>
      </c>
      <c r="I26" s="3103">
        <f t="shared" si="3"/>
        <v>0.68422155787020766</v>
      </c>
      <c r="J26" s="3227">
        <v>9.1233335698578401E-4</v>
      </c>
      <c r="K26" s="3227">
        <v>0.17635262544284613</v>
      </c>
      <c r="L26" s="3227">
        <v>0.43445173172769086</v>
      </c>
      <c r="M26" s="3497">
        <v>-8.1456320508713667E-2</v>
      </c>
    </row>
    <row r="27" spans="2:13" ht="18" customHeight="1" x14ac:dyDescent="0.2">
      <c r="B27" s="2616" t="s">
        <v>560</v>
      </c>
      <c r="C27" s="2618" t="s">
        <v>560</v>
      </c>
      <c r="D27" s="3227">
        <v>0.67787083349572241</v>
      </c>
      <c r="E27" s="3227">
        <v>45.097441117718141</v>
      </c>
      <c r="F27" s="3227">
        <v>2.2999423535191132</v>
      </c>
      <c r="G27" s="3103">
        <f t="shared" ref="G27:G37" si="6">IF(SUM(D27)=0,"NA",J27/D27)</f>
        <v>5.9999999999999993E-3</v>
      </c>
      <c r="H27" s="3103">
        <f t="shared" ref="H27:H37" si="7">IF(SUM(E27)=0,"NA",K27/E27)</f>
        <v>1.7433102109094947E-2</v>
      </c>
      <c r="I27" s="3103">
        <f t="shared" si="3"/>
        <v>0.68422155787020733</v>
      </c>
      <c r="J27" s="3227">
        <v>4.0672250009743342E-3</v>
      </c>
      <c r="K27" s="3227">
        <v>0.78618829586407735</v>
      </c>
      <c r="L27" s="3227">
        <v>1.9368062468278155</v>
      </c>
      <c r="M27" s="3497">
        <v>-0.36313610669129681</v>
      </c>
    </row>
    <row r="28" spans="2:13" ht="18" customHeight="1" x14ac:dyDescent="0.2">
      <c r="B28" s="2616" t="s">
        <v>562</v>
      </c>
      <c r="C28" s="2618" t="s">
        <v>562</v>
      </c>
      <c r="D28" s="3227" t="s">
        <v>2146</v>
      </c>
      <c r="E28" s="3227" t="s">
        <v>2146</v>
      </c>
      <c r="F28" s="3227" t="s">
        <v>2146</v>
      </c>
      <c r="G28" s="3103" t="str">
        <f t="shared" si="6"/>
        <v>NA</v>
      </c>
      <c r="H28" s="3103" t="str">
        <f t="shared" si="7"/>
        <v>NA</v>
      </c>
      <c r="I28" s="3103" t="str">
        <f t="shared" si="3"/>
        <v>NA</v>
      </c>
      <c r="J28" s="3227" t="s">
        <v>2146</v>
      </c>
      <c r="K28" s="3227" t="s">
        <v>2146</v>
      </c>
      <c r="L28" s="3227" t="s">
        <v>2146</v>
      </c>
      <c r="M28" s="3497" t="s">
        <v>2146</v>
      </c>
    </row>
    <row r="29" spans="2:13" ht="18" customHeight="1" x14ac:dyDescent="0.2">
      <c r="B29" s="2616" t="s">
        <v>563</v>
      </c>
      <c r="C29" s="2618" t="s">
        <v>563</v>
      </c>
      <c r="D29" s="3227">
        <v>2.0175533594086303</v>
      </c>
      <c r="E29" s="3227">
        <v>134.22393962368244</v>
      </c>
      <c r="F29" s="3227">
        <v>6.8453401333986736</v>
      </c>
      <c r="G29" s="3103">
        <f t="shared" si="6"/>
        <v>5.9999999999999984E-3</v>
      </c>
      <c r="H29" s="3103">
        <f t="shared" si="7"/>
        <v>1.7433102109094944E-2</v>
      </c>
      <c r="I29" s="3103">
        <f t="shared" si="3"/>
        <v>0.68422155787020733</v>
      </c>
      <c r="J29" s="3227">
        <v>1.210532015645178E-2</v>
      </c>
      <c r="K29" s="3227">
        <v>2.3399396449446508</v>
      </c>
      <c r="L29" s="3227">
        <v>5.7645347118120824</v>
      </c>
      <c r="M29" s="3497">
        <v>-1.080805421586589</v>
      </c>
    </row>
    <row r="30" spans="2:13" ht="18" customHeight="1" x14ac:dyDescent="0.2">
      <c r="B30" s="2616" t="s">
        <v>564</v>
      </c>
      <c r="C30" s="2618" t="s">
        <v>564</v>
      </c>
      <c r="D30" s="3227">
        <v>5.3720798467822295E-3</v>
      </c>
      <c r="E30" s="3227">
        <v>0.3573941267255758</v>
      </c>
      <c r="F30" s="3227">
        <v>1.822688535275192E-2</v>
      </c>
      <c r="G30" s="3103">
        <f t="shared" si="6"/>
        <v>6.000000000000001E-3</v>
      </c>
      <c r="H30" s="3103">
        <f t="shared" si="7"/>
        <v>1.7433102109094944E-2</v>
      </c>
      <c r="I30" s="3103">
        <f t="shared" si="3"/>
        <v>0.68422155787020755</v>
      </c>
      <c r="J30" s="3227">
        <v>3.2232479080693383E-5</v>
      </c>
      <c r="K30" s="3227">
        <v>6.2304883043977815E-3</v>
      </c>
      <c r="L30" s="3227">
        <v>1.5349056621966752E-2</v>
      </c>
      <c r="M30" s="3497">
        <v>-2.8778287307851657E-3</v>
      </c>
    </row>
    <row r="31" spans="2:13" ht="18" customHeight="1" x14ac:dyDescent="0.2">
      <c r="B31" s="2616" t="s">
        <v>565</v>
      </c>
      <c r="C31" s="2618" t="s">
        <v>565</v>
      </c>
      <c r="D31" s="3227">
        <v>6.2585241761911314</v>
      </c>
      <c r="E31" s="3227">
        <v>416.36756085829745</v>
      </c>
      <c r="F31" s="3227">
        <v>21.234494998280724</v>
      </c>
      <c r="G31" s="3103">
        <f t="shared" si="6"/>
        <v>6.000000000000001E-3</v>
      </c>
      <c r="H31" s="3103">
        <f t="shared" si="7"/>
        <v>1.7433102109094947E-2</v>
      </c>
      <c r="I31" s="3103">
        <f t="shared" si="3"/>
        <v>0.68422155787020755</v>
      </c>
      <c r="J31" s="3227">
        <v>3.7551145057146795E-2</v>
      </c>
      <c r="K31" s="3227">
        <v>7.2585782033575041</v>
      </c>
      <c r="L31" s="3227">
        <v>17.881797123295744</v>
      </c>
      <c r="M31" s="3497">
        <v>-3.3526978749849765</v>
      </c>
    </row>
    <row r="32" spans="2:13" ht="18" customHeight="1" x14ac:dyDescent="0.2">
      <c r="B32" s="2616" t="s">
        <v>567</v>
      </c>
      <c r="C32" s="2618" t="s">
        <v>567</v>
      </c>
      <c r="D32" s="3227" t="s">
        <v>2146</v>
      </c>
      <c r="E32" s="3227">
        <v>117.69521334984358</v>
      </c>
      <c r="F32" s="3227">
        <v>6.002385041829398</v>
      </c>
      <c r="G32" s="3103" t="str">
        <f t="shared" si="6"/>
        <v>NA</v>
      </c>
      <c r="H32" s="3103">
        <f t="shared" si="7"/>
        <v>1.7433102109094944E-2</v>
      </c>
      <c r="I32" s="3103">
        <f t="shared" si="3"/>
        <v>0.68422155787020766</v>
      </c>
      <c r="J32" s="3227">
        <v>1.0614635827827944E-2</v>
      </c>
      <c r="K32" s="3227">
        <v>2.0517926720795376</v>
      </c>
      <c r="L32" s="3227">
        <v>5.0546731430433702</v>
      </c>
      <c r="M32" s="3497">
        <v>-0.9477118987860278</v>
      </c>
    </row>
    <row r="33" spans="2:13" ht="18" customHeight="1" x14ac:dyDescent="0.2">
      <c r="B33" s="2616" t="s">
        <v>569</v>
      </c>
      <c r="C33" s="2618" t="s">
        <v>569</v>
      </c>
      <c r="D33" s="3227">
        <v>0.25658813911274025</v>
      </c>
      <c r="E33" s="3227">
        <v>17.070314761100715</v>
      </c>
      <c r="F33" s="3227">
        <v>0.87057577844551037</v>
      </c>
      <c r="G33" s="3103">
        <f t="shared" si="6"/>
        <v>6.000000000000001E-3</v>
      </c>
      <c r="H33" s="3103">
        <f t="shared" si="7"/>
        <v>1.7433102109094947E-2</v>
      </c>
      <c r="I33" s="3103">
        <f t="shared" si="3"/>
        <v>0.68422155787020766</v>
      </c>
      <c r="J33" s="3227">
        <v>1.5395288346764418E-3</v>
      </c>
      <c r="K33" s="3227">
        <v>0.29758854026465947</v>
      </c>
      <c r="L33" s="3227">
        <v>0.73312124690878311</v>
      </c>
      <c r="M33" s="3497">
        <v>-0.13745453153672726</v>
      </c>
    </row>
    <row r="34" spans="2:13" ht="18" customHeight="1" x14ac:dyDescent="0.2">
      <c r="B34" s="2616" t="s">
        <v>571</v>
      </c>
      <c r="C34" s="2618" t="s">
        <v>571</v>
      </c>
      <c r="D34" s="3227">
        <v>6.6818759976275219E-2</v>
      </c>
      <c r="E34" s="3227">
        <v>4.4453234225308025</v>
      </c>
      <c r="F34" s="3227">
        <v>0.22670881897448225</v>
      </c>
      <c r="G34" s="3103">
        <f t="shared" si="6"/>
        <v>5.9999999999999993E-3</v>
      </c>
      <c r="H34" s="3103">
        <f t="shared" si="7"/>
        <v>1.7433102109094947E-2</v>
      </c>
      <c r="I34" s="3103">
        <f t="shared" si="3"/>
        <v>0.68422155787020755</v>
      </c>
      <c r="J34" s="3227">
        <v>4.0091255985765125E-4</v>
      </c>
      <c r="K34" s="3227">
        <v>7.7495777132930904E-2</v>
      </c>
      <c r="L34" s="3227">
        <v>0.19091394013805868</v>
      </c>
      <c r="M34" s="3497">
        <v>-3.5794878836423558E-2</v>
      </c>
    </row>
    <row r="35" spans="2:13" ht="18" customHeight="1" x14ac:dyDescent="0.2">
      <c r="B35" s="2616" t="s">
        <v>574</v>
      </c>
      <c r="C35" s="2618" t="s">
        <v>574</v>
      </c>
      <c r="D35" s="3227">
        <v>1.7597925589228614E-2</v>
      </c>
      <c r="E35" s="3227">
        <v>1.1707560995972999</v>
      </c>
      <c r="F35" s="3227">
        <v>5.9707856418637448E-2</v>
      </c>
      <c r="G35" s="3103">
        <f t="shared" si="6"/>
        <v>5.9999999999999993E-3</v>
      </c>
      <c r="H35" s="3103">
        <f t="shared" si="7"/>
        <v>1.7433102109094947E-2</v>
      </c>
      <c r="I35" s="3103">
        <f t="shared" si="3"/>
        <v>0.68422155787020744</v>
      </c>
      <c r="J35" s="3227">
        <v>1.0558755353537168E-4</v>
      </c>
      <c r="K35" s="3227">
        <v>2.0409910629125463E-2</v>
      </c>
      <c r="L35" s="3227">
        <v>5.0280629477244106E-2</v>
      </c>
      <c r="M35" s="3497">
        <v>-9.4272269413933265E-3</v>
      </c>
    </row>
    <row r="36" spans="2:13" ht="18" customHeight="1" x14ac:dyDescent="0.2">
      <c r="B36" s="2616" t="s">
        <v>576</v>
      </c>
      <c r="C36" s="2618" t="s">
        <v>576</v>
      </c>
      <c r="D36" s="3227">
        <v>0.18760545610380097</v>
      </c>
      <c r="E36" s="3227">
        <v>12.481029706461339</v>
      </c>
      <c r="F36" s="3227">
        <v>0.63652500288187341</v>
      </c>
      <c r="G36" s="3103">
        <f t="shared" si="6"/>
        <v>5.9999999999999993E-3</v>
      </c>
      <c r="H36" s="3103">
        <f t="shared" si="7"/>
        <v>1.7433102109094944E-2</v>
      </c>
      <c r="I36" s="3103">
        <f t="shared" si="3"/>
        <v>0.68422155787020777</v>
      </c>
      <c r="J36" s="3227">
        <v>1.1256327366228056E-3</v>
      </c>
      <c r="K36" s="3227">
        <v>0.21758306529938781</v>
      </c>
      <c r="L36" s="3227">
        <v>0.53602456598852366</v>
      </c>
      <c r="M36" s="3497">
        <v>-0.10050043689334977</v>
      </c>
    </row>
    <row r="37" spans="2:13" ht="18" customHeight="1" x14ac:dyDescent="0.2">
      <c r="B37" s="2616" t="s">
        <v>577</v>
      </c>
      <c r="C37" s="2618" t="s">
        <v>577</v>
      </c>
      <c r="D37" s="3227">
        <v>0.23492550237146867</v>
      </c>
      <c r="E37" s="3227">
        <v>15.629141256325372</v>
      </c>
      <c r="F37" s="3227">
        <v>0.79707679712303958</v>
      </c>
      <c r="G37" s="3103">
        <f t="shared" si="6"/>
        <v>6.000000000000001E-3</v>
      </c>
      <c r="H37" s="3103">
        <f t="shared" si="7"/>
        <v>1.7433102109094947E-2</v>
      </c>
      <c r="I37" s="3103">
        <f t="shared" si="3"/>
        <v>0.68422155787020733</v>
      </c>
      <c r="J37" s="3227">
        <v>1.4095530142288122E-3</v>
      </c>
      <c r="K37" s="3227">
        <v>0.27246441539898869</v>
      </c>
      <c r="L37" s="3227">
        <v>0.67122696249638036</v>
      </c>
      <c r="M37" s="3497">
        <v>-0.12584983462665897</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IE</v>
      </c>
      <c r="E39" s="3227" t="str">
        <f t="shared" ref="E39:F39" si="8">IF(E13="NO","NO","IE")</f>
        <v>IE</v>
      </c>
      <c r="F39" s="3227" t="str">
        <f t="shared" si="8"/>
        <v>IE</v>
      </c>
      <c r="G39" s="3103" t="str">
        <f>IF(SUM(D39)=0,"NA",J39/D39)</f>
        <v>NA</v>
      </c>
      <c r="H39" s="3103" t="str">
        <f>IF(SUM(E39)=0,"NA",K39/E39)</f>
        <v>NA</v>
      </c>
      <c r="I39" s="3103" t="str">
        <f t="shared" si="3"/>
        <v>NA</v>
      </c>
      <c r="J39" s="3227" t="str">
        <f>IF(J13="NO","NO","IE")</f>
        <v>IE</v>
      </c>
      <c r="K39" s="3227" t="str">
        <f t="shared" ref="K39:L39" si="9">IF(K13="NO","NO","IE")</f>
        <v>IE</v>
      </c>
      <c r="L39" s="3227" t="str">
        <f t="shared" si="9"/>
        <v>IE</v>
      </c>
      <c r="M39" s="3497" t="str">
        <f t="shared" ref="M39" si="10">IF(M13="NO","NO","IE")</f>
        <v>IE</v>
      </c>
    </row>
    <row r="40" spans="2:13" ht="18" customHeight="1" x14ac:dyDescent="0.2">
      <c r="B40" s="2616" t="s">
        <v>560</v>
      </c>
      <c r="C40" s="2618" t="s">
        <v>560</v>
      </c>
      <c r="D40" s="3227" t="str">
        <f t="shared" ref="D40:F50" si="11">IF(D14="NO","NO","IE")</f>
        <v>IE</v>
      </c>
      <c r="E40" s="3227" t="str">
        <f t="shared" si="11"/>
        <v>IE</v>
      </c>
      <c r="F40" s="3227" t="str">
        <f t="shared" si="11"/>
        <v>IE</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IE</v>
      </c>
    </row>
    <row r="41" spans="2:13" ht="18" customHeight="1" x14ac:dyDescent="0.2">
      <c r="B41" s="2616" t="s">
        <v>562</v>
      </c>
      <c r="C41" s="2618" t="s">
        <v>562</v>
      </c>
      <c r="D41" s="3227" t="str">
        <f t="shared" si="11"/>
        <v>NO</v>
      </c>
      <c r="E41" s="3227" t="str">
        <f t="shared" si="11"/>
        <v>NO</v>
      </c>
      <c r="F41" s="3227" t="str">
        <f t="shared" si="11"/>
        <v>NO</v>
      </c>
      <c r="G41" s="3103" t="str">
        <f t="shared" si="12"/>
        <v>NA</v>
      </c>
      <c r="H41" s="3103" t="str">
        <f t="shared" si="13"/>
        <v>NA</v>
      </c>
      <c r="I41" s="3103" t="str">
        <f t="shared" si="3"/>
        <v>NA</v>
      </c>
      <c r="J41" s="3227" t="str">
        <f t="shared" ref="J41:L41" si="16">IF(J15="NO","NO","IE")</f>
        <v>NO</v>
      </c>
      <c r="K41" s="3227" t="str">
        <f t="shared" si="16"/>
        <v>NO</v>
      </c>
      <c r="L41" s="3227" t="str">
        <f t="shared" si="16"/>
        <v>NO</v>
      </c>
      <c r="M41" s="3497" t="str">
        <f t="shared" ref="M41" si="17">IF(M15="NO","NO","IE")</f>
        <v>NO</v>
      </c>
    </row>
    <row r="42" spans="2:13" ht="18" customHeight="1" x14ac:dyDescent="0.2">
      <c r="B42" s="2616" t="s">
        <v>563</v>
      </c>
      <c r="C42" s="2618" t="s">
        <v>563</v>
      </c>
      <c r="D42" s="3227" t="str">
        <f t="shared" si="11"/>
        <v>IE</v>
      </c>
      <c r="E42" s="3227" t="str">
        <f t="shared" si="11"/>
        <v>IE</v>
      </c>
      <c r="F42" s="3227" t="str">
        <f t="shared" si="11"/>
        <v>IE</v>
      </c>
      <c r="G42" s="3103" t="str">
        <f t="shared" si="12"/>
        <v>NA</v>
      </c>
      <c r="H42" s="3103" t="str">
        <f t="shared" si="13"/>
        <v>NA</v>
      </c>
      <c r="I42" s="3103" t="str">
        <f t="shared" si="3"/>
        <v>NA</v>
      </c>
      <c r="J42" s="3227" t="str">
        <f t="shared" ref="J42:L42" si="18">IF(J16="NO","NO","IE")</f>
        <v>IE</v>
      </c>
      <c r="K42" s="3227" t="str">
        <f t="shared" si="18"/>
        <v>IE</v>
      </c>
      <c r="L42" s="3227" t="str">
        <f t="shared" si="18"/>
        <v>IE</v>
      </c>
      <c r="M42" s="3497" t="str">
        <f t="shared" ref="M42" si="19">IF(M16="NO","NO","IE")</f>
        <v>IE</v>
      </c>
    </row>
    <row r="43" spans="2:13" ht="18" customHeight="1" x14ac:dyDescent="0.2">
      <c r="B43" s="2616" t="s">
        <v>564</v>
      </c>
      <c r="C43" s="2618" t="s">
        <v>564</v>
      </c>
      <c r="D43" s="3227" t="str">
        <f t="shared" si="11"/>
        <v>IE</v>
      </c>
      <c r="E43" s="3227" t="str">
        <f t="shared" si="11"/>
        <v>IE</v>
      </c>
      <c r="F43" s="3227" t="str">
        <f t="shared" si="11"/>
        <v>IE</v>
      </c>
      <c r="G43" s="3103" t="str">
        <f t="shared" si="12"/>
        <v>NA</v>
      </c>
      <c r="H43" s="3103" t="str">
        <f t="shared" si="13"/>
        <v>NA</v>
      </c>
      <c r="I43" s="3103" t="str">
        <f t="shared" si="3"/>
        <v>NA</v>
      </c>
      <c r="J43" s="3227" t="str">
        <f t="shared" ref="J43:L43" si="20">IF(J17="NO","NO","IE")</f>
        <v>IE</v>
      </c>
      <c r="K43" s="3227" t="str">
        <f t="shared" si="20"/>
        <v>IE</v>
      </c>
      <c r="L43" s="3227" t="str">
        <f t="shared" si="20"/>
        <v>IE</v>
      </c>
      <c r="M43" s="3497" t="str">
        <f t="shared" ref="M43" si="21">IF(M17="NO","NO","IE")</f>
        <v>IE</v>
      </c>
    </row>
    <row r="44" spans="2:13" ht="18" customHeight="1" x14ac:dyDescent="0.2">
      <c r="B44" s="2616" t="s">
        <v>565</v>
      </c>
      <c r="C44" s="2618" t="s">
        <v>565</v>
      </c>
      <c r="D44" s="3227" t="str">
        <f t="shared" si="11"/>
        <v>IE</v>
      </c>
      <c r="E44" s="3227" t="str">
        <f t="shared" si="11"/>
        <v>IE</v>
      </c>
      <c r="F44" s="3227" t="str">
        <f t="shared" si="11"/>
        <v>IE</v>
      </c>
      <c r="G44" s="3103" t="str">
        <f t="shared" si="12"/>
        <v>NA</v>
      </c>
      <c r="H44" s="3103" t="str">
        <f t="shared" si="13"/>
        <v>NA</v>
      </c>
      <c r="I44" s="3103" t="str">
        <f t="shared" si="3"/>
        <v>NA</v>
      </c>
      <c r="J44" s="3227" t="str">
        <f t="shared" ref="J44:L44" si="22">IF(J18="NO","NO","IE")</f>
        <v>IE</v>
      </c>
      <c r="K44" s="3227" t="str">
        <f t="shared" si="22"/>
        <v>IE</v>
      </c>
      <c r="L44" s="3227" t="str">
        <f t="shared" si="22"/>
        <v>IE</v>
      </c>
      <c r="M44" s="3497" t="str">
        <f t="shared" ref="M44" si="23">IF(M18="NO","NO","IE")</f>
        <v>IE</v>
      </c>
    </row>
    <row r="45" spans="2:13" ht="18" customHeight="1" x14ac:dyDescent="0.2">
      <c r="B45" s="2616" t="s">
        <v>567</v>
      </c>
      <c r="C45" s="2618" t="s">
        <v>567</v>
      </c>
      <c r="D45" s="3227" t="str">
        <f t="shared" si="11"/>
        <v>IE</v>
      </c>
      <c r="E45" s="3227" t="str">
        <f t="shared" si="11"/>
        <v>IE</v>
      </c>
      <c r="F45" s="3227" t="str">
        <f t="shared" si="11"/>
        <v>IE</v>
      </c>
      <c r="G45" s="3103" t="str">
        <f t="shared" si="12"/>
        <v>NA</v>
      </c>
      <c r="H45" s="3103" t="str">
        <f t="shared" si="13"/>
        <v>NA</v>
      </c>
      <c r="I45" s="3103" t="str">
        <f t="shared" si="3"/>
        <v>NA</v>
      </c>
      <c r="J45" s="3227" t="str">
        <f t="shared" ref="J45:L45" si="24">IF(J19="NO","NO","IE")</f>
        <v>IE</v>
      </c>
      <c r="K45" s="3227" t="str">
        <f t="shared" si="24"/>
        <v>IE</v>
      </c>
      <c r="L45" s="3227" t="str">
        <f t="shared" si="24"/>
        <v>IE</v>
      </c>
      <c r="M45" s="3497" t="str">
        <f t="shared" ref="M45" si="25">IF(M19="NO","NO","IE")</f>
        <v>IE</v>
      </c>
    </row>
    <row r="46" spans="2:13" ht="18" customHeight="1" x14ac:dyDescent="0.2">
      <c r="B46" s="2616" t="s">
        <v>569</v>
      </c>
      <c r="C46" s="2618" t="s">
        <v>569</v>
      </c>
      <c r="D46" s="3227" t="str">
        <f t="shared" si="11"/>
        <v>IE</v>
      </c>
      <c r="E46" s="3227" t="str">
        <f t="shared" si="11"/>
        <v>IE</v>
      </c>
      <c r="F46" s="3227" t="str">
        <f t="shared" si="11"/>
        <v>IE</v>
      </c>
      <c r="G46" s="3103" t="str">
        <f t="shared" si="12"/>
        <v>NA</v>
      </c>
      <c r="H46" s="3103" t="str">
        <f t="shared" si="13"/>
        <v>NA</v>
      </c>
      <c r="I46" s="3103" t="str">
        <f t="shared" si="3"/>
        <v>NA</v>
      </c>
      <c r="J46" s="3227" t="str">
        <f t="shared" ref="J46:L46" si="26">IF(J20="NO","NO","IE")</f>
        <v>IE</v>
      </c>
      <c r="K46" s="3227" t="str">
        <f t="shared" si="26"/>
        <v>IE</v>
      </c>
      <c r="L46" s="3227" t="str">
        <f t="shared" si="26"/>
        <v>IE</v>
      </c>
      <c r="M46" s="3497" t="str">
        <f t="shared" ref="M46" si="27">IF(M20="NO","NO","IE")</f>
        <v>IE</v>
      </c>
    </row>
    <row r="47" spans="2:13" ht="18" customHeight="1" x14ac:dyDescent="0.2">
      <c r="B47" s="2616" t="s">
        <v>571</v>
      </c>
      <c r="C47" s="2618" t="s">
        <v>571</v>
      </c>
      <c r="D47" s="3227" t="str">
        <f t="shared" si="11"/>
        <v>IE</v>
      </c>
      <c r="E47" s="3227" t="str">
        <f t="shared" si="11"/>
        <v>IE</v>
      </c>
      <c r="F47" s="3227" t="str">
        <f t="shared" si="11"/>
        <v>IE</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IE</v>
      </c>
    </row>
    <row r="48" spans="2:13" ht="18" customHeight="1" x14ac:dyDescent="0.2">
      <c r="B48" s="2616" t="s">
        <v>574</v>
      </c>
      <c r="C48" s="2618" t="s">
        <v>574</v>
      </c>
      <c r="D48" s="3227" t="str">
        <f t="shared" si="11"/>
        <v>IE</v>
      </c>
      <c r="E48" s="3227" t="str">
        <f t="shared" si="11"/>
        <v>IE</v>
      </c>
      <c r="F48" s="3227" t="str">
        <f t="shared" si="11"/>
        <v>IE</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IE</v>
      </c>
    </row>
    <row r="49" spans="2:13" ht="18" customHeight="1" x14ac:dyDescent="0.2">
      <c r="B49" s="2616" t="s">
        <v>576</v>
      </c>
      <c r="C49" s="2618" t="s">
        <v>576</v>
      </c>
      <c r="D49" s="3227" t="str">
        <f t="shared" si="11"/>
        <v>IE</v>
      </c>
      <c r="E49" s="3227" t="str">
        <f t="shared" si="11"/>
        <v>IE</v>
      </c>
      <c r="F49" s="3227" t="str">
        <f t="shared" si="11"/>
        <v>IE</v>
      </c>
      <c r="G49" s="3103" t="str">
        <f t="shared" si="12"/>
        <v>NA</v>
      </c>
      <c r="H49" s="3103" t="str">
        <f t="shared" si="13"/>
        <v>NA</v>
      </c>
      <c r="I49" s="3103" t="str">
        <f t="shared" si="3"/>
        <v>NA</v>
      </c>
      <c r="J49" s="3227" t="str">
        <f t="shared" ref="J49:L49" si="32">IF(J23="NO","NO","IE")</f>
        <v>IE</v>
      </c>
      <c r="K49" s="3227" t="str">
        <f t="shared" si="32"/>
        <v>IE</v>
      </c>
      <c r="L49" s="3227" t="str">
        <f t="shared" si="32"/>
        <v>IE</v>
      </c>
      <c r="M49" s="3497" t="str">
        <f t="shared" ref="M49" si="33">IF(M23="NO","NO","IE")</f>
        <v>IE</v>
      </c>
    </row>
    <row r="50" spans="2:13" ht="18" customHeight="1" x14ac:dyDescent="0.2">
      <c r="B50" s="2616" t="s">
        <v>577</v>
      </c>
      <c r="C50" s="2618" t="s">
        <v>577</v>
      </c>
      <c r="D50" s="3227" t="str">
        <f t="shared" si="11"/>
        <v>IE</v>
      </c>
      <c r="E50" s="3227" t="str">
        <f t="shared" si="11"/>
        <v>IE</v>
      </c>
      <c r="F50" s="3227" t="str">
        <f t="shared" si="11"/>
        <v>IE</v>
      </c>
      <c r="G50" s="3103" t="str">
        <f t="shared" si="12"/>
        <v>NA</v>
      </c>
      <c r="H50" s="3103" t="str">
        <f t="shared" si="13"/>
        <v>NA</v>
      </c>
      <c r="I50" s="3103" t="str">
        <f t="shared" si="3"/>
        <v>NA</v>
      </c>
      <c r="J50" s="3227" t="str">
        <f t="shared" ref="J50:L50" si="34">IF(J24="NO","NO","IE")</f>
        <v>IE</v>
      </c>
      <c r="K50" s="3227" t="str">
        <f t="shared" si="34"/>
        <v>IE</v>
      </c>
      <c r="L50" s="3227" t="str">
        <f t="shared" si="34"/>
        <v>IE</v>
      </c>
      <c r="M50" s="3497" t="str">
        <f t="shared" ref="M50" si="35">IF(M24="NO","NO","IE")</f>
        <v>IE</v>
      </c>
    </row>
    <row r="51" spans="2:13" ht="18" customHeight="1" x14ac:dyDescent="0.2">
      <c r="B51" s="104" t="s">
        <v>671</v>
      </c>
      <c r="C51" s="2508"/>
      <c r="D51" s="2108"/>
      <c r="E51" s="2108"/>
      <c r="F51" s="2108"/>
      <c r="G51" s="2108"/>
      <c r="H51" s="2108"/>
      <c r="I51" s="2108"/>
      <c r="J51" s="3103">
        <f>IF(SUM(J52:J63)=0,"NO",SUM(J52:J63))</f>
        <v>3.4465148346153742</v>
      </c>
      <c r="K51" s="3103">
        <f>IF(SUM(K52:K63)=0,"NO",SUM(K52:K63))</f>
        <v>128.9974051856118</v>
      </c>
      <c r="L51" s="3103">
        <f>IF(SUM(L52:L63)=0,"NO",SUM(L52:L63))</f>
        <v>51.131402177680897</v>
      </c>
      <c r="M51" s="3226">
        <f>IF(SUM(M52:M63)=0,"NO",SUM(M52:M63))</f>
        <v>-11.184530239594691</v>
      </c>
    </row>
    <row r="52" spans="2:13" ht="18" customHeight="1" x14ac:dyDescent="0.2">
      <c r="B52" s="2616" t="s">
        <v>559</v>
      </c>
      <c r="C52" s="2618" t="s">
        <v>559</v>
      </c>
      <c r="D52" s="3227">
        <v>0.88248924303425613</v>
      </c>
      <c r="E52" s="3227">
        <v>7.6024621973045035</v>
      </c>
      <c r="F52" s="3227">
        <v>0.8137641286942735</v>
      </c>
      <c r="G52" s="3103">
        <f>IF(SUM(D52)=0,"NA",J52/D52)</f>
        <v>5.0999999999999997E-2</v>
      </c>
      <c r="H52" s="3103">
        <f>IF(SUM(E52)=0,"NA",K52/E52)</f>
        <v>0.2215777507001909</v>
      </c>
      <c r="I52" s="3103">
        <f t="shared" si="3"/>
        <v>0.64103785963751225</v>
      </c>
      <c r="J52" s="3227">
        <v>4.5006951394747058E-2</v>
      </c>
      <c r="K52" s="3227">
        <v>1.6845364734619628</v>
      </c>
      <c r="L52" s="3227">
        <v>0.66770887200111773</v>
      </c>
      <c r="M52" s="3497">
        <v>-0.14605525669315556</v>
      </c>
    </row>
    <row r="53" spans="2:13" ht="18" customHeight="1" x14ac:dyDescent="0.2">
      <c r="B53" s="2616" t="s">
        <v>560</v>
      </c>
      <c r="C53" s="2618" t="s">
        <v>560</v>
      </c>
      <c r="D53" s="3227">
        <v>3.9341785377861282</v>
      </c>
      <c r="E53" s="3227">
        <v>33.89213392350068</v>
      </c>
      <c r="F53" s="3227">
        <v>3.6277987467830988</v>
      </c>
      <c r="G53" s="3103">
        <f t="shared" ref="G53:G63" si="36">IF(SUM(D53)=0,"NA",J53/D53)</f>
        <v>5.0999999999999997E-2</v>
      </c>
      <c r="H53" s="3103">
        <f t="shared" ref="H53:H63" si="37">IF(SUM(E53)=0,"NA",K53/E53)</f>
        <v>0.22157775070019095</v>
      </c>
      <c r="I53" s="3103">
        <f t="shared" si="3"/>
        <v>0.6410378596375117</v>
      </c>
      <c r="J53" s="3227">
        <v>0.20064310542709252</v>
      </c>
      <c r="K53" s="3227">
        <v>7.509742801198918</v>
      </c>
      <c r="L53" s="3227">
        <v>2.9766775453082905</v>
      </c>
      <c r="M53" s="3497">
        <v>-0.65112120147480546</v>
      </c>
    </row>
    <row r="54" spans="2:13" ht="18" customHeight="1" x14ac:dyDescent="0.2">
      <c r="B54" s="2616" t="s">
        <v>562</v>
      </c>
      <c r="C54" s="2618" t="s">
        <v>562</v>
      </c>
      <c r="D54" s="3227" t="s">
        <v>2146</v>
      </c>
      <c r="E54" s="3227" t="s">
        <v>2146</v>
      </c>
      <c r="F54" s="3227" t="s">
        <v>2146</v>
      </c>
      <c r="G54" s="3103" t="str">
        <f t="shared" si="36"/>
        <v>NA</v>
      </c>
      <c r="H54" s="3103" t="str">
        <f t="shared" si="37"/>
        <v>NA</v>
      </c>
      <c r="I54" s="3103" t="str">
        <f t="shared" si="3"/>
        <v>NA</v>
      </c>
      <c r="J54" s="3227" t="s">
        <v>2146</v>
      </c>
      <c r="K54" s="3227" t="s">
        <v>2146</v>
      </c>
      <c r="L54" s="3227" t="s">
        <v>2146</v>
      </c>
      <c r="M54" s="3497" t="s">
        <v>2146</v>
      </c>
    </row>
    <row r="55" spans="2:13" ht="18" customHeight="1" x14ac:dyDescent="0.2">
      <c r="B55" s="2616" t="s">
        <v>563</v>
      </c>
      <c r="C55" s="2618" t="s">
        <v>563</v>
      </c>
      <c r="D55" s="3227">
        <v>11.709332712385867</v>
      </c>
      <c r="E55" s="3227">
        <v>100.87347806699447</v>
      </c>
      <c r="F55" s="3227">
        <v>10.797451648842548</v>
      </c>
      <c r="G55" s="3103">
        <f t="shared" si="36"/>
        <v>5.0999999999999997E-2</v>
      </c>
      <c r="H55" s="3103">
        <f t="shared" si="37"/>
        <v>0.2215777507001909</v>
      </c>
      <c r="I55" s="3103">
        <f t="shared" si="3"/>
        <v>0.64103785963751181</v>
      </c>
      <c r="J55" s="3227">
        <v>0.59717596833167919</v>
      </c>
      <c r="K55" s="3227">
        <v>22.351318375389674</v>
      </c>
      <c r="L55" s="3227">
        <v>8.8595134716780457</v>
      </c>
      <c r="M55" s="3497">
        <v>-1.937938177164495</v>
      </c>
    </row>
    <row r="56" spans="2:13" ht="18" customHeight="1" x14ac:dyDescent="0.2">
      <c r="B56" s="2616" t="s">
        <v>564</v>
      </c>
      <c r="C56" s="2618" t="s">
        <v>564</v>
      </c>
      <c r="D56" s="3227">
        <v>3.1178094988235556E-2</v>
      </c>
      <c r="E56" s="3227">
        <v>0.26859283600676015</v>
      </c>
      <c r="F56" s="3227">
        <v>2.8750056165232983E-2</v>
      </c>
      <c r="G56" s="3103">
        <f t="shared" si="36"/>
        <v>5.0999999999999997E-2</v>
      </c>
      <c r="H56" s="3103">
        <f t="shared" si="37"/>
        <v>0.2215777507001909</v>
      </c>
      <c r="I56" s="3103">
        <f t="shared" si="3"/>
        <v>0.64103785963751225</v>
      </c>
      <c r="J56" s="3227">
        <v>1.5900828444000133E-3</v>
      </c>
      <c r="K56" s="3227">
        <v>5.9514196456563154E-2</v>
      </c>
      <c r="L56" s="3227">
        <v>2.3589965316926094E-2</v>
      </c>
      <c r="M56" s="3497">
        <v>-5.1600908483068796E-3</v>
      </c>
    </row>
    <row r="57" spans="2:13" ht="18" customHeight="1" x14ac:dyDescent="0.2">
      <c r="B57" s="2616" t="s">
        <v>565</v>
      </c>
      <c r="C57" s="2618" t="s">
        <v>565</v>
      </c>
      <c r="D57" s="3227">
        <v>36.322777549245508</v>
      </c>
      <c r="E57" s="3227">
        <v>312.91321157613305</v>
      </c>
      <c r="F57" s="3227">
        <v>33.494089199872896</v>
      </c>
      <c r="G57" s="3103">
        <f t="shared" si="36"/>
        <v>5.099999999999999E-2</v>
      </c>
      <c r="H57" s="3103">
        <f t="shared" si="37"/>
        <v>0.22157775070019092</v>
      </c>
      <c r="I57" s="3103">
        <f t="shared" si="3"/>
        <v>0.64103785963751159</v>
      </c>
      <c r="J57" s="3227">
        <v>1.8524616550115205</v>
      </c>
      <c r="K57" s="3227">
        <v>69.334605585412504</v>
      </c>
      <c r="L57" s="3227">
        <v>27.482534225533641</v>
      </c>
      <c r="M57" s="3497">
        <v>-6.0115549743392256</v>
      </c>
    </row>
    <row r="58" spans="2:13" ht="18" customHeight="1" x14ac:dyDescent="0.2">
      <c r="B58" s="2616" t="s">
        <v>567</v>
      </c>
      <c r="C58" s="2618" t="s">
        <v>567</v>
      </c>
      <c r="D58" s="3227">
        <v>10.267411429230616</v>
      </c>
      <c r="E58" s="3227">
        <v>88.45162461869009</v>
      </c>
      <c r="F58" s="3227">
        <v>9.4678220517744585</v>
      </c>
      <c r="G58" s="3103">
        <f t="shared" si="36"/>
        <v>5.1000000000000004E-2</v>
      </c>
      <c r="H58" s="3103">
        <f t="shared" si="37"/>
        <v>0.2215777507001909</v>
      </c>
      <c r="I58" s="3103">
        <f t="shared" si="3"/>
        <v>0.64103785963751181</v>
      </c>
      <c r="J58" s="3227">
        <v>0.52363798289076147</v>
      </c>
      <c r="K58" s="3227">
        <v>19.59891202878698</v>
      </c>
      <c r="L58" s="3227">
        <v>7.7685272176363931</v>
      </c>
      <c r="M58" s="3497">
        <v>-1.6992948341380587</v>
      </c>
    </row>
    <row r="59" spans="2:13" ht="18" customHeight="1" x14ac:dyDescent="0.2">
      <c r="B59" s="2616" t="s">
        <v>569</v>
      </c>
      <c r="C59" s="2618" t="s">
        <v>569</v>
      </c>
      <c r="D59" s="3227">
        <v>1.4891679949439722</v>
      </c>
      <c r="E59" s="3227">
        <v>12.828874092641861</v>
      </c>
      <c r="F59" s="3227">
        <v>1.3731969034753884</v>
      </c>
      <c r="G59" s="3103">
        <f t="shared" si="36"/>
        <v>5.0999999999999997E-2</v>
      </c>
      <c r="H59" s="3103">
        <f t="shared" si="37"/>
        <v>0.2215777507001909</v>
      </c>
      <c r="I59" s="3103">
        <f t="shared" si="3"/>
        <v>0.64103785963751214</v>
      </c>
      <c r="J59" s="3227">
        <v>7.5947567742142577E-2</v>
      </c>
      <c r="K59" s="3227">
        <v>2.8425930654635359</v>
      </c>
      <c r="L59" s="3227">
        <v>1.126734053670055</v>
      </c>
      <c r="M59" s="3497">
        <v>-0.24646284980533276</v>
      </c>
    </row>
    <row r="60" spans="2:13" ht="18" customHeight="1" x14ac:dyDescent="0.2">
      <c r="B60" s="2616" t="s">
        <v>571</v>
      </c>
      <c r="C60" s="2618" t="s">
        <v>571</v>
      </c>
      <c r="D60" s="3227">
        <v>0.38779796744537698</v>
      </c>
      <c r="E60" s="3227">
        <v>3.340799234626544</v>
      </c>
      <c r="F60" s="3227">
        <v>0.35759764504613628</v>
      </c>
      <c r="G60" s="3103">
        <f t="shared" si="36"/>
        <v>5.099999999999999E-2</v>
      </c>
      <c r="H60" s="3103">
        <f t="shared" si="37"/>
        <v>0.2215777507001909</v>
      </c>
      <c r="I60" s="3103">
        <f t="shared" si="3"/>
        <v>0.64103785963751236</v>
      </c>
      <c r="J60" s="3227">
        <v>1.9777696339714223E-2</v>
      </c>
      <c r="K60" s="3227">
        <v>0.74024677994946897</v>
      </c>
      <c r="L60" s="3227">
        <v>0.29341563701896312</v>
      </c>
      <c r="M60" s="3497">
        <v>-6.4182008027173068E-2</v>
      </c>
    </row>
    <row r="61" spans="2:13" ht="18" customHeight="1" x14ac:dyDescent="0.2">
      <c r="B61" s="2616" t="s">
        <v>574</v>
      </c>
      <c r="C61" s="2618" t="s">
        <v>574</v>
      </c>
      <c r="D61" s="3227">
        <v>0.10213358908756974</v>
      </c>
      <c r="E61" s="3227">
        <v>0.87985973340996315</v>
      </c>
      <c r="F61" s="3227">
        <v>9.4179789487857712E-2</v>
      </c>
      <c r="G61" s="3103">
        <f t="shared" si="36"/>
        <v>5.1000000000000004E-2</v>
      </c>
      <c r="H61" s="3103">
        <f t="shared" si="37"/>
        <v>0.2215777507001909</v>
      </c>
      <c r="I61" s="3103">
        <f t="shared" si="3"/>
        <v>0.64103785963751192</v>
      </c>
      <c r="J61" s="3227">
        <v>5.2088130434660568E-3</v>
      </c>
      <c r="K61" s="3227">
        <v>0.19495734066064924</v>
      </c>
      <c r="L61" s="3227">
        <v>7.7276300081132704E-2</v>
      </c>
      <c r="M61" s="3497">
        <v>-1.6903489406724953E-2</v>
      </c>
    </row>
    <row r="62" spans="2:13" ht="18" customHeight="1" x14ac:dyDescent="0.2">
      <c r="B62" s="2616" t="s">
        <v>576</v>
      </c>
      <c r="C62" s="2618" t="s">
        <v>576</v>
      </c>
      <c r="D62" s="3227">
        <v>1.0888112048854053</v>
      </c>
      <c r="E62" s="3227">
        <v>9.3798832002551027</v>
      </c>
      <c r="F62" s="3227">
        <v>1.0040184721228835</v>
      </c>
      <c r="G62" s="3103">
        <f t="shared" si="36"/>
        <v>5.099999999999999E-2</v>
      </c>
      <c r="H62" s="3103">
        <f t="shared" si="37"/>
        <v>0.22157775070019092</v>
      </c>
      <c r="I62" s="3103">
        <f t="shared" si="3"/>
        <v>0.64103785963751159</v>
      </c>
      <c r="J62" s="3227">
        <v>5.5529371449155658E-2</v>
      </c>
      <c r="K62" s="3227">
        <v>2.0783734213430343</v>
      </c>
      <c r="L62" s="3227">
        <v>0.82381616226453014</v>
      </c>
      <c r="M62" s="3497">
        <v>-0.18020230985835234</v>
      </c>
    </row>
    <row r="63" spans="2:13" ht="18" customHeight="1" x14ac:dyDescent="0.2">
      <c r="B63" s="2616" t="s">
        <v>577</v>
      </c>
      <c r="C63" s="2618" t="s">
        <v>577</v>
      </c>
      <c r="D63" s="3227">
        <v>1.3634439243273453</v>
      </c>
      <c r="E63" s="3227">
        <v>11.745787242916888</v>
      </c>
      <c r="F63" s="3227">
        <v>1.2572637750108804</v>
      </c>
      <c r="G63" s="3103">
        <f t="shared" si="36"/>
        <v>5.0999999999999997E-2</v>
      </c>
      <c r="H63" s="3103">
        <f t="shared" si="37"/>
        <v>0.22157775070019084</v>
      </c>
      <c r="I63" s="3103">
        <f t="shared" si="3"/>
        <v>0.64103785963751159</v>
      </c>
      <c r="J63" s="3227">
        <v>6.9535640140694605E-2</v>
      </c>
      <c r="K63" s="3227">
        <v>2.6026051174885203</v>
      </c>
      <c r="L63" s="3227">
        <v>1.031608727171816</v>
      </c>
      <c r="M63" s="3497">
        <v>-0.22565504783906326</v>
      </c>
    </row>
    <row r="64" spans="2:13" ht="18" customHeight="1" x14ac:dyDescent="0.2">
      <c r="B64" s="104" t="s">
        <v>672</v>
      </c>
      <c r="C64" s="2508"/>
      <c r="D64" s="2108"/>
      <c r="E64" s="2108"/>
      <c r="F64" s="2108"/>
      <c r="G64" s="2108"/>
      <c r="H64" s="2108"/>
      <c r="I64" s="2108"/>
      <c r="J64" s="3103">
        <f>IF(SUM(J65:J76)=0,"NO",SUM(J65:J76))</f>
        <v>0.33691911405931091</v>
      </c>
      <c r="K64" s="3103">
        <f>IF(SUM(K65:K76)=0,"NO",SUM(K65:K76))</f>
        <v>456.27699891658148</v>
      </c>
      <c r="L64" s="3103">
        <f>IF(SUM(L65:L76)=0,"NO",SUM(L65:L76))</f>
        <v>87.449207119597887</v>
      </c>
      <c r="M64" s="3226">
        <f>IF(SUM(M65:M76)=0,"NO",SUM(M65:M76))</f>
        <v>-28.791093947135487</v>
      </c>
    </row>
    <row r="65" spans="2:13" ht="18" customHeight="1" x14ac:dyDescent="0.2">
      <c r="B65" s="2616" t="s">
        <v>559</v>
      </c>
      <c r="C65" s="2618" t="s">
        <v>559</v>
      </c>
      <c r="D65" s="3227">
        <v>1.2570630181564182</v>
      </c>
      <c r="E65" s="3227">
        <v>55.304151602765359</v>
      </c>
      <c r="F65" s="3227">
        <v>1.6225948619741644</v>
      </c>
      <c r="G65" s="3103">
        <f>IF(SUM(D65)=0,"NA",J65/D65)</f>
        <v>3.5000000000000005E-3</v>
      </c>
      <c r="H65" s="3103">
        <f>IF(SUM(E65)=0,"NA",K65/E65)</f>
        <v>0.10773834161288053</v>
      </c>
      <c r="I65" s="3103">
        <f t="shared" si="3"/>
        <v>0.47208199503763176</v>
      </c>
      <c r="J65" s="3227">
        <v>4.3997205635474641E-3</v>
      </c>
      <c r="K65" s="3227">
        <v>5.9583775779892685</v>
      </c>
      <c r="L65" s="3227">
        <v>1.1419716447499759</v>
      </c>
      <c r="M65" s="3497">
        <v>-0.37597382517140165</v>
      </c>
    </row>
    <row r="66" spans="2:13" ht="18" customHeight="1" x14ac:dyDescent="0.2">
      <c r="B66" s="2616" t="s">
        <v>560</v>
      </c>
      <c r="C66" s="2618" t="s">
        <v>560</v>
      </c>
      <c r="D66" s="3227">
        <v>5.6040460387613606</v>
      </c>
      <c r="E66" s="3227">
        <v>246.54850810189879</v>
      </c>
      <c r="F66" s="3227">
        <v>7.2336041848535118</v>
      </c>
      <c r="G66" s="3103">
        <f t="shared" ref="G66:G76" si="38">IF(SUM(D66)=0,"NA",J66/D66)</f>
        <v>3.5000000000000005E-3</v>
      </c>
      <c r="H66" s="3103">
        <f t="shared" ref="H66:H76" si="39">IF(SUM(E66)=0,"NA",K66/E66)</f>
        <v>0.10773834161288051</v>
      </c>
      <c r="I66" s="3103">
        <f t="shared" si="3"/>
        <v>0.47208199503763226</v>
      </c>
      <c r="J66" s="3227">
        <v>1.9614161135664766E-2</v>
      </c>
      <c r="K66" s="3227">
        <v>26.56272739002841</v>
      </c>
      <c r="L66" s="3227">
        <v>5.0909632848196509</v>
      </c>
      <c r="M66" s="3497">
        <v>-1.6761089899214392</v>
      </c>
    </row>
    <row r="67" spans="2:13" ht="18" customHeight="1" x14ac:dyDescent="0.2">
      <c r="B67" s="2616" t="s">
        <v>562</v>
      </c>
      <c r="C67" s="2618" t="s">
        <v>562</v>
      </c>
      <c r="D67" s="3227" t="s">
        <v>2146</v>
      </c>
      <c r="E67" s="3227" t="s">
        <v>2146</v>
      </c>
      <c r="F67" s="3227" t="s">
        <v>2146</v>
      </c>
      <c r="G67" s="3103" t="str">
        <f t="shared" si="38"/>
        <v>NA</v>
      </c>
      <c r="H67" s="3103" t="str">
        <f t="shared" si="39"/>
        <v>NA</v>
      </c>
      <c r="I67" s="3103" t="str">
        <f t="shared" si="3"/>
        <v>NA</v>
      </c>
      <c r="J67" s="3227" t="s">
        <v>2146</v>
      </c>
      <c r="K67" s="3227" t="s">
        <v>2146</v>
      </c>
      <c r="L67" s="3227" t="s">
        <v>2146</v>
      </c>
      <c r="M67" s="3497" t="s">
        <v>2146</v>
      </c>
    </row>
    <row r="68" spans="2:13" ht="18" customHeight="1" x14ac:dyDescent="0.2">
      <c r="B68" s="2616" t="s">
        <v>563</v>
      </c>
      <c r="C68" s="2618" t="s">
        <v>563</v>
      </c>
      <c r="D68" s="3227">
        <v>16.679375115576438</v>
      </c>
      <c r="E68" s="3227">
        <v>733.8046515631811</v>
      </c>
      <c r="F68" s="3227">
        <v>21.52944440539294</v>
      </c>
      <c r="G68" s="3103">
        <f t="shared" si="38"/>
        <v>3.5000000000000005E-3</v>
      </c>
      <c r="H68" s="3103">
        <f t="shared" si="39"/>
        <v>0.10773834161288053</v>
      </c>
      <c r="I68" s="3103">
        <f t="shared" si="3"/>
        <v>0.47208199503763237</v>
      </c>
      <c r="J68" s="3227">
        <v>5.8377812904517538E-2</v>
      </c>
      <c r="K68" s="3227">
        <v>79.058896227234769</v>
      </c>
      <c r="L68" s="3227">
        <v>15.152282072597387</v>
      </c>
      <c r="M68" s="3497">
        <v>-4.9886190056476956</v>
      </c>
    </row>
    <row r="69" spans="2:13" ht="18" customHeight="1" x14ac:dyDescent="0.2">
      <c r="B69" s="2616" t="s">
        <v>564</v>
      </c>
      <c r="C69" s="2618" t="s">
        <v>564</v>
      </c>
      <c r="D69" s="3227">
        <v>4.441168036396962E-2</v>
      </c>
      <c r="E69" s="3227">
        <v>1.9538800110313252</v>
      </c>
      <c r="F69" s="3227">
        <v>5.7325816867877341E-2</v>
      </c>
      <c r="G69" s="3103">
        <f t="shared" si="38"/>
        <v>3.5000000000000005E-3</v>
      </c>
      <c r="H69" s="3103">
        <f t="shared" si="39"/>
        <v>0.10773834161288053</v>
      </c>
      <c r="I69" s="3103">
        <f t="shared" si="3"/>
        <v>0.47208199503763182</v>
      </c>
      <c r="J69" s="3227">
        <v>1.5544088127389369E-4</v>
      </c>
      <c r="K69" s="3227">
        <v>0.21050779209907169</v>
      </c>
      <c r="L69" s="3227">
        <v>4.0345534741554084E-2</v>
      </c>
      <c r="M69" s="3497">
        <v>-1.3283048747404625E-2</v>
      </c>
    </row>
    <row r="70" spans="2:13" ht="18" customHeight="1" x14ac:dyDescent="0.2">
      <c r="B70" s="2616" t="s">
        <v>565</v>
      </c>
      <c r="C70" s="2618" t="s">
        <v>565</v>
      </c>
      <c r="D70" s="3227">
        <v>51.740030526475593</v>
      </c>
      <c r="E70" s="3227">
        <v>2276.2888183318273</v>
      </c>
      <c r="F70" s="3227">
        <v>66.785122526132028</v>
      </c>
      <c r="G70" s="3103">
        <f t="shared" si="38"/>
        <v>3.4999999999999996E-3</v>
      </c>
      <c r="H70" s="3103">
        <f t="shared" si="39"/>
        <v>0.10773834161288053</v>
      </c>
      <c r="I70" s="3103">
        <f t="shared" si="3"/>
        <v>0.47208199503763199</v>
      </c>
      <c r="J70" s="3227">
        <v>0.18109010684266455</v>
      </c>
      <c r="K70" s="3227">
        <v>245.24358231901454</v>
      </c>
      <c r="L70" s="3227">
        <v>47.002932157201684</v>
      </c>
      <c r="M70" s="3497">
        <v>-15.474878276232579</v>
      </c>
    </row>
    <row r="71" spans="2:13" ht="18" customHeight="1" x14ac:dyDescent="0.2">
      <c r="B71" s="2616" t="s">
        <v>567</v>
      </c>
      <c r="C71" s="2618" t="s">
        <v>567</v>
      </c>
      <c r="D71" s="3227">
        <v>14.625428357069882</v>
      </c>
      <c r="E71" s="3227">
        <v>643.44181272710887</v>
      </c>
      <c r="F71" s="3227">
        <v>18.878246009620447</v>
      </c>
      <c r="G71" s="3103">
        <f t="shared" si="38"/>
        <v>3.5000000000000001E-3</v>
      </c>
      <c r="H71" s="3103">
        <f t="shared" si="39"/>
        <v>0.10773834161288053</v>
      </c>
      <c r="I71" s="3103">
        <f t="shared" si="3"/>
        <v>0.47208199503763126</v>
      </c>
      <c r="J71" s="3227">
        <v>5.1188999249744592E-2</v>
      </c>
      <c r="K71" s="3227">
        <v>69.32335382760435</v>
      </c>
      <c r="L71" s="3227">
        <v>13.286385992478372</v>
      </c>
      <c r="M71" s="3497">
        <v>-4.3743059534455506</v>
      </c>
    </row>
    <row r="72" spans="2:13" ht="18" customHeight="1" x14ac:dyDescent="0.2">
      <c r="B72" s="2616" t="s">
        <v>569</v>
      </c>
      <c r="C72" s="2618" t="s">
        <v>569</v>
      </c>
      <c r="D72" s="3227">
        <v>2.12124740221173</v>
      </c>
      <c r="E72" s="3227">
        <v>93.323712673482035</v>
      </c>
      <c r="F72" s="3227">
        <v>2.7380688844483312</v>
      </c>
      <c r="G72" s="3103">
        <f t="shared" si="38"/>
        <v>3.5000000000000001E-3</v>
      </c>
      <c r="H72" s="3103">
        <f t="shared" si="39"/>
        <v>0.10773834161288053</v>
      </c>
      <c r="I72" s="3103">
        <f t="shared" si="3"/>
        <v>0.47208199503763087</v>
      </c>
      <c r="J72" s="3227">
        <v>7.4243659077410555E-3</v>
      </c>
      <c r="K72" s="3227">
        <v>10.054542036597915</v>
      </c>
      <c r="L72" s="3227">
        <v>1.9270349615232387</v>
      </c>
      <c r="M72" s="3497">
        <v>-0.63444194000241017</v>
      </c>
    </row>
    <row r="73" spans="2:13" ht="18" customHeight="1" x14ac:dyDescent="0.2">
      <c r="B73" s="2616" t="s">
        <v>571</v>
      </c>
      <c r="C73" s="2618" t="s">
        <v>571</v>
      </c>
      <c r="D73" s="3227">
        <v>0.552399349045535</v>
      </c>
      <c r="E73" s="3227">
        <v>24.302661762882106</v>
      </c>
      <c r="F73" s="3227">
        <v>0.71302737617218448</v>
      </c>
      <c r="G73" s="3103">
        <f t="shared" si="38"/>
        <v>3.4999999999999996E-3</v>
      </c>
      <c r="H73" s="3103">
        <f t="shared" si="39"/>
        <v>0.10773834161288054</v>
      </c>
      <c r="I73" s="3103">
        <f t="shared" si="3"/>
        <v>0.47208199503763193</v>
      </c>
      <c r="J73" s="3227">
        <v>1.9333977216593723E-3</v>
      </c>
      <c r="K73" s="3227">
        <v>2.618328475111682</v>
      </c>
      <c r="L73" s="3227">
        <v>0.5018240009267787</v>
      </c>
      <c r="M73" s="3497">
        <v>-0.16521661466696583</v>
      </c>
    </row>
    <row r="74" spans="2:13" ht="18" customHeight="1" x14ac:dyDescent="0.2">
      <c r="B74" s="2616" t="s">
        <v>574</v>
      </c>
      <c r="C74" s="2618" t="s">
        <v>574</v>
      </c>
      <c r="D74" s="3227">
        <v>0.14548433169806255</v>
      </c>
      <c r="E74" s="3227">
        <v>6.4005443003617906</v>
      </c>
      <c r="F74" s="3227">
        <v>0.1877886197441597</v>
      </c>
      <c r="G74" s="3103">
        <f t="shared" si="38"/>
        <v>3.4999999999999996E-3</v>
      </c>
      <c r="H74" s="3103">
        <f t="shared" si="39"/>
        <v>0.10773834161288053</v>
      </c>
      <c r="I74" s="3103">
        <f t="shared" si="3"/>
        <v>0.47208199503763254</v>
      </c>
      <c r="J74" s="3227">
        <v>5.0919516094321887E-4</v>
      </c>
      <c r="K74" s="3227">
        <v>0.68958402834075394</v>
      </c>
      <c r="L74" s="3227">
        <v>0.13216440158922471</v>
      </c>
      <c r="M74" s="3497">
        <v>-4.3512775335038445E-2</v>
      </c>
    </row>
    <row r="75" spans="2:13" ht="18" customHeight="1" x14ac:dyDescent="0.2">
      <c r="B75" s="2616" t="s">
        <v>576</v>
      </c>
      <c r="C75" s="2618" t="s">
        <v>576</v>
      </c>
      <c r="D75" s="3227">
        <v>1.5509586209909687</v>
      </c>
      <c r="E75" s="3227">
        <v>68.234010122018717</v>
      </c>
      <c r="F75" s="3227">
        <v>2.0019501434743026</v>
      </c>
      <c r="G75" s="3103">
        <f t="shared" si="38"/>
        <v>3.5000000000000009E-3</v>
      </c>
      <c r="H75" s="3103">
        <f t="shared" si="39"/>
        <v>0.10773834161288053</v>
      </c>
      <c r="I75" s="3103">
        <f t="shared" si="3"/>
        <v>0.47208199503763076</v>
      </c>
      <c r="J75" s="3227">
        <v>5.4283551734683917E-3</v>
      </c>
      <c r="K75" s="3227">
        <v>7.3514190921428</v>
      </c>
      <c r="L75" s="3227">
        <v>1.4089594091708628</v>
      </c>
      <c r="M75" s="3497">
        <v>-0.46387479147364291</v>
      </c>
    </row>
    <row r="76" spans="2:13" ht="18" customHeight="1" x14ac:dyDescent="0.2">
      <c r="B76" s="2616" t="s">
        <v>577</v>
      </c>
      <c r="C76" s="2618" t="s">
        <v>577</v>
      </c>
      <c r="D76" s="3227">
        <v>1.9421595765960322</v>
      </c>
      <c r="E76" s="3227">
        <v>85.4447916369014</v>
      </c>
      <c r="F76" s="3227">
        <v>2.5069054650420992</v>
      </c>
      <c r="G76" s="3103">
        <f t="shared" si="38"/>
        <v>3.5000000000000005E-3</v>
      </c>
      <c r="H76" s="3103">
        <f t="shared" si="39"/>
        <v>0.10773834161288053</v>
      </c>
      <c r="I76" s="3103">
        <f t="shared" si="3"/>
        <v>0.47208199503763176</v>
      </c>
      <c r="J76" s="3227">
        <v>6.7975585180861135E-3</v>
      </c>
      <c r="K76" s="3227">
        <v>9.20568015041788</v>
      </c>
      <c r="L76" s="3227">
        <v>1.764343659799172</v>
      </c>
      <c r="M76" s="3497">
        <v>-0.58087872649135575</v>
      </c>
    </row>
    <row r="77" spans="2:13" ht="18" customHeight="1" x14ac:dyDescent="0.2">
      <c r="B77" s="104" t="s">
        <v>673</v>
      </c>
      <c r="C77" s="2508"/>
      <c r="D77" s="2108"/>
      <c r="E77" s="2108"/>
      <c r="F77" s="2108"/>
      <c r="G77" s="2108"/>
      <c r="H77" s="2108"/>
      <c r="I77" s="2108"/>
      <c r="J77" s="3103">
        <f>IF(SUM(J78:J89)=0,"NO",SUM(J78:J89))</f>
        <v>0.6384772513758008</v>
      </c>
      <c r="K77" s="3103">
        <f>IF(SUM(K78:K89)=0,"NO",SUM(K78:K89))</f>
        <v>472.65611127229192</v>
      </c>
      <c r="L77" s="3103">
        <f>IF(SUM(L78:L89)=0,"NO",SUM(L78:L89))</f>
        <v>408.45866942419423</v>
      </c>
      <c r="M77" s="3226">
        <f>IF(SUM(M78:M89)=0,"NO",SUM(M78:M89))</f>
        <v>-127.38938854938675</v>
      </c>
    </row>
    <row r="78" spans="2:13" ht="18" customHeight="1" x14ac:dyDescent="0.2">
      <c r="B78" s="2616" t="s">
        <v>559</v>
      </c>
      <c r="C78" s="2618" t="s">
        <v>559</v>
      </c>
      <c r="D78" s="3227">
        <v>0.7131045773341802</v>
      </c>
      <c r="E78" s="3227">
        <v>153.55314696888476</v>
      </c>
      <c r="F78" s="3227">
        <v>4.6595331427192432</v>
      </c>
      <c r="G78" s="3103">
        <f>IF(SUM(D78)=0,"NA",J78/D78)</f>
        <v>1.169207650232262E-2</v>
      </c>
      <c r="H78" s="3103">
        <f>IF(SUM(E78)=0,"NA",K78/E78)</f>
        <v>4.0196292735214099E-2</v>
      </c>
      <c r="I78" s="3103">
        <f t="shared" si="3"/>
        <v>0.78771736891995903</v>
      </c>
      <c r="J78" s="3227">
        <v>8.3376732723476725E-3</v>
      </c>
      <c r="K78" s="3227">
        <v>6.1722672459746457</v>
      </c>
      <c r="L78" s="3227">
        <v>4.156807745494465</v>
      </c>
      <c r="M78" s="3497">
        <v>-0.48641255791631455</v>
      </c>
    </row>
    <row r="79" spans="2:13" ht="18" customHeight="1" x14ac:dyDescent="0.2">
      <c r="B79" s="2616" t="s">
        <v>560</v>
      </c>
      <c r="C79" s="2618" t="s">
        <v>560</v>
      </c>
      <c r="D79" s="3227">
        <v>3.1790537340705898</v>
      </c>
      <c r="E79" s="3227">
        <v>684.5471488552248</v>
      </c>
      <c r="F79" s="3227">
        <v>20.772417829321476</v>
      </c>
      <c r="G79" s="3103">
        <f t="shared" ref="G79:G89" si="40">IF(SUM(D79)=0,"NA",J79/D79)</f>
        <v>1.169207650232262E-2</v>
      </c>
      <c r="H79" s="3103">
        <f t="shared" ref="H79:H89" si="41">IF(SUM(E79)=0,"NA",K79/E79)</f>
        <v>4.0196292735214106E-2</v>
      </c>
      <c r="I79" s="3103">
        <f t="shared" ref="I79:I89" si="42">IF(SUM(F79)=0,"NA",(SUM(L79:M79))/F79)</f>
        <v>0.78771736891995792</v>
      </c>
      <c r="J79" s="3227">
        <v>3.7169739463747728E-2</v>
      </c>
      <c r="K79" s="3227">
        <v>27.516257586440801</v>
      </c>
      <c r="L79" s="3227">
        <v>97.302981263654061</v>
      </c>
      <c r="M79" s="3497">
        <v>-80.940186945034924</v>
      </c>
    </row>
    <row r="80" spans="2:13" ht="18" customHeight="1" x14ac:dyDescent="0.2">
      <c r="B80" s="2616" t="s">
        <v>562</v>
      </c>
      <c r="C80" s="2618" t="s">
        <v>562</v>
      </c>
      <c r="D80" s="3227" t="s">
        <v>2146</v>
      </c>
      <c r="E80" s="3227" t="s">
        <v>2146</v>
      </c>
      <c r="F80" s="3227" t="s">
        <v>2146</v>
      </c>
      <c r="G80" s="3103" t="str">
        <f t="shared" si="40"/>
        <v>NA</v>
      </c>
      <c r="H80" s="3103" t="str">
        <f t="shared" si="41"/>
        <v>NA</v>
      </c>
      <c r="I80" s="3103" t="str">
        <f t="shared" si="42"/>
        <v>NA</v>
      </c>
      <c r="J80" s="3227" t="s">
        <v>2146</v>
      </c>
      <c r="K80" s="3227" t="s">
        <v>2146</v>
      </c>
      <c r="L80" s="3227" t="s">
        <v>2146</v>
      </c>
      <c r="M80" s="3497" t="s">
        <v>2146</v>
      </c>
    </row>
    <row r="81" spans="2:13" ht="18" customHeight="1" x14ac:dyDescent="0.2">
      <c r="B81" s="2616" t="s">
        <v>563</v>
      </c>
      <c r="C81" s="2618" t="s">
        <v>563</v>
      </c>
      <c r="D81" s="3227">
        <v>9.461847632296962</v>
      </c>
      <c r="E81" s="3227">
        <v>2037.424139823496</v>
      </c>
      <c r="F81" s="3227">
        <v>61.825143233355732</v>
      </c>
      <c r="G81" s="3103">
        <f t="shared" si="40"/>
        <v>1.169207650232262E-2</v>
      </c>
      <c r="H81" s="3103">
        <f t="shared" si="41"/>
        <v>4.0196292735214099E-2</v>
      </c>
      <c r="I81" s="3103">
        <f t="shared" si="42"/>
        <v>0.78771736891995914</v>
      </c>
      <c r="J81" s="3227">
        <v>0.11062864637013622</v>
      </c>
      <c r="K81" s="3227">
        <v>81.896897150137036</v>
      </c>
      <c r="L81" s="3227">
        <v>55.154717519347599</v>
      </c>
      <c r="M81" s="3497">
        <v>-6.4539783584690102</v>
      </c>
    </row>
    <row r="82" spans="2:13" ht="18" customHeight="1" x14ac:dyDescent="0.2">
      <c r="B82" s="2616" t="s">
        <v>564</v>
      </c>
      <c r="C82" s="2618" t="s">
        <v>564</v>
      </c>
      <c r="D82" s="3227">
        <v>2.5193782727850882E-2</v>
      </c>
      <c r="E82" s="3227">
        <v>5.4249891879447469</v>
      </c>
      <c r="F82" s="3227">
        <v>0.16461998610321085</v>
      </c>
      <c r="G82" s="3103">
        <f t="shared" si="40"/>
        <v>1.169207650232262E-2</v>
      </c>
      <c r="H82" s="3103">
        <f t="shared" si="41"/>
        <v>4.0196292735214113E-2</v>
      </c>
      <c r="I82" s="3103">
        <f t="shared" si="42"/>
        <v>0.78771736891995847</v>
      </c>
      <c r="J82" s="3227">
        <v>2.9456763503692677E-4</v>
      </c>
      <c r="K82" s="3227">
        <v>0.21806445348399853</v>
      </c>
      <c r="L82" s="3227">
        <v>0.27653178393251537</v>
      </c>
      <c r="M82" s="3497">
        <v>-0.14685776160765399</v>
      </c>
    </row>
    <row r="83" spans="2:13" ht="18" customHeight="1" x14ac:dyDescent="0.2">
      <c r="B83" s="2616" t="s">
        <v>565</v>
      </c>
      <c r="C83" s="2618" t="s">
        <v>565</v>
      </c>
      <c r="D83" s="3227">
        <v>29.350996781331546</v>
      </c>
      <c r="E83" s="3227">
        <v>6320.1640624654046</v>
      </c>
      <c r="F83" s="3227">
        <v>191.78385137523782</v>
      </c>
      <c r="G83" s="3103">
        <f t="shared" si="40"/>
        <v>1.1692076502322624E-2</v>
      </c>
      <c r="H83" s="3103">
        <f t="shared" si="41"/>
        <v>4.0196292735214093E-2</v>
      </c>
      <c r="I83" s="3103">
        <f t="shared" si="42"/>
        <v>0.78771736891995869</v>
      </c>
      <c r="J83" s="3227">
        <v>0.34317409978675351</v>
      </c>
      <c r="K83" s="3227">
        <v>254.04716478943934</v>
      </c>
      <c r="L83" s="3227">
        <v>176.19194729154924</v>
      </c>
      <c r="M83" s="3497">
        <v>-25.120476484910498</v>
      </c>
    </row>
    <row r="84" spans="2:13" ht="18" customHeight="1" x14ac:dyDescent="0.2">
      <c r="B84" s="2616" t="s">
        <v>567</v>
      </c>
      <c r="C84" s="2618" t="s">
        <v>567</v>
      </c>
      <c r="D84" s="3227">
        <v>8.2966881980151452</v>
      </c>
      <c r="E84" s="3227">
        <v>1786.5298060312523</v>
      </c>
      <c r="F84" s="3227">
        <v>54.211815296401674</v>
      </c>
      <c r="G84" s="3103">
        <f t="shared" si="40"/>
        <v>1.169207650232262E-2</v>
      </c>
      <c r="H84" s="3103">
        <f t="shared" si="41"/>
        <v>4.0196292735214106E-2</v>
      </c>
      <c r="I84" s="3103">
        <f t="shared" si="42"/>
        <v>0.78771736891995869</v>
      </c>
      <c r="J84" s="3227">
        <v>9.7005513127110282E-2</v>
      </c>
      <c r="K84" s="3227">
        <v>71.811875063417489</v>
      </c>
      <c r="L84" s="3227">
        <v>54.004040106973321</v>
      </c>
      <c r="M84" s="3497">
        <v>-11.300451597317025</v>
      </c>
    </row>
    <row r="85" spans="2:13" ht="18" customHeight="1" x14ac:dyDescent="0.2">
      <c r="B85" s="2616" t="s">
        <v>569</v>
      </c>
      <c r="C85" s="2618" t="s">
        <v>569</v>
      </c>
      <c r="D85" s="3227" t="s">
        <v>2146</v>
      </c>
      <c r="E85" s="3227">
        <v>246.00115520218154</v>
      </c>
      <c r="F85" s="3227">
        <v>7.7331170928648216</v>
      </c>
      <c r="G85" s="3103" t="str">
        <f t="shared" si="40"/>
        <v>NA</v>
      </c>
      <c r="H85" s="3103">
        <f t="shared" si="41"/>
        <v>4.2339122110319663E-2</v>
      </c>
      <c r="I85" s="3103">
        <f t="shared" si="42"/>
        <v>0.80092622491118093</v>
      </c>
      <c r="J85" s="3227">
        <v>1.4069515620144466E-2</v>
      </c>
      <c r="K85" s="3227">
        <v>10.415472949384863</v>
      </c>
      <c r="L85" s="3227">
        <v>7.1092703989177952</v>
      </c>
      <c r="M85" s="3497">
        <v>-0.91561411893344746</v>
      </c>
    </row>
    <row r="86" spans="2:13" ht="18" customHeight="1" x14ac:dyDescent="0.2">
      <c r="B86" s="2616" t="s">
        <v>571</v>
      </c>
      <c r="C86" s="2618" t="s">
        <v>571</v>
      </c>
      <c r="D86" s="3227">
        <v>0.31336416602129064</v>
      </c>
      <c r="E86" s="3227">
        <v>67.47685454457519</v>
      </c>
      <c r="F86" s="3227">
        <v>2.0475688471601576</v>
      </c>
      <c r="G86" s="3103">
        <f t="shared" si="40"/>
        <v>1.1692076502322618E-2</v>
      </c>
      <c r="H86" s="3103">
        <f t="shared" si="41"/>
        <v>4.0196292735214106E-2</v>
      </c>
      <c r="I86" s="3103">
        <f t="shared" si="42"/>
        <v>0.78771736891995847</v>
      </c>
      <c r="J86" s="3227">
        <v>3.6638778022074561E-3</v>
      </c>
      <c r="K86" s="3227">
        <v>2.7123193981252065</v>
      </c>
      <c r="L86" s="3227">
        <v>1.8370922492988973</v>
      </c>
      <c r="M86" s="3497">
        <v>-0.22418670433142546</v>
      </c>
    </row>
    <row r="87" spans="2:13" ht="18" customHeight="1" x14ac:dyDescent="0.2">
      <c r="B87" s="2616" t="s">
        <v>574</v>
      </c>
      <c r="C87" s="2618" t="s">
        <v>574</v>
      </c>
      <c r="D87" s="3227">
        <v>8.2530104987452058E-2</v>
      </c>
      <c r="E87" s="3227">
        <v>17.771246663246306</v>
      </c>
      <c r="F87" s="3227">
        <v>0.53926418604507176</v>
      </c>
      <c r="G87" s="3103">
        <f t="shared" si="40"/>
        <v>1.1692076502322622E-2</v>
      </c>
      <c r="H87" s="3103">
        <f t="shared" si="41"/>
        <v>4.0196292735214106E-2</v>
      </c>
      <c r="I87" s="3103">
        <f t="shared" si="42"/>
        <v>0.78771736891995903</v>
      </c>
      <c r="J87" s="3227">
        <v>9.6494830125800723E-4</v>
      </c>
      <c r="K87" s="3227">
        <v>0.71433823314554534</v>
      </c>
      <c r="L87" s="3227">
        <v>0.75564665350569826</v>
      </c>
      <c r="M87" s="3497">
        <v>-0.33085888772151106</v>
      </c>
    </row>
    <row r="88" spans="2:13" ht="18" customHeight="1" x14ac:dyDescent="0.2">
      <c r="B88" s="2616" t="s">
        <v>576</v>
      </c>
      <c r="C88" s="2618" t="s">
        <v>576</v>
      </c>
      <c r="D88" s="3227" t="s">
        <v>2146</v>
      </c>
      <c r="E88" s="3227">
        <v>179.86473998117739</v>
      </c>
      <c r="F88" s="3227">
        <v>5.6540998517221368</v>
      </c>
      <c r="G88" s="3103" t="str">
        <f t="shared" si="40"/>
        <v>NA</v>
      </c>
      <c r="H88" s="3103">
        <f t="shared" si="41"/>
        <v>4.2339122110319656E-2</v>
      </c>
      <c r="I88" s="3103">
        <f t="shared" si="42"/>
        <v>0.80092622491118159</v>
      </c>
      <c r="J88" s="3227">
        <v>1.0286983272897884E-2</v>
      </c>
      <c r="K88" s="3227">
        <v>7.6153151894039635</v>
      </c>
      <c r="L88" s="3227">
        <v>5.2473756588762566</v>
      </c>
      <c r="M88" s="3497">
        <v>-0.71885880936557356</v>
      </c>
    </row>
    <row r="89" spans="2:13" ht="18" customHeight="1" x14ac:dyDescent="0.2">
      <c r="B89" s="2616" t="s">
        <v>577</v>
      </c>
      <c r="C89" s="2618" t="s">
        <v>577</v>
      </c>
      <c r="D89" s="3227" t="s">
        <v>2146</v>
      </c>
      <c r="E89" s="3227">
        <v>225.23233213224006</v>
      </c>
      <c r="F89" s="3227">
        <v>7.0802431640865162</v>
      </c>
      <c r="G89" s="3103" t="str">
        <f t="shared" si="40"/>
        <v>NA</v>
      </c>
      <c r="H89" s="3103">
        <f t="shared" si="41"/>
        <v>4.2339122110319649E-2</v>
      </c>
      <c r="I89" s="3103">
        <f t="shared" si="42"/>
        <v>0.80092622491118171</v>
      </c>
      <c r="J89" s="3227">
        <v>1.2881686724160617E-2</v>
      </c>
      <c r="K89" s="3227">
        <v>9.5361392133389842</v>
      </c>
      <c r="L89" s="3227">
        <v>6.4222587526443942</v>
      </c>
      <c r="M89" s="3497">
        <v>-0.75150632377938043</v>
      </c>
    </row>
    <row r="90" spans="2:13" ht="18" customHeight="1" x14ac:dyDescent="0.2">
      <c r="B90" s="88" t="s">
        <v>475</v>
      </c>
      <c r="C90" s="2508" t="s">
        <v>623</v>
      </c>
      <c r="D90" s="2108"/>
      <c r="E90" s="2108"/>
      <c r="F90" s="2108"/>
      <c r="G90" s="2108"/>
      <c r="H90" s="2108"/>
      <c r="I90" s="2108"/>
      <c r="J90" s="3103">
        <f>IF(SUM(J91,J104)=0,"NO",SUM(J91,J104))</f>
        <v>17.043961348945878</v>
      </c>
      <c r="K90" s="3103">
        <f t="shared" ref="K90:M90" si="43">IF(SUM(K91,K104)=0,"NO",SUM(K91,K104))</f>
        <v>3.4232706799081534</v>
      </c>
      <c r="L90" s="3103">
        <f t="shared" si="43"/>
        <v>2.4140000897052252</v>
      </c>
      <c r="M90" s="3226" t="str">
        <f t="shared" si="43"/>
        <v>NO</v>
      </c>
    </row>
    <row r="91" spans="2:13" ht="18" customHeight="1" x14ac:dyDescent="0.2">
      <c r="B91" s="104" t="s">
        <v>674</v>
      </c>
      <c r="C91" s="2508"/>
      <c r="D91" s="2108"/>
      <c r="E91" s="2108"/>
      <c r="F91" s="2108"/>
      <c r="G91" s="2108"/>
      <c r="H91" s="2108"/>
      <c r="I91" s="2108"/>
      <c r="J91" s="3103">
        <f>IF(SUM(J92:J103)=0,"NO",SUM(J92:J103))</f>
        <v>17.043961348945878</v>
      </c>
      <c r="K91" s="3103">
        <f>IF(SUM(K92:K103)=0,"NO",SUM(K92:K103))</f>
        <v>3.4232706799081534</v>
      </c>
      <c r="L91" s="3103">
        <f>IF(SUM(L92:L103)=0,"NO",SUM(L92:L103))</f>
        <v>2.4140000897052252</v>
      </c>
      <c r="M91" s="3226" t="str">
        <f>IF(SUM(M92:M103)=0,"NO",SUM(M92:M103))</f>
        <v>NO</v>
      </c>
    </row>
    <row r="92" spans="2:13" ht="18" customHeight="1" x14ac:dyDescent="0.2">
      <c r="B92" s="2616" t="s">
        <v>559</v>
      </c>
      <c r="C92" s="2618" t="s">
        <v>559</v>
      </c>
      <c r="D92" s="3227">
        <v>0.37095286921034509</v>
      </c>
      <c r="E92" s="3227">
        <v>1.8734960020980895</v>
      </c>
      <c r="F92" s="3227">
        <v>3.1523666636532229E-2</v>
      </c>
      <c r="G92" s="3103">
        <f>IF(SUM(D92)=0,"NA",J92/D92)</f>
        <v>0.60000000000000009</v>
      </c>
      <c r="H92" s="3103">
        <f>IF(SUM(E92)=0,"NA",K92/E92)</f>
        <v>2.3860960072225622E-2</v>
      </c>
      <c r="I92" s="3103">
        <f t="shared" ref="I92:I103" si="44">IF(SUM(F92)=0,"NA",(SUM(L92:M92))/F92)</f>
        <v>1.0000000000000016</v>
      </c>
      <c r="J92" s="3227">
        <v>0.22257172152620708</v>
      </c>
      <c r="K92" s="3227">
        <v>4.4703413301536842E-2</v>
      </c>
      <c r="L92" s="3227">
        <v>3.1523666636532277E-2</v>
      </c>
      <c r="M92" s="3497" t="s">
        <v>2146</v>
      </c>
    </row>
    <row r="93" spans="2:13" ht="18" customHeight="1" x14ac:dyDescent="0.2">
      <c r="B93" s="2616" t="s">
        <v>560</v>
      </c>
      <c r="C93" s="2618" t="s">
        <v>560</v>
      </c>
      <c r="D93" s="3227">
        <v>1.6537253321748133</v>
      </c>
      <c r="E93" s="3227">
        <v>8.3521332642423012</v>
      </c>
      <c r="F93" s="3227">
        <v>0.14053398802613573</v>
      </c>
      <c r="G93" s="3103">
        <f t="shared" ref="G93:G103" si="45">IF(SUM(D93)=0,"NA",J93/D93)</f>
        <v>0.59999999999999987</v>
      </c>
      <c r="H93" s="3103">
        <f t="shared" ref="H93:H103" si="46">IF(SUM(E93)=0,"NA",K93/E93)</f>
        <v>2.3860960072225625E-2</v>
      </c>
      <c r="I93" s="3103">
        <f t="shared" si="44"/>
        <v>1.0000000000000007</v>
      </c>
      <c r="J93" s="3227">
        <v>0.99223519930488779</v>
      </c>
      <c r="K93" s="3227">
        <v>0.19928991833599302</v>
      </c>
      <c r="L93" s="3227">
        <v>0.14053398802613581</v>
      </c>
      <c r="M93" s="3497" t="s">
        <v>2146</v>
      </c>
    </row>
    <row r="94" spans="2:13" ht="18" customHeight="1" x14ac:dyDescent="0.2">
      <c r="B94" s="2616" t="s">
        <v>562</v>
      </c>
      <c r="C94" s="2618" t="s">
        <v>562</v>
      </c>
      <c r="D94" s="3227" t="s">
        <v>2146</v>
      </c>
      <c r="E94" s="3227" t="s">
        <v>2146</v>
      </c>
      <c r="F94" s="3227" t="s">
        <v>2146</v>
      </c>
      <c r="G94" s="3103" t="str">
        <f t="shared" si="45"/>
        <v>NA</v>
      </c>
      <c r="H94" s="3103" t="str">
        <f t="shared" si="46"/>
        <v>NA</v>
      </c>
      <c r="I94" s="3103" t="str">
        <f t="shared" si="44"/>
        <v>NA</v>
      </c>
      <c r="J94" s="3227" t="s">
        <v>2146</v>
      </c>
      <c r="K94" s="3227" t="s">
        <v>2146</v>
      </c>
      <c r="L94" s="3227" t="s">
        <v>2146</v>
      </c>
      <c r="M94" s="3497" t="s">
        <v>2146</v>
      </c>
    </row>
    <row r="95" spans="2:13" ht="18" customHeight="1" x14ac:dyDescent="0.2">
      <c r="B95" s="2616" t="s">
        <v>563</v>
      </c>
      <c r="C95" s="2618" t="s">
        <v>563</v>
      </c>
      <c r="D95" s="3227">
        <v>4.9219983138417502</v>
      </c>
      <c r="E95" s="3227">
        <v>24.858533060940378</v>
      </c>
      <c r="F95" s="3227">
        <v>0.41827263490753447</v>
      </c>
      <c r="G95" s="3103">
        <f t="shared" si="45"/>
        <v>0.6</v>
      </c>
      <c r="H95" s="3103">
        <f t="shared" si="46"/>
        <v>2.3860960072225618E-2</v>
      </c>
      <c r="I95" s="3103">
        <f t="shared" si="44"/>
        <v>1.0000000000000002</v>
      </c>
      <c r="J95" s="3227">
        <v>2.9531989883050498</v>
      </c>
      <c r="K95" s="3227">
        <v>0.59314846482119887</v>
      </c>
      <c r="L95" s="3227">
        <v>0.41827263490753452</v>
      </c>
      <c r="M95" s="3497" t="s">
        <v>2146</v>
      </c>
    </row>
    <row r="96" spans="2:13" ht="18" customHeight="1" x14ac:dyDescent="0.2">
      <c r="B96" s="2616" t="s">
        <v>564</v>
      </c>
      <c r="C96" s="2618" t="s">
        <v>564</v>
      </c>
      <c r="D96" s="3227">
        <v>1.3105659795503833E-2</v>
      </c>
      <c r="E96" s="3227">
        <v>6.6190083079830112E-2</v>
      </c>
      <c r="F96" s="3227">
        <v>1.1137222130798508E-3</v>
      </c>
      <c r="G96" s="3103">
        <f t="shared" si="45"/>
        <v>0.59999999999999987</v>
      </c>
      <c r="H96" s="3103">
        <f t="shared" si="46"/>
        <v>2.3860960072225622E-2</v>
      </c>
      <c r="I96" s="3103">
        <f t="shared" si="44"/>
        <v>1.0000000000000009</v>
      </c>
      <c r="J96" s="3227">
        <v>7.863395877302299E-3</v>
      </c>
      <c r="K96" s="3227">
        <v>1.5793589295451231E-3</v>
      </c>
      <c r="L96" s="3227">
        <v>1.1137222130798517E-3</v>
      </c>
      <c r="M96" s="3497" t="s">
        <v>2146</v>
      </c>
    </row>
    <row r="97" spans="2:13" ht="18" customHeight="1" x14ac:dyDescent="0.2">
      <c r="B97" s="2616" t="s">
        <v>565</v>
      </c>
      <c r="C97" s="2618" t="s">
        <v>565</v>
      </c>
      <c r="D97" s="3227">
        <v>15.268218458112921</v>
      </c>
      <c r="E97" s="3227">
        <v>77.112077071480101</v>
      </c>
      <c r="F97" s="3227">
        <v>1.2974969834628176</v>
      </c>
      <c r="G97" s="3103">
        <f t="shared" si="45"/>
        <v>0.6</v>
      </c>
      <c r="H97" s="3103">
        <f t="shared" si="46"/>
        <v>2.3860960072225622E-2</v>
      </c>
      <c r="I97" s="3103">
        <f t="shared" si="44"/>
        <v>1</v>
      </c>
      <c r="J97" s="3227">
        <v>9.1609310748677526</v>
      </c>
      <c r="K97" s="3227">
        <v>1.8399681920889717</v>
      </c>
      <c r="L97" s="3227">
        <v>1.2974969834628176</v>
      </c>
      <c r="M97" s="3497" t="s">
        <v>2146</v>
      </c>
    </row>
    <row r="98" spans="2:13" ht="18" customHeight="1" x14ac:dyDescent="0.2">
      <c r="B98" s="2616" t="s">
        <v>567</v>
      </c>
      <c r="C98" s="2618" t="s">
        <v>567</v>
      </c>
      <c r="D98" s="3227">
        <v>4.315889127374148</v>
      </c>
      <c r="E98" s="3227">
        <v>21.797381006504914</v>
      </c>
      <c r="F98" s="3227">
        <v>0.36676532622916402</v>
      </c>
      <c r="G98" s="3103">
        <f t="shared" si="45"/>
        <v>0.6</v>
      </c>
      <c r="H98" s="3103">
        <f t="shared" si="46"/>
        <v>2.3860960072225625E-2</v>
      </c>
      <c r="I98" s="3103">
        <f t="shared" si="44"/>
        <v>1.0000000000000002</v>
      </c>
      <c r="J98" s="3227">
        <v>2.5895334764244886</v>
      </c>
      <c r="K98" s="3227">
        <v>0.52010643787530297</v>
      </c>
      <c r="L98" s="3227">
        <v>0.36676532622916413</v>
      </c>
      <c r="M98" s="3497" t="s">
        <v>2146</v>
      </c>
    </row>
    <row r="99" spans="2:13" ht="18" customHeight="1" x14ac:dyDescent="0.2">
      <c r="B99" s="2616" t="s">
        <v>569</v>
      </c>
      <c r="C99" s="2618" t="s">
        <v>569</v>
      </c>
      <c r="D99" s="3227">
        <v>0.62596926231228867</v>
      </c>
      <c r="E99" s="3227">
        <v>3.1614552891175141</v>
      </c>
      <c r="F99" s="3227">
        <v>5.3195022839031526E-2</v>
      </c>
      <c r="G99" s="3103">
        <f t="shared" si="45"/>
        <v>0.6</v>
      </c>
      <c r="H99" s="3103">
        <f t="shared" si="46"/>
        <v>2.3860960072225625E-2</v>
      </c>
      <c r="I99" s="3103">
        <f t="shared" si="44"/>
        <v>0.99999999999999933</v>
      </c>
      <c r="J99" s="3227">
        <v>0.3755815573873732</v>
      </c>
      <c r="K99" s="3227">
        <v>7.5435358423759521E-2</v>
      </c>
      <c r="L99" s="3227">
        <v>5.3195022839031492E-2</v>
      </c>
      <c r="M99" s="3497" t="s">
        <v>2146</v>
      </c>
    </row>
    <row r="100" spans="2:13" ht="18" customHeight="1" x14ac:dyDescent="0.2">
      <c r="B100" s="2616" t="s">
        <v>571</v>
      </c>
      <c r="C100" s="2618" t="s">
        <v>571</v>
      </c>
      <c r="D100" s="3227">
        <v>0.16301022344837635</v>
      </c>
      <c r="E100" s="3227">
        <v>0.82328249025747768</v>
      </c>
      <c r="F100" s="3227">
        <v>1.3852649133762081E-2</v>
      </c>
      <c r="G100" s="3103">
        <f t="shared" si="45"/>
        <v>0.6</v>
      </c>
      <c r="H100" s="3103">
        <f t="shared" si="46"/>
        <v>2.3860960072225625E-2</v>
      </c>
      <c r="I100" s="3103">
        <f t="shared" si="44"/>
        <v>0.99999999999999989</v>
      </c>
      <c r="J100" s="3227">
        <v>9.7806134069025802E-2</v>
      </c>
      <c r="K100" s="3227">
        <v>1.9644310628196156E-2</v>
      </c>
      <c r="L100" s="3227">
        <v>1.3852649133762079E-2</v>
      </c>
      <c r="M100" s="3497" t="s">
        <v>2146</v>
      </c>
    </row>
    <row r="101" spans="2:13" ht="18" customHeight="1" x14ac:dyDescent="0.2">
      <c r="B101" s="2616" t="s">
        <v>574</v>
      </c>
      <c r="C101" s="2618" t="s">
        <v>574</v>
      </c>
      <c r="D101" s="3227">
        <v>4.2931682412942138E-2</v>
      </c>
      <c r="E101" s="3227">
        <v>0.21682629261019032</v>
      </c>
      <c r="F101" s="3227">
        <v>3.6483449970665951E-3</v>
      </c>
      <c r="G101" s="3103">
        <f t="shared" si="45"/>
        <v>0.6</v>
      </c>
      <c r="H101" s="3103">
        <f t="shared" si="46"/>
        <v>2.3860960072225622E-2</v>
      </c>
      <c r="I101" s="3103">
        <f t="shared" si="44"/>
        <v>0.99999999999999867</v>
      </c>
      <c r="J101" s="3227">
        <v>2.5759009447765283E-2</v>
      </c>
      <c r="K101" s="3227">
        <v>5.1736835105804608E-3</v>
      </c>
      <c r="L101" s="3227">
        <v>3.6483449970665903E-3</v>
      </c>
      <c r="M101" s="3497" t="s">
        <v>2146</v>
      </c>
    </row>
    <row r="102" spans="2:13" ht="18" customHeight="1" x14ac:dyDescent="0.2">
      <c r="B102" s="2616" t="s">
        <v>576</v>
      </c>
      <c r="C102" s="2618" t="s">
        <v>576</v>
      </c>
      <c r="D102" s="3227">
        <v>0.45767995889887086</v>
      </c>
      <c r="E102" s="3227">
        <v>2.3115108263288224</v>
      </c>
      <c r="F102" s="3227">
        <v>3.8893756183265071E-2</v>
      </c>
      <c r="G102" s="3103">
        <f t="shared" si="45"/>
        <v>0.59999999999999987</v>
      </c>
      <c r="H102" s="3103">
        <f t="shared" si="46"/>
        <v>2.3860960072225625E-2</v>
      </c>
      <c r="I102" s="3103">
        <f t="shared" si="44"/>
        <v>1</v>
      </c>
      <c r="J102" s="3227">
        <v>0.27460797533932246</v>
      </c>
      <c r="K102" s="3227">
        <v>5.5154867533549291E-2</v>
      </c>
      <c r="L102" s="3227">
        <v>3.8893756183265071E-2</v>
      </c>
      <c r="M102" s="3497" t="s">
        <v>2146</v>
      </c>
    </row>
    <row r="103" spans="2:13" ht="18" customHeight="1" x14ac:dyDescent="0.2">
      <c r="B103" s="2616" t="s">
        <v>577</v>
      </c>
      <c r="C103" s="2618" t="s">
        <v>577</v>
      </c>
      <c r="D103" s="3227">
        <v>0.57312136066117303</v>
      </c>
      <c r="E103" s="3227">
        <v>2.8945471703761667</v>
      </c>
      <c r="F103" s="3227">
        <v>4.8703995076835295E-2</v>
      </c>
      <c r="G103" s="3103">
        <f t="shared" si="45"/>
        <v>0.6</v>
      </c>
      <c r="H103" s="3103">
        <f t="shared" si="46"/>
        <v>2.3860960072225625E-2</v>
      </c>
      <c r="I103" s="3103">
        <f t="shared" si="44"/>
        <v>1.0000000000000004</v>
      </c>
      <c r="J103" s="3227">
        <v>0.34387281639670381</v>
      </c>
      <c r="K103" s="3227">
        <v>6.9066674459519375E-2</v>
      </c>
      <c r="L103" s="3227">
        <v>4.8703995076835316E-2</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IE</v>
      </c>
      <c r="E105" s="3227" t="str">
        <f>IF(E92="NO","NO","IE")</f>
        <v>IE</v>
      </c>
      <c r="F105" s="2108"/>
      <c r="G105" s="3103" t="str">
        <f>IF(SUM(D105)=0,"NA",J105/D105)</f>
        <v>NA</v>
      </c>
      <c r="H105" s="3103" t="str">
        <f>IF(SUM(E105)=0,"NA",K105/E105)</f>
        <v>NA</v>
      </c>
      <c r="I105" s="2108"/>
      <c r="J105" s="3227" t="str">
        <f>IF(J92="NO","NO","IE")</f>
        <v>IE</v>
      </c>
      <c r="K105" s="3227" t="str">
        <f>IF(K92="NO","NO","IE")</f>
        <v>IE</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NO</v>
      </c>
      <c r="E107" s="3227" t="str">
        <f t="shared" si="47"/>
        <v>NO</v>
      </c>
      <c r="F107" s="2108"/>
      <c r="G107" s="3103" t="str">
        <f t="shared" si="48"/>
        <v>NA</v>
      </c>
      <c r="H107" s="3103" t="str">
        <f t="shared" si="49"/>
        <v>NA</v>
      </c>
      <c r="I107" s="2108"/>
      <c r="J107" s="3227" t="str">
        <f t="shared" ref="J107:K107" si="52">IF(J94="NO","NO","IE")</f>
        <v>NO</v>
      </c>
      <c r="K107" s="3227" t="str">
        <f t="shared" si="52"/>
        <v>NO</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IE</v>
      </c>
      <c r="E112" s="3227" t="str">
        <f t="shared" si="47"/>
        <v>IE</v>
      </c>
      <c r="F112" s="2108"/>
      <c r="G112" s="3103" t="str">
        <f t="shared" si="48"/>
        <v>NA</v>
      </c>
      <c r="H112" s="3103" t="str">
        <f t="shared" si="49"/>
        <v>NA</v>
      </c>
      <c r="I112" s="2108"/>
      <c r="J112" s="3227" t="str">
        <f t="shared" ref="J112:K112" si="62">IF(J99="NO","NO","IE")</f>
        <v>IE</v>
      </c>
      <c r="K112" s="3227" t="str">
        <f t="shared" si="62"/>
        <v>IE</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IE</v>
      </c>
      <c r="E115" s="3227" t="str">
        <f t="shared" si="47"/>
        <v>IE</v>
      </c>
      <c r="F115" s="2108"/>
      <c r="G115" s="3103" t="str">
        <f t="shared" si="48"/>
        <v>NA</v>
      </c>
      <c r="H115" s="3103" t="str">
        <f t="shared" si="49"/>
        <v>NA</v>
      </c>
      <c r="I115" s="2108"/>
      <c r="J115" s="3227" t="str">
        <f t="shared" ref="J115:K115" si="68">IF(J102="NO","NO","IE")</f>
        <v>IE</v>
      </c>
      <c r="K115" s="3227" t="str">
        <f t="shared" si="68"/>
        <v>IE</v>
      </c>
      <c r="L115" s="3228"/>
      <c r="M115" s="3497" t="str">
        <f t="shared" ref="M115" si="69">IF(M102="NO","NO","IE")</f>
        <v>NO</v>
      </c>
    </row>
    <row r="116" spans="2:13" ht="18" customHeight="1" x14ac:dyDescent="0.2">
      <c r="B116" s="2616" t="s">
        <v>577</v>
      </c>
      <c r="C116" s="2618" t="s">
        <v>577</v>
      </c>
      <c r="D116" s="3227" t="str">
        <f t="shared" si="47"/>
        <v>IE</v>
      </c>
      <c r="E116" s="3227" t="str">
        <f t="shared" si="47"/>
        <v>IE</v>
      </c>
      <c r="F116" s="2108"/>
      <c r="G116" s="3103" t="str">
        <f t="shared" si="48"/>
        <v>NA</v>
      </c>
      <c r="H116" s="3103" t="str">
        <f t="shared" si="49"/>
        <v>NA</v>
      </c>
      <c r="I116" s="2108"/>
      <c r="J116" s="3227" t="str">
        <f t="shared" ref="J116:K116" si="70">IF(J103="NO","NO","IE")</f>
        <v>IE</v>
      </c>
      <c r="K116" s="3227" t="str">
        <f t="shared" si="70"/>
        <v>IE</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9.6924629072728391E-2</v>
      </c>
      <c r="K117" s="3103">
        <f>IF(SUM(K118:K129)=0,"NO",SUM(K118:K129))</f>
        <v>17.281277135574076</v>
      </c>
      <c r="L117" s="3103">
        <f>IF(SUM(L118:L129)=0,"NO",SUM(L118:L129))</f>
        <v>16.18819608582978</v>
      </c>
      <c r="M117" s="3226">
        <f>IF(SUM(M118:M129)=0,"NO",SUM(M118:M129))</f>
        <v>-8.5996224179244631</v>
      </c>
    </row>
    <row r="118" spans="2:13" ht="18" customHeight="1" x14ac:dyDescent="0.2">
      <c r="B118" s="2616" t="s">
        <v>559</v>
      </c>
      <c r="C118" s="2618" t="s">
        <v>559</v>
      </c>
      <c r="D118" s="3227">
        <v>0.36131499851899096</v>
      </c>
      <c r="E118" s="3227">
        <v>4.5015123514551352</v>
      </c>
      <c r="F118" s="3227">
        <v>0.32369631239517965</v>
      </c>
      <c r="G118" s="3103">
        <f>IF(SUM(D118)=0,"NA",J118/D118)</f>
        <v>3.5030602105525616E-3</v>
      </c>
      <c r="H118" s="3103">
        <f>IF(SUM(E118)=0,"NA",K118/E118)</f>
        <v>5.0132208022062648E-2</v>
      </c>
      <c r="I118" s="3103">
        <f t="shared" ref="I118:I129" si="72">IF(SUM(F118)=0,"NA",(SUM(L118:M118))/F118)</f>
        <v>0.30614124703051182</v>
      </c>
      <c r="J118" s="3227">
        <v>1.2657081947877349E-3</v>
      </c>
      <c r="K118" s="3227">
        <v>0.22567075361703323</v>
      </c>
      <c r="L118" s="3227">
        <v>0.21139655256550904</v>
      </c>
      <c r="M118" s="3497">
        <v>-0.11229975982967062</v>
      </c>
    </row>
    <row r="119" spans="2:13" ht="18" customHeight="1" x14ac:dyDescent="0.2">
      <c r="B119" s="2616" t="s">
        <v>560</v>
      </c>
      <c r="C119" s="2618" t="s">
        <v>560</v>
      </c>
      <c r="D119" s="3227">
        <v>1.6107592514852473</v>
      </c>
      <c r="E119" s="3227">
        <v>20.067953712141183</v>
      </c>
      <c r="F119" s="3227">
        <v>1.4430533800129235</v>
      </c>
      <c r="G119" s="3103">
        <f t="shared" ref="G119:G129" si="73">IF(SUM(D119)=0,"NA",J119/D119)</f>
        <v>3.5030602105525612E-3</v>
      </c>
      <c r="H119" s="3103">
        <f t="shared" ref="H119:H129" si="74">IF(SUM(E119)=0,"NA",K119/E119)</f>
        <v>5.0132208022062641E-2</v>
      </c>
      <c r="I119" s="3103">
        <f t="shared" si="72"/>
        <v>0.30614124703051182</v>
      </c>
      <c r="J119" s="3227">
        <v>5.6425866426573967E-3</v>
      </c>
      <c r="K119" s="3227">
        <v>1.0060508300741859</v>
      </c>
      <c r="L119" s="3227">
        <v>0.94241577065083759</v>
      </c>
      <c r="M119" s="3497">
        <v>-0.50063760936208612</v>
      </c>
    </row>
    <row r="120" spans="2:13" ht="18" customHeight="1" x14ac:dyDescent="0.2">
      <c r="B120" s="2616" t="s">
        <v>562</v>
      </c>
      <c r="C120" s="2618" t="s">
        <v>562</v>
      </c>
      <c r="D120" s="3227" t="s">
        <v>2146</v>
      </c>
      <c r="E120" s="3227" t="s">
        <v>2146</v>
      </c>
      <c r="F120" s="3227" t="s">
        <v>2146</v>
      </c>
      <c r="G120" s="3103" t="str">
        <f t="shared" si="73"/>
        <v>NA</v>
      </c>
      <c r="H120" s="3103" t="str">
        <f t="shared" si="74"/>
        <v>NA</v>
      </c>
      <c r="I120" s="3103" t="str">
        <f t="shared" si="72"/>
        <v>NA</v>
      </c>
      <c r="J120" s="3227" t="s">
        <v>2146</v>
      </c>
      <c r="K120" s="3227" t="s">
        <v>2146</v>
      </c>
      <c r="L120" s="3227" t="s">
        <v>2146</v>
      </c>
      <c r="M120" s="3497" t="s">
        <v>2146</v>
      </c>
    </row>
    <row r="121" spans="2:13" ht="18" customHeight="1" x14ac:dyDescent="0.2">
      <c r="B121" s="2616" t="s">
        <v>563</v>
      </c>
      <c r="C121" s="2618" t="s">
        <v>563</v>
      </c>
      <c r="D121" s="3227">
        <v>4.794117962375938</v>
      </c>
      <c r="E121" s="3227">
        <v>59.728440032732031</v>
      </c>
      <c r="F121" s="3227">
        <v>4.2949733943220689</v>
      </c>
      <c r="G121" s="3103">
        <f t="shared" si="73"/>
        <v>3.503060210552562E-3</v>
      </c>
      <c r="H121" s="3103">
        <f t="shared" si="74"/>
        <v>5.0132208022062641E-2</v>
      </c>
      <c r="I121" s="3103">
        <f t="shared" si="72"/>
        <v>0.30614124703051188</v>
      </c>
      <c r="J121" s="3227">
        <v>1.6794083878694473E-2</v>
      </c>
      <c r="K121" s="3227">
        <v>2.9943185805542161</v>
      </c>
      <c r="L121" s="3227">
        <v>2.804920952611349</v>
      </c>
      <c r="M121" s="3497">
        <v>-1.4900524417107204</v>
      </c>
    </row>
    <row r="122" spans="2:13" ht="18" customHeight="1" x14ac:dyDescent="0.2">
      <c r="B122" s="2616" t="s">
        <v>564</v>
      </c>
      <c r="C122" s="2618" t="s">
        <v>564</v>
      </c>
      <c r="D122" s="3227">
        <v>1.2765156553938874E-2</v>
      </c>
      <c r="E122" s="3227">
        <v>0.15903715630779175</v>
      </c>
      <c r="F122" s="3227">
        <v>1.143609902880904E-2</v>
      </c>
      <c r="G122" s="3103">
        <f t="shared" si="73"/>
        <v>3.5030602105525607E-3</v>
      </c>
      <c r="H122" s="3103">
        <f t="shared" si="74"/>
        <v>5.0132208022062648E-2</v>
      </c>
      <c r="I122" s="3103">
        <f t="shared" si="72"/>
        <v>0.30614124703051177</v>
      </c>
      <c r="J122" s="3227">
        <v>4.4717112005577514E-5</v>
      </c>
      <c r="K122" s="3227">
        <v>7.9728838032595093E-3</v>
      </c>
      <c r="L122" s="3227">
        <v>7.4685803233265321E-3</v>
      </c>
      <c r="M122" s="3497">
        <v>-3.9675187054825081E-3</v>
      </c>
    </row>
    <row r="123" spans="2:13" ht="18" customHeight="1" x14ac:dyDescent="0.2">
      <c r="B123" s="2616" t="s">
        <v>565</v>
      </c>
      <c r="C123" s="2618" t="s">
        <v>565</v>
      </c>
      <c r="D123" s="3227">
        <v>14.871528939307238</v>
      </c>
      <c r="E123" s="3227">
        <v>185.27980150205519</v>
      </c>
      <c r="F123" s="3227">
        <v>13.323164266813381</v>
      </c>
      <c r="G123" s="3103">
        <f t="shared" si="73"/>
        <v>3.5030602105525616E-3</v>
      </c>
      <c r="H123" s="3103">
        <f t="shared" si="74"/>
        <v>5.0132208022062655E-2</v>
      </c>
      <c r="I123" s="3103">
        <f t="shared" si="72"/>
        <v>0.30614124703051165</v>
      </c>
      <c r="J123" s="3227">
        <v>5.2095861297368123E-2</v>
      </c>
      <c r="K123" s="3227">
        <v>9.2884855511875077</v>
      </c>
      <c r="L123" s="3227">
        <v>8.7009671949239902</v>
      </c>
      <c r="M123" s="3497">
        <v>-4.6221970718893894</v>
      </c>
    </row>
    <row r="124" spans="2:13" ht="18" customHeight="1" x14ac:dyDescent="0.2">
      <c r="B124" s="2616" t="s">
        <v>567</v>
      </c>
      <c r="C124" s="2618" t="s">
        <v>567</v>
      </c>
      <c r="D124" s="3227">
        <v>4.2037563342880624</v>
      </c>
      <c r="E124" s="3227">
        <v>52.373306225511861</v>
      </c>
      <c r="F124" s="3227">
        <v>3.7660778799510659</v>
      </c>
      <c r="G124" s="3103">
        <f t="shared" si="73"/>
        <v>3.5030602105525616E-3</v>
      </c>
      <c r="H124" s="3103">
        <f t="shared" si="74"/>
        <v>5.0132208022062648E-2</v>
      </c>
      <c r="I124" s="3103">
        <f t="shared" si="72"/>
        <v>0.30614124703051177</v>
      </c>
      <c r="J124" s="3227">
        <v>1.4726011549502805E-2</v>
      </c>
      <c r="K124" s="3227">
        <v>2.6255894825005495</v>
      </c>
      <c r="L124" s="3227">
        <v>2.4595148292666558</v>
      </c>
      <c r="M124" s="3497">
        <v>-1.3065630506844104</v>
      </c>
    </row>
    <row r="125" spans="2:13" ht="18" customHeight="1" x14ac:dyDescent="0.2">
      <c r="B125" s="2616" t="s">
        <v>569</v>
      </c>
      <c r="C125" s="2618" t="s">
        <v>569</v>
      </c>
      <c r="D125" s="3227">
        <v>0.60970571158205489</v>
      </c>
      <c r="E125" s="3227">
        <v>7.5961357892401598</v>
      </c>
      <c r="F125" s="3227">
        <v>0.54622556853259652</v>
      </c>
      <c r="G125" s="3103">
        <f t="shared" si="73"/>
        <v>3.5030602105525616E-3</v>
      </c>
      <c r="H125" s="3103">
        <f t="shared" si="74"/>
        <v>5.0132208022062648E-2</v>
      </c>
      <c r="I125" s="3103">
        <f t="shared" si="72"/>
        <v>0.30614124703051182</v>
      </c>
      <c r="J125" s="3227">
        <v>2.1358358183897327E-3</v>
      </c>
      <c r="K125" s="3227">
        <v>0.3808110595500227</v>
      </c>
      <c r="L125" s="3227">
        <v>0.35672387262155802</v>
      </c>
      <c r="M125" s="3497">
        <v>-0.18950169591103863</v>
      </c>
    </row>
    <row r="126" spans="2:13" ht="18" customHeight="1" x14ac:dyDescent="0.2">
      <c r="B126" s="2616" t="s">
        <v>571</v>
      </c>
      <c r="C126" s="2618" t="s">
        <v>571</v>
      </c>
      <c r="D126" s="3227">
        <v>0.15877499146780541</v>
      </c>
      <c r="E126" s="3227">
        <v>1.978128746728302</v>
      </c>
      <c r="F126" s="3227">
        <v>0.14224396841916148</v>
      </c>
      <c r="G126" s="3103">
        <f t="shared" si="73"/>
        <v>3.5030602105525616E-3</v>
      </c>
      <c r="H126" s="3103">
        <f t="shared" si="74"/>
        <v>5.0132208022062648E-2</v>
      </c>
      <c r="I126" s="3103">
        <f t="shared" si="72"/>
        <v>0.30614124703051154</v>
      </c>
      <c r="J126" s="3227">
        <v>5.5619835504169162E-4</v>
      </c>
      <c r="K126" s="3227">
        <v>9.9167961825405312E-2</v>
      </c>
      <c r="L126" s="3227">
        <v>9.2895357146786123E-2</v>
      </c>
      <c r="M126" s="3497">
        <v>-4.9348611272375324E-2</v>
      </c>
    </row>
    <row r="127" spans="2:13" ht="18" customHeight="1" x14ac:dyDescent="0.2">
      <c r="B127" s="2616" t="s">
        <v>574</v>
      </c>
      <c r="C127" s="2618" t="s">
        <v>574</v>
      </c>
      <c r="D127" s="3227">
        <v>4.1816257683814091E-2</v>
      </c>
      <c r="E127" s="3227">
        <v>0.52097588316812149</v>
      </c>
      <c r="F127" s="3227">
        <v>3.7462514608858029E-2</v>
      </c>
      <c r="G127" s="3103">
        <f t="shared" si="73"/>
        <v>3.5030602105525612E-3</v>
      </c>
      <c r="H127" s="3103">
        <f t="shared" si="74"/>
        <v>5.0132208022062655E-2</v>
      </c>
      <c r="I127" s="3103">
        <f t="shared" si="72"/>
        <v>0.30614124703051177</v>
      </c>
      <c r="J127" s="3227">
        <v>1.4648486844638195E-4</v>
      </c>
      <c r="K127" s="3227">
        <v>2.6117671349462076E-2</v>
      </c>
      <c r="L127" s="3227">
        <v>2.4465667774056295E-2</v>
      </c>
      <c r="M127" s="3497">
        <v>-1.2996846834801734E-2</v>
      </c>
    </row>
    <row r="128" spans="2:13" ht="18" customHeight="1" x14ac:dyDescent="0.2">
      <c r="B128" s="2616" t="s">
        <v>576</v>
      </c>
      <c r="C128" s="2618" t="s">
        <v>576</v>
      </c>
      <c r="D128" s="3227">
        <v>0.44578879797785814</v>
      </c>
      <c r="E128" s="3227">
        <v>5.5539454173314411</v>
      </c>
      <c r="F128" s="3227">
        <v>0.39937503453770373</v>
      </c>
      <c r="G128" s="3103">
        <f t="shared" si="73"/>
        <v>3.5030602105525612E-3</v>
      </c>
      <c r="H128" s="3103">
        <f t="shared" si="74"/>
        <v>5.0132208022062655E-2</v>
      </c>
      <c r="I128" s="3103">
        <f t="shared" si="72"/>
        <v>0.30614124703051171</v>
      </c>
      <c r="J128" s="3227">
        <v>1.5616250005062889E-3</v>
      </c>
      <c r="K128" s="3227">
        <v>0.27843154700484141</v>
      </c>
      <c r="L128" s="3227">
        <v>0.26082010282196499</v>
      </c>
      <c r="M128" s="3497">
        <v>-0.13855493171573868</v>
      </c>
    </row>
    <row r="129" spans="2:13" ht="18" customHeight="1" x14ac:dyDescent="0.2">
      <c r="B129" s="2616" t="s">
        <v>577</v>
      </c>
      <c r="C129" s="2618" t="s">
        <v>577</v>
      </c>
      <c r="D129" s="3227">
        <v>0.55823087180671638</v>
      </c>
      <c r="E129" s="3227">
        <v>6.95482660476776</v>
      </c>
      <c r="F129" s="3227">
        <v>0.50011008513249633</v>
      </c>
      <c r="G129" s="3103">
        <f t="shared" si="73"/>
        <v>3.5030602105525612E-3</v>
      </c>
      <c r="H129" s="3103">
        <f t="shared" si="74"/>
        <v>5.0132208022062655E-2</v>
      </c>
      <c r="I129" s="3103">
        <f t="shared" si="72"/>
        <v>0.30614124703051154</v>
      </c>
      <c r="J129" s="3227">
        <v>1.9555163553281758E-3</v>
      </c>
      <c r="K129" s="3227">
        <v>0.34866081410759309</v>
      </c>
      <c r="L129" s="3227">
        <v>0.32660720512374697</v>
      </c>
      <c r="M129" s="3497">
        <v>-0.17350288000874925</v>
      </c>
    </row>
    <row r="130" spans="2:13" ht="18" customHeight="1" x14ac:dyDescent="0.2">
      <c r="B130" s="147" t="s">
        <v>477</v>
      </c>
      <c r="C130" s="2508"/>
      <c r="D130" s="4326"/>
      <c r="E130" s="4326"/>
      <c r="F130" s="4326"/>
      <c r="G130" s="4327"/>
      <c r="H130" s="4327"/>
      <c r="I130" s="4327"/>
      <c r="J130" s="3103" t="str">
        <f>IF(SUM(J131,J144)=0,"NO",SUM(J131,J144))</f>
        <v>NO</v>
      </c>
      <c r="K130" s="3103">
        <f>IF(SUM(K131,K144)=0,"NO",SUM(K131,K144))</f>
        <v>83.855309531784158</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f>IF(SUM(K132:K143)=0,"NO",SUM(K132:K143))</f>
        <v>83.855309531784158</v>
      </c>
      <c r="L131" s="3229"/>
      <c r="M131" s="3226" t="str">
        <f>IF(SUM(M132:M143)=0,"NO",SUM(M132:M143))</f>
        <v>NO</v>
      </c>
    </row>
    <row r="132" spans="2:13" ht="18" customHeight="1" x14ac:dyDescent="0.2">
      <c r="B132" s="2616" t="s">
        <v>559</v>
      </c>
      <c r="C132" s="2618" t="s">
        <v>559</v>
      </c>
      <c r="D132" s="3227" t="s">
        <v>2146</v>
      </c>
      <c r="E132" s="3227">
        <v>1.2931922717931059</v>
      </c>
      <c r="F132" s="3229"/>
      <c r="G132" s="3103" t="str">
        <f>IF(SUM(D132)=0,"NA",J132/D132)</f>
        <v>NA</v>
      </c>
      <c r="H132" s="3103">
        <f>IF(SUM(E132)=0,"NA",K132/E132)</f>
        <v>0.8467728212573149</v>
      </c>
      <c r="I132" s="4327"/>
      <c r="J132" s="3227" t="s">
        <v>2146</v>
      </c>
      <c r="K132" s="3227">
        <v>1.0950400684144046</v>
      </c>
      <c r="L132" s="3229"/>
      <c r="M132" s="3497" t="s">
        <v>2146</v>
      </c>
    </row>
    <row r="133" spans="2:13" ht="18" customHeight="1" x14ac:dyDescent="0.2">
      <c r="B133" s="2616" t="s">
        <v>560</v>
      </c>
      <c r="C133" s="2618" t="s">
        <v>560</v>
      </c>
      <c r="D133" s="3227" t="s">
        <v>2146</v>
      </c>
      <c r="E133" s="3227">
        <v>5.7651119501768617</v>
      </c>
      <c r="F133" s="3229"/>
      <c r="G133" s="3103" t="str">
        <f t="shared" ref="G133:G143" si="75">IF(SUM(D133)=0,"NA",J133/D133)</f>
        <v>NA</v>
      </c>
      <c r="H133" s="3103">
        <f t="shared" ref="H133:H143" si="76">IF(SUM(E133)=0,"NA",K133/E133)</f>
        <v>0.8467728212573149</v>
      </c>
      <c r="I133" s="4327"/>
      <c r="J133" s="3227" t="s">
        <v>2146</v>
      </c>
      <c r="K133" s="3227">
        <v>4.8817401109155218</v>
      </c>
      <c r="L133" s="3229"/>
      <c r="M133" s="3497" t="s">
        <v>2146</v>
      </c>
    </row>
    <row r="134" spans="2:13" ht="18" customHeight="1" x14ac:dyDescent="0.2">
      <c r="B134" s="2616" t="s">
        <v>562</v>
      </c>
      <c r="C134" s="2618" t="s">
        <v>562</v>
      </c>
      <c r="D134" s="3227" t="s">
        <v>2146</v>
      </c>
      <c r="E134" s="3227" t="s">
        <v>2146</v>
      </c>
      <c r="F134" s="3229"/>
      <c r="G134" s="3103" t="str">
        <f t="shared" si="75"/>
        <v>NA</v>
      </c>
      <c r="H134" s="3103" t="str">
        <f t="shared" si="76"/>
        <v>NA</v>
      </c>
      <c r="I134" s="4327"/>
      <c r="J134" s="3227" t="s">
        <v>2146</v>
      </c>
      <c r="K134" s="3227" t="s">
        <v>2146</v>
      </c>
      <c r="L134" s="3229"/>
      <c r="M134" s="3497" t="s">
        <v>2146</v>
      </c>
    </row>
    <row r="135" spans="2:13" ht="18" customHeight="1" x14ac:dyDescent="0.2">
      <c r="B135" s="2616" t="s">
        <v>563</v>
      </c>
      <c r="C135" s="2618" t="s">
        <v>563</v>
      </c>
      <c r="D135" s="3227" t="s">
        <v>2146</v>
      </c>
      <c r="E135" s="3227">
        <v>17.158757107845926</v>
      </c>
      <c r="F135" s="3229"/>
      <c r="G135" s="3103" t="str">
        <f t="shared" si="75"/>
        <v>NA</v>
      </c>
      <c r="H135" s="3103">
        <f t="shared" si="76"/>
        <v>0.8467728212573149</v>
      </c>
      <c r="I135" s="4327"/>
      <c r="J135" s="3227" t="s">
        <v>2146</v>
      </c>
      <c r="K135" s="3227">
        <v>14.5295691654797</v>
      </c>
      <c r="L135" s="3229"/>
      <c r="M135" s="3497" t="s">
        <v>2146</v>
      </c>
    </row>
    <row r="136" spans="2:13" ht="18" customHeight="1" x14ac:dyDescent="0.2">
      <c r="B136" s="2616" t="s">
        <v>564</v>
      </c>
      <c r="C136" s="2618" t="s">
        <v>564</v>
      </c>
      <c r="D136" s="3227" t="s">
        <v>2146</v>
      </c>
      <c r="E136" s="3227">
        <v>4.5688116661216333E-2</v>
      </c>
      <c r="F136" s="3229"/>
      <c r="G136" s="3103" t="str">
        <f t="shared" si="75"/>
        <v>NA</v>
      </c>
      <c r="H136" s="3103">
        <f t="shared" si="76"/>
        <v>0.8467728212573149</v>
      </c>
      <c r="I136" s="4327"/>
      <c r="J136" s="3227" t="s">
        <v>2146</v>
      </c>
      <c r="K136" s="3227">
        <v>3.868745544315149E-2</v>
      </c>
      <c r="L136" s="3229"/>
      <c r="M136" s="3497" t="s">
        <v>2146</v>
      </c>
    </row>
    <row r="137" spans="2:13" ht="18" customHeight="1" x14ac:dyDescent="0.2">
      <c r="B137" s="2616" t="s">
        <v>565</v>
      </c>
      <c r="C137" s="2618" t="s">
        <v>565</v>
      </c>
      <c r="D137" s="3227" t="s">
        <v>2146</v>
      </c>
      <c r="E137" s="3227">
        <v>53.227090967409183</v>
      </c>
      <c r="F137" s="3229"/>
      <c r="G137" s="3103" t="str">
        <f t="shared" si="75"/>
        <v>NA</v>
      </c>
      <c r="H137" s="3103">
        <f t="shared" si="76"/>
        <v>0.8467728212573149</v>
      </c>
      <c r="I137" s="4327"/>
      <c r="J137" s="3227" t="s">
        <v>2146</v>
      </c>
      <c r="K137" s="3227">
        <v>45.071253985792815</v>
      </c>
      <c r="L137" s="3229"/>
      <c r="M137" s="3497" t="s">
        <v>2146</v>
      </c>
    </row>
    <row r="138" spans="2:13" ht="18" customHeight="1" x14ac:dyDescent="0.2">
      <c r="B138" s="2616" t="s">
        <v>567</v>
      </c>
      <c r="C138" s="2618" t="s">
        <v>567</v>
      </c>
      <c r="D138" s="3227" t="s">
        <v>2146</v>
      </c>
      <c r="E138" s="3227">
        <v>15.045777856677891</v>
      </c>
      <c r="F138" s="3229"/>
      <c r="G138" s="3103" t="str">
        <f t="shared" si="75"/>
        <v>NA</v>
      </c>
      <c r="H138" s="3103">
        <f t="shared" si="76"/>
        <v>0.8467728212573149</v>
      </c>
      <c r="I138" s="4327"/>
      <c r="J138" s="3227" t="s">
        <v>2146</v>
      </c>
      <c r="K138" s="3227">
        <v>12.740355763709974</v>
      </c>
      <c r="L138" s="3229"/>
      <c r="M138" s="3497" t="s">
        <v>2146</v>
      </c>
    </row>
    <row r="139" spans="2:13" ht="18" customHeight="1" x14ac:dyDescent="0.2">
      <c r="B139" s="2616" t="s">
        <v>569</v>
      </c>
      <c r="C139" s="2618" t="s">
        <v>569</v>
      </c>
      <c r="D139" s="3227" t="s">
        <v>2146</v>
      </c>
      <c r="E139" s="3227">
        <v>2.1822141829647501</v>
      </c>
      <c r="F139" s="3229"/>
      <c r="G139" s="3103" t="str">
        <f t="shared" si="75"/>
        <v>NA</v>
      </c>
      <c r="H139" s="3103">
        <f t="shared" si="76"/>
        <v>0.8467728212573149</v>
      </c>
      <c r="I139" s="4327"/>
      <c r="J139" s="3227" t="s">
        <v>2146</v>
      </c>
      <c r="K139" s="3227">
        <v>1.8478396602967879</v>
      </c>
      <c r="L139" s="3229"/>
      <c r="M139" s="3497" t="s">
        <v>2146</v>
      </c>
    </row>
    <row r="140" spans="2:13" ht="18" customHeight="1" x14ac:dyDescent="0.2">
      <c r="B140" s="2616" t="s">
        <v>571</v>
      </c>
      <c r="C140" s="2618" t="s">
        <v>571</v>
      </c>
      <c r="D140" s="3227" t="s">
        <v>2146</v>
      </c>
      <c r="E140" s="3227">
        <v>0.56827586112340756</v>
      </c>
      <c r="F140" s="3229"/>
      <c r="G140" s="3103" t="str">
        <f t="shared" si="75"/>
        <v>NA</v>
      </c>
      <c r="H140" s="3103">
        <f t="shared" si="76"/>
        <v>0.84677282125731479</v>
      </c>
      <c r="I140" s="4327"/>
      <c r="J140" s="3227" t="s">
        <v>2146</v>
      </c>
      <c r="K140" s="3227">
        <v>0.48120055417589785</v>
      </c>
      <c r="L140" s="3229"/>
      <c r="M140" s="3497" t="s">
        <v>2146</v>
      </c>
    </row>
    <row r="141" spans="2:13" ht="18" customHeight="1" x14ac:dyDescent="0.2">
      <c r="B141" s="2616" t="s">
        <v>574</v>
      </c>
      <c r="C141" s="2618" t="s">
        <v>574</v>
      </c>
      <c r="D141" s="3227" t="s">
        <v>2146</v>
      </c>
      <c r="E141" s="3227">
        <v>0.14966569750404415</v>
      </c>
      <c r="F141" s="3229"/>
      <c r="G141" s="3103" t="str">
        <f t="shared" si="75"/>
        <v>NA</v>
      </c>
      <c r="H141" s="3103">
        <f t="shared" si="76"/>
        <v>0.84677282125731501</v>
      </c>
      <c r="I141" s="4327"/>
      <c r="J141" s="3227" t="s">
        <v>2146</v>
      </c>
      <c r="K141" s="3227">
        <v>0.12673284492094336</v>
      </c>
      <c r="L141" s="3229"/>
      <c r="M141" s="3497" t="s">
        <v>2146</v>
      </c>
    </row>
    <row r="142" spans="2:13" ht="18" customHeight="1" x14ac:dyDescent="0.2">
      <c r="B142" s="2616" t="s">
        <v>576</v>
      </c>
      <c r="C142" s="2618" t="s">
        <v>576</v>
      </c>
      <c r="D142" s="3227" t="s">
        <v>2146</v>
      </c>
      <c r="E142" s="3227">
        <v>1.595534729418667</v>
      </c>
      <c r="F142" s="3229"/>
      <c r="G142" s="3103" t="str">
        <f t="shared" si="75"/>
        <v>NA</v>
      </c>
      <c r="H142" s="3103">
        <f t="shared" si="76"/>
        <v>0.84677282125731479</v>
      </c>
      <c r="I142" s="4327"/>
      <c r="J142" s="3227" t="s">
        <v>2146</v>
      </c>
      <c r="K142" s="3227">
        <v>1.3510554442438711</v>
      </c>
      <c r="L142" s="3229"/>
      <c r="M142" s="3497" t="s">
        <v>2146</v>
      </c>
    </row>
    <row r="143" spans="2:13" ht="18" customHeight="1" x14ac:dyDescent="0.2">
      <c r="B143" s="2616" t="s">
        <v>577</v>
      </c>
      <c r="C143" s="2618" t="s">
        <v>577</v>
      </c>
      <c r="D143" s="3227" t="s">
        <v>2146</v>
      </c>
      <c r="E143" s="3227">
        <v>1.9979791933791811</v>
      </c>
      <c r="F143" s="3229"/>
      <c r="G143" s="3103" t="str">
        <f t="shared" si="75"/>
        <v>NA</v>
      </c>
      <c r="H143" s="3103">
        <f t="shared" si="76"/>
        <v>0.84677282125731501</v>
      </c>
      <c r="I143" s="4327"/>
      <c r="J143" s="3227" t="s">
        <v>2146</v>
      </c>
      <c r="K143" s="3227">
        <v>1.6918344783911037</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30.362054049783794</v>
      </c>
      <c r="L146" s="3103">
        <f>IF(SUM(L147:L158)=0,"NO",SUM(L147:L158))</f>
        <v>13.08016469018261</v>
      </c>
      <c r="M146" s="3226" t="str">
        <f>IF(SUM(M147:M158)=0,"NO",SUM(M147:M158))</f>
        <v>NO</v>
      </c>
    </row>
    <row r="147" spans="2:13" ht="18" customHeight="1" x14ac:dyDescent="0.2">
      <c r="B147" s="2616" t="s">
        <v>559</v>
      </c>
      <c r="C147" s="2618" t="s">
        <v>559</v>
      </c>
      <c r="D147" s="3227">
        <v>0.42880178180951417</v>
      </c>
      <c r="E147" s="3227">
        <v>1.0073778873411019</v>
      </c>
      <c r="F147" s="3227">
        <v>0.17080974976045132</v>
      </c>
      <c r="G147" s="3103" t="str">
        <f>IFERROR(J147/D147,"NA")</f>
        <v>NA</v>
      </c>
      <c r="H147" s="3103">
        <f>IF(SUM(E147)=0,"NA",K147/E147)</f>
        <v>0.39358467482810633</v>
      </c>
      <c r="I147" s="3103">
        <f t="shared" ref="I147:I158" si="77">IF(SUM(F147)=0,"NA",(SUM(L147:M147))/F147)</f>
        <v>1.0000000000000002</v>
      </c>
      <c r="J147" s="3227" t="s">
        <v>2146</v>
      </c>
      <c r="K147" s="3227">
        <v>0.39648849821817234</v>
      </c>
      <c r="L147" s="3227">
        <v>0.17080974976045138</v>
      </c>
      <c r="M147" s="3497" t="s">
        <v>2146</v>
      </c>
    </row>
    <row r="148" spans="2:13" ht="18" customHeight="1" x14ac:dyDescent="0.2">
      <c r="B148" s="2616" t="s">
        <v>560</v>
      </c>
      <c r="C148" s="2618" t="s">
        <v>560</v>
      </c>
      <c r="D148" s="3227">
        <v>1.9116185044466951</v>
      </c>
      <c r="E148" s="3227">
        <v>4.4909379860439307</v>
      </c>
      <c r="F148" s="3227">
        <v>0.76147789546042277</v>
      </c>
      <c r="G148" s="3103" t="str">
        <f t="shared" ref="G148:G158" si="78">IFERROR(J148/D148,"NA")</f>
        <v>NA</v>
      </c>
      <c r="H148" s="3103">
        <f t="shared" ref="H148:H158" si="79">IF(SUM(E148)=0,"NA",K148/E148)</f>
        <v>0.39358467482810644</v>
      </c>
      <c r="I148" s="3103">
        <f t="shared" si="77"/>
        <v>0.99999999999999956</v>
      </c>
      <c r="J148" s="3227" t="s">
        <v>2146</v>
      </c>
      <c r="K148" s="3227">
        <v>1.7675643669102916</v>
      </c>
      <c r="L148" s="3227">
        <v>0.76147789546042244</v>
      </c>
      <c r="M148" s="3497" t="s">
        <v>2146</v>
      </c>
    </row>
    <row r="149" spans="2:13" ht="18" customHeight="1" x14ac:dyDescent="0.2">
      <c r="B149" s="2616" t="s">
        <v>562</v>
      </c>
      <c r="C149" s="2618" t="s">
        <v>562</v>
      </c>
      <c r="D149" s="3227" t="s">
        <v>2146</v>
      </c>
      <c r="E149" s="3227" t="s">
        <v>2146</v>
      </c>
      <c r="F149" s="3227" t="s">
        <v>2146</v>
      </c>
      <c r="G149" s="3103" t="str">
        <f t="shared" si="78"/>
        <v>NA</v>
      </c>
      <c r="H149" s="3103" t="str">
        <f t="shared" si="79"/>
        <v>NA</v>
      </c>
      <c r="I149" s="3103" t="str">
        <f t="shared" si="77"/>
        <v>NA</v>
      </c>
      <c r="J149" s="3227" t="s">
        <v>2146</v>
      </c>
      <c r="K149" s="3227" t="s">
        <v>2146</v>
      </c>
      <c r="L149" s="3227" t="s">
        <v>2146</v>
      </c>
      <c r="M149" s="3497" t="s">
        <v>2146</v>
      </c>
    </row>
    <row r="150" spans="2:13" ht="18" customHeight="1" x14ac:dyDescent="0.2">
      <c r="B150" s="2616" t="s">
        <v>563</v>
      </c>
      <c r="C150" s="2618" t="s">
        <v>563</v>
      </c>
      <c r="D150" s="3227">
        <v>5.6895681964438269</v>
      </c>
      <c r="E150" s="3227">
        <v>13.366421112874061</v>
      </c>
      <c r="F150" s="3227">
        <v>2.2663938470090326</v>
      </c>
      <c r="G150" s="3103" t="str">
        <f t="shared" si="78"/>
        <v>NA</v>
      </c>
      <c r="H150" s="3103">
        <f t="shared" si="79"/>
        <v>0.39358467482810638</v>
      </c>
      <c r="I150" s="3103">
        <f t="shared" si="77"/>
        <v>1</v>
      </c>
      <c r="J150" s="3227" t="s">
        <v>2146</v>
      </c>
      <c r="K150" s="3227">
        <v>5.2608185073260731</v>
      </c>
      <c r="L150" s="3227">
        <v>2.2663938470090326</v>
      </c>
      <c r="M150" s="3497" t="s">
        <v>2146</v>
      </c>
    </row>
    <row r="151" spans="2:13" ht="18" customHeight="1" x14ac:dyDescent="0.2">
      <c r="B151" s="2616" t="s">
        <v>564</v>
      </c>
      <c r="C151" s="2618" t="s">
        <v>564</v>
      </c>
      <c r="D151" s="3227">
        <v>1.5149445491725647E-2</v>
      </c>
      <c r="E151" s="3227">
        <v>3.5590375416451103E-2</v>
      </c>
      <c r="F151" s="3227">
        <v>6.0346600765776963E-3</v>
      </c>
      <c r="G151" s="3103" t="str">
        <f t="shared" si="78"/>
        <v>NA</v>
      </c>
      <c r="H151" s="3103">
        <f t="shared" si="79"/>
        <v>0.39358467482810638</v>
      </c>
      <c r="I151" s="3103">
        <f t="shared" si="77"/>
        <v>0.99999999999999967</v>
      </c>
      <c r="J151" s="3227" t="s">
        <v>2146</v>
      </c>
      <c r="K151" s="3227">
        <v>1.4007826335294139E-2</v>
      </c>
      <c r="L151" s="3227">
        <v>6.0346600765776946E-3</v>
      </c>
      <c r="M151" s="3497" t="s">
        <v>2146</v>
      </c>
    </row>
    <row r="152" spans="2:13" ht="18" customHeight="1" x14ac:dyDescent="0.2">
      <c r="B152" s="2616" t="s">
        <v>565</v>
      </c>
      <c r="C152" s="2618" t="s">
        <v>565</v>
      </c>
      <c r="D152" s="3227">
        <v>17.649248255802814</v>
      </c>
      <c r="E152" s="3227">
        <v>41.463126263284522</v>
      </c>
      <c r="F152" s="3227">
        <v>7.0304364532070887</v>
      </c>
      <c r="G152" s="3103" t="str">
        <f t="shared" si="78"/>
        <v>NA</v>
      </c>
      <c r="H152" s="3103">
        <f t="shared" si="79"/>
        <v>0.39358467482810638</v>
      </c>
      <c r="I152" s="3103">
        <f t="shared" si="77"/>
        <v>1.0000000000000004</v>
      </c>
      <c r="J152" s="3227" t="s">
        <v>2146</v>
      </c>
      <c r="K152" s="3227">
        <v>16.319251067691557</v>
      </c>
      <c r="L152" s="3227">
        <v>7.0304364532070913</v>
      </c>
      <c r="M152" s="3497" t="s">
        <v>2146</v>
      </c>
    </row>
    <row r="153" spans="2:13" ht="18" customHeight="1" x14ac:dyDescent="0.2">
      <c r="B153" s="2616" t="s">
        <v>567</v>
      </c>
      <c r="C153" s="2618" t="s">
        <v>567</v>
      </c>
      <c r="D153" s="3227">
        <v>4.9889382223943528</v>
      </c>
      <c r="E153" s="3227">
        <v>11.720441144956514</v>
      </c>
      <c r="F153" s="3227">
        <v>1.9873035175867886</v>
      </c>
      <c r="G153" s="3103" t="str">
        <f t="shared" si="78"/>
        <v>NA</v>
      </c>
      <c r="H153" s="3103">
        <f t="shared" si="79"/>
        <v>0.39358467482810633</v>
      </c>
      <c r="I153" s="3103">
        <f t="shared" si="77"/>
        <v>1.0000000000000004</v>
      </c>
      <c r="J153" s="3227" t="s">
        <v>2146</v>
      </c>
      <c r="K153" s="3227">
        <v>4.6129860168796677</v>
      </c>
      <c r="L153" s="3227">
        <v>1.9873035175867892</v>
      </c>
      <c r="M153" s="3497" t="s">
        <v>2146</v>
      </c>
    </row>
    <row r="154" spans="2:13" ht="18" customHeight="1" x14ac:dyDescent="0.2">
      <c r="B154" s="2616" t="s">
        <v>569</v>
      </c>
      <c r="C154" s="2618" t="s">
        <v>569</v>
      </c>
      <c r="D154" s="3227">
        <v>0.72358716515356958</v>
      </c>
      <c r="E154" s="3227">
        <v>1.6999129683265852</v>
      </c>
      <c r="F154" s="3227">
        <v>0.28823514232657804</v>
      </c>
      <c r="G154" s="3103" t="str">
        <f t="shared" si="78"/>
        <v>NA</v>
      </c>
      <c r="H154" s="3103">
        <f t="shared" si="79"/>
        <v>0.39358467482810633</v>
      </c>
      <c r="I154" s="3103">
        <f t="shared" si="77"/>
        <v>0.99999999999999978</v>
      </c>
      <c r="J154" s="3227" t="s">
        <v>2146</v>
      </c>
      <c r="K154" s="3227">
        <v>0.66905969287490008</v>
      </c>
      <c r="L154" s="3227">
        <v>0.28823514232657799</v>
      </c>
      <c r="M154" s="3497" t="s">
        <v>2146</v>
      </c>
    </row>
    <row r="155" spans="2:13" ht="18" customHeight="1" x14ac:dyDescent="0.2">
      <c r="B155" s="2616" t="s">
        <v>571</v>
      </c>
      <c r="C155" s="2618" t="s">
        <v>571</v>
      </c>
      <c r="D155" s="3227">
        <v>0.18843114602840624</v>
      </c>
      <c r="E155" s="3227">
        <v>0.44267859381163327</v>
      </c>
      <c r="F155" s="3227">
        <v>7.506003534865209E-2</v>
      </c>
      <c r="G155" s="3103" t="str">
        <f t="shared" si="78"/>
        <v>NA</v>
      </c>
      <c r="H155" s="3103">
        <f t="shared" si="79"/>
        <v>0.39358467482810644</v>
      </c>
      <c r="I155" s="3103">
        <f t="shared" si="77"/>
        <v>0.99999999999999978</v>
      </c>
      <c r="J155" s="3227" t="s">
        <v>2146</v>
      </c>
      <c r="K155" s="3227">
        <v>0.17423151039871509</v>
      </c>
      <c r="L155" s="3227">
        <v>7.5060035348652077E-2</v>
      </c>
      <c r="M155" s="3497" t="s">
        <v>2146</v>
      </c>
    </row>
    <row r="156" spans="2:13" ht="18" customHeight="1" x14ac:dyDescent="0.2">
      <c r="B156" s="2616" t="s">
        <v>574</v>
      </c>
      <c r="C156" s="2618" t="s">
        <v>574</v>
      </c>
      <c r="D156" s="3227">
        <v>4.9626740868557687E-2</v>
      </c>
      <c r="E156" s="3227">
        <v>0.11658739187329266</v>
      </c>
      <c r="F156" s="3227">
        <v>1.9768414098966371E-2</v>
      </c>
      <c r="G156" s="3103" t="str">
        <f t="shared" si="78"/>
        <v>NA</v>
      </c>
      <c r="H156" s="3103">
        <f t="shared" si="79"/>
        <v>0.39358467482810638</v>
      </c>
      <c r="I156" s="3103">
        <f t="shared" si="77"/>
        <v>1.0000000000000002</v>
      </c>
      <c r="J156" s="3227" t="s">
        <v>2146</v>
      </c>
      <c r="K156" s="3227">
        <v>4.5887010719506904E-2</v>
      </c>
      <c r="L156" s="3227">
        <v>1.9768414098966375E-2</v>
      </c>
      <c r="M156" s="3497" t="s">
        <v>2146</v>
      </c>
    </row>
    <row r="157" spans="2:13" ht="18" customHeight="1" x14ac:dyDescent="0.2">
      <c r="B157" s="2616" t="s">
        <v>576</v>
      </c>
      <c r="C157" s="2618" t="s">
        <v>576</v>
      </c>
      <c r="D157" s="3227">
        <v>0.52905368353697013</v>
      </c>
      <c r="E157" s="3227">
        <v>1.242898244877759</v>
      </c>
      <c r="F157" s="3227">
        <v>0.21074429055180255</v>
      </c>
      <c r="G157" s="3103" t="str">
        <f t="shared" si="78"/>
        <v>NA</v>
      </c>
      <c r="H157" s="3103">
        <f t="shared" si="79"/>
        <v>0.39358467482810638</v>
      </c>
      <c r="I157" s="3103">
        <f t="shared" si="77"/>
        <v>0.99999999999999944</v>
      </c>
      <c r="J157" s="3227" t="s">
        <v>2146</v>
      </c>
      <c r="K157" s="3227">
        <v>0.48918570155463692</v>
      </c>
      <c r="L157" s="3227">
        <v>0.21074429055180244</v>
      </c>
      <c r="M157" s="3497" t="s">
        <v>2146</v>
      </c>
    </row>
    <row r="158" spans="2:13" ht="18" customHeight="1" x14ac:dyDescent="0.2">
      <c r="B158" s="2616" t="s">
        <v>577</v>
      </c>
      <c r="C158" s="2618" t="s">
        <v>577</v>
      </c>
      <c r="D158" s="3227">
        <v>0.66249780239670009</v>
      </c>
      <c r="E158" s="3227">
        <v>1.5563966029483105</v>
      </c>
      <c r="F158" s="3227">
        <v>0.26390068475624623</v>
      </c>
      <c r="G158" s="3103" t="str">
        <f t="shared" si="78"/>
        <v>NA</v>
      </c>
      <c r="H158" s="3103">
        <f t="shared" si="79"/>
        <v>0.39358467482810638</v>
      </c>
      <c r="I158" s="3103">
        <f t="shared" si="77"/>
        <v>1.0000000000000002</v>
      </c>
      <c r="J158" s="3227" t="s">
        <v>2146</v>
      </c>
      <c r="K158" s="3227">
        <v>0.61257385087498017</v>
      </c>
      <c r="L158" s="3227">
        <v>0.26390068475624628</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0.57117794154858181</v>
      </c>
      <c r="K162" s="3233">
        <f t="shared" ref="K162:M162" si="85">IF(SUM(K163,K165,K175)=0,"NO",SUM(K163,K165,K175))</f>
        <v>3.7878301899056503</v>
      </c>
      <c r="L162" s="3233">
        <f t="shared" si="85"/>
        <v>0.68400000000000005</v>
      </c>
      <c r="M162" s="3234" t="str">
        <f t="shared" si="85"/>
        <v>NO</v>
      </c>
    </row>
    <row r="163" spans="2:13" ht="18" customHeight="1" x14ac:dyDescent="0.2">
      <c r="B163" s="88" t="s">
        <v>681</v>
      </c>
      <c r="C163" s="2508"/>
      <c r="D163" s="4326"/>
      <c r="E163" s="4326"/>
      <c r="F163" s="4326"/>
      <c r="G163" s="4327"/>
      <c r="H163" s="4327"/>
      <c r="I163" s="4327"/>
      <c r="J163" s="3230">
        <f>J164</f>
        <v>0.57117794154858181</v>
      </c>
      <c r="K163" s="3230">
        <f t="shared" ref="K163:M163" si="86">K164</f>
        <v>3.0004614706121431</v>
      </c>
      <c r="L163" s="3230">
        <f t="shared" si="86"/>
        <v>0.68400000000000005</v>
      </c>
      <c r="M163" s="3226" t="str">
        <f t="shared" si="86"/>
        <v>NO</v>
      </c>
    </row>
    <row r="164" spans="2:13" ht="18" customHeight="1" x14ac:dyDescent="0.2">
      <c r="B164" s="2616" t="s">
        <v>1621</v>
      </c>
      <c r="C164" s="2618" t="s">
        <v>1621</v>
      </c>
      <c r="D164" s="3235">
        <v>6.7197404888068446</v>
      </c>
      <c r="E164" s="3235">
        <v>589.7452967947047</v>
      </c>
      <c r="F164" s="3235">
        <v>0.68400000000000005</v>
      </c>
      <c r="G164" s="3103">
        <f t="shared" ref="G164" si="87">IF(SUM(D164)=0,"NA",J164/D164)</f>
        <v>8.5000000000000006E-2</v>
      </c>
      <c r="H164" s="3103">
        <f t="shared" ref="H164" si="88">IF(SUM(E164)=0,"NA",K164/E164)</f>
        <v>5.0877242886374881E-3</v>
      </c>
      <c r="I164" s="3103">
        <f t="shared" ref="I164" si="89">IF(SUM(F164)=0,"NA",(SUM(L164:M164))/F164)</f>
        <v>1</v>
      </c>
      <c r="J164" s="3142">
        <v>0.57117794154858181</v>
      </c>
      <c r="K164" s="3142">
        <v>3.0004614706121431</v>
      </c>
      <c r="L164" s="3142">
        <v>0.68400000000000005</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0.78736871929350727</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0.78736871929350727</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0.78736871929350727</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0.78736871929350727</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2045.0737274324219</v>
      </c>
      <c r="D10" s="2500">
        <f t="shared" ref="D10:I10" si="0">IF(SUM(D11,D20,D31:D32,D42:D47)=0,"NO",SUM(D11,D20,D31:D32,D42:D47))</f>
        <v>2397.1703973847857</v>
      </c>
      <c r="E10" s="2500">
        <f t="shared" si="0"/>
        <v>46.328036828827706</v>
      </c>
      <c r="F10" s="2500">
        <f t="shared" si="0"/>
        <v>24.52548966721486</v>
      </c>
      <c r="G10" s="2500">
        <f t="shared" si="0"/>
        <v>396.62812592741602</v>
      </c>
      <c r="H10" s="2915">
        <f t="shared" si="0"/>
        <v>23.136640679099266</v>
      </c>
      <c r="I10" s="2924" t="str">
        <f t="shared" si="0"/>
        <v>NO</v>
      </c>
      <c r="J10" s="2925">
        <f>IF(SUM(C10:E10)=0,"NO",SUM(C10)+28*SUM(D10)+265*SUM(E10))</f>
        <v>81442.774613845759</v>
      </c>
    </row>
    <row r="11" spans="1:10" ht="18" customHeight="1" x14ac:dyDescent="0.2">
      <c r="B11" s="234" t="s">
        <v>694</v>
      </c>
      <c r="C11" s="2926"/>
      <c r="D11" s="2137">
        <f>SUM(D16:D19)</f>
        <v>2124.3232264032076</v>
      </c>
      <c r="E11" s="1929"/>
      <c r="F11" s="1929"/>
      <c r="G11" s="1929"/>
      <c r="H11" s="2927"/>
      <c r="I11" s="2928"/>
      <c r="J11" s="1880">
        <f>IF(SUM(C11:E11)=0,"NO",SUM(C11)+28*SUM(D11)+265*SUM(E11))</f>
        <v>59481.05033928981</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1602.8076295051646</v>
      </c>
      <c r="E16" s="628"/>
      <c r="F16" s="628"/>
      <c r="G16" s="628"/>
      <c r="H16" s="2930"/>
      <c r="I16" s="2931"/>
      <c r="J16" s="2934">
        <f>IF(SUM(C16:E16)=0,"NO",SUM(C16)+28*SUM(D16)+265*SUM(E16))</f>
        <v>44878.613626144608</v>
      </c>
    </row>
    <row r="17" spans="2:10" ht="18" customHeight="1" x14ac:dyDescent="0.2">
      <c r="B17" s="228" t="s">
        <v>699</v>
      </c>
      <c r="C17" s="2936"/>
      <c r="D17" s="2920">
        <f>Table3.A!G24</f>
        <v>508.5835108873552</v>
      </c>
      <c r="E17" s="628"/>
      <c r="F17" s="628"/>
      <c r="G17" s="628"/>
      <c r="H17" s="2930"/>
      <c r="I17" s="2931"/>
      <c r="J17" s="2934">
        <f t="shared" ref="J17:J21" si="1">IF(SUM(C17:E17)=0,"NO",SUM(C17)+28*SUM(D17)+265*SUM(E17))</f>
        <v>14240.338304845945</v>
      </c>
    </row>
    <row r="18" spans="2:10" ht="18" customHeight="1" x14ac:dyDescent="0.2">
      <c r="B18" s="228" t="s">
        <v>700</v>
      </c>
      <c r="C18" s="2936"/>
      <c r="D18" s="2920">
        <f>Table3.A!G27</f>
        <v>3.3576000773765053</v>
      </c>
      <c r="E18" s="628"/>
      <c r="F18" s="628"/>
      <c r="G18" s="628"/>
      <c r="H18" s="2930"/>
      <c r="I18" s="2931"/>
      <c r="J18" s="2934">
        <f t="shared" si="1"/>
        <v>94.012802166542144</v>
      </c>
    </row>
    <row r="19" spans="2:10" ht="18" customHeight="1" thickBot="1" x14ac:dyDescent="0.25">
      <c r="B19" s="1297" t="s">
        <v>701</v>
      </c>
      <c r="C19" s="2937"/>
      <c r="D19" s="2500">
        <f>Table3.A!G30</f>
        <v>9.5744859333113475</v>
      </c>
      <c r="E19" s="1923"/>
      <c r="F19" s="1923"/>
      <c r="G19" s="1923"/>
      <c r="H19" s="2938"/>
      <c r="I19" s="2939"/>
      <c r="J19" s="2934">
        <f t="shared" si="1"/>
        <v>268.08560613271771</v>
      </c>
    </row>
    <row r="20" spans="2:10" ht="18" customHeight="1" x14ac:dyDescent="0.2">
      <c r="B20" s="1456" t="s">
        <v>702</v>
      </c>
      <c r="C20" s="2940"/>
      <c r="D20" s="2920">
        <f>IF(SUM(D26:D30)=0,"NO",SUM(D26:D30))</f>
        <v>246.29224553472164</v>
      </c>
      <c r="E20" s="2920">
        <f>IF(SUM(E26:E30)=0,"NO",SUM(E26:E30))</f>
        <v>1.630824478443452</v>
      </c>
      <c r="F20" s="2134"/>
      <c r="G20" s="2134"/>
      <c r="H20" s="2920" t="str">
        <f>IF(SUM(H26:H30)=0,"NE",SUM(H26:H30))</f>
        <v>NE</v>
      </c>
      <c r="I20" s="2931"/>
      <c r="J20" s="2941">
        <f t="shared" si="1"/>
        <v>7328.3513617597209</v>
      </c>
    </row>
    <row r="21" spans="2:10" ht="18" customHeight="1" x14ac:dyDescent="0.2">
      <c r="B21" s="228" t="s">
        <v>2019</v>
      </c>
      <c r="C21" s="2936"/>
      <c r="D21" s="2920">
        <f>D26</f>
        <v>167.27240118080965</v>
      </c>
      <c r="E21" s="2920">
        <f>E26</f>
        <v>0.74142720278005969</v>
      </c>
      <c r="F21" s="2942"/>
      <c r="G21" s="2942"/>
      <c r="H21" s="2920" t="str">
        <f>H26</f>
        <v>NE</v>
      </c>
      <c r="I21" s="2931"/>
      <c r="J21" s="2934">
        <f t="shared" si="1"/>
        <v>4880.1054417993864</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167.27240118080965</v>
      </c>
      <c r="E26" s="2920">
        <f>'Table3.B(b)'!X15</f>
        <v>0.74142720278005969</v>
      </c>
      <c r="F26" s="628"/>
      <c r="G26" s="628"/>
      <c r="H26" s="2944" t="s">
        <v>2154</v>
      </c>
      <c r="I26" s="2931"/>
      <c r="J26" s="2934">
        <f t="shared" ref="J26:J48" si="2">IF(SUM(C26:E26)=0,"NO",SUM(C26)+28*SUM(D26)+265*SUM(E26))</f>
        <v>4880.1054417993864</v>
      </c>
    </row>
    <row r="27" spans="2:10" ht="18" customHeight="1" x14ac:dyDescent="0.2">
      <c r="B27" s="228" t="s">
        <v>705</v>
      </c>
      <c r="C27" s="2936"/>
      <c r="D27" s="2920">
        <f>'Table3.B(a)'!K24</f>
        <v>25.871012180320559</v>
      </c>
      <c r="E27" s="2920" t="str">
        <f>'Table3.B(b)'!X24</f>
        <v>NA</v>
      </c>
      <c r="F27" s="2942"/>
      <c r="G27" s="2942"/>
      <c r="H27" s="2944" t="s">
        <v>2154</v>
      </c>
      <c r="I27" s="2931"/>
      <c r="J27" s="2934">
        <f t="shared" si="2"/>
        <v>724.38834104897569</v>
      </c>
    </row>
    <row r="28" spans="2:10" ht="18" customHeight="1" x14ac:dyDescent="0.2">
      <c r="B28" s="228" t="s">
        <v>706</v>
      </c>
      <c r="C28" s="2936"/>
      <c r="D28" s="2920">
        <f>'Table3.B(a)'!K27</f>
        <v>48.867245983220279</v>
      </c>
      <c r="E28" s="2920">
        <f>'Table3.B(b)'!X27</f>
        <v>0.17304445181655917</v>
      </c>
      <c r="F28" s="2942"/>
      <c r="G28" s="2942"/>
      <c r="H28" s="2944" t="s">
        <v>2154</v>
      </c>
      <c r="I28" s="2931"/>
      <c r="J28" s="2934">
        <f t="shared" si="2"/>
        <v>1414.1396672615558</v>
      </c>
    </row>
    <row r="29" spans="2:10" ht="18" customHeight="1" x14ac:dyDescent="0.2">
      <c r="B29" s="228" t="s">
        <v>707</v>
      </c>
      <c r="C29" s="2936"/>
      <c r="D29" s="2920">
        <f>'Table3.B(a)'!K30</f>
        <v>4.2815861903711578</v>
      </c>
      <c r="E29" s="2920">
        <f>'Table3.B(b)'!X30</f>
        <v>0.38909521456826679</v>
      </c>
      <c r="F29" s="2942"/>
      <c r="G29" s="2942"/>
      <c r="H29" s="2944" t="s">
        <v>2154</v>
      </c>
      <c r="I29" s="2931"/>
      <c r="J29" s="2934">
        <f t="shared" si="2"/>
        <v>222.99464519098314</v>
      </c>
    </row>
    <row r="30" spans="2:10" ht="18" customHeight="1" thickBot="1" x14ac:dyDescent="0.25">
      <c r="B30" s="1297" t="s">
        <v>708</v>
      </c>
      <c r="C30" s="2945"/>
      <c r="D30" s="2946"/>
      <c r="E30" s="2947">
        <f>SUM('Table3.B(b)'!Y46:Z46)</f>
        <v>0.32725760927856645</v>
      </c>
      <c r="F30" s="2948"/>
      <c r="G30" s="2948"/>
      <c r="H30" s="2949"/>
      <c r="I30" s="2950"/>
      <c r="J30" s="2934">
        <f t="shared" si="2"/>
        <v>86.723266458820106</v>
      </c>
    </row>
    <row r="31" spans="2:10" ht="18" customHeight="1" thickBot="1" x14ac:dyDescent="0.25">
      <c r="B31" s="2639" t="s">
        <v>709</v>
      </c>
      <c r="C31" s="2951"/>
      <c r="D31" s="2952">
        <f>Table3.C!G11</f>
        <v>16.384973500000001</v>
      </c>
      <c r="E31" s="2953"/>
      <c r="F31" s="2953"/>
      <c r="G31" s="2953"/>
      <c r="H31" s="2954" t="s">
        <v>2154</v>
      </c>
      <c r="I31" s="2955"/>
      <c r="J31" s="2956">
        <f t="shared" si="2"/>
        <v>458.77925800000003</v>
      </c>
    </row>
    <row r="32" spans="2:10" ht="18" customHeight="1" x14ac:dyDescent="0.2">
      <c r="B32" s="2638" t="s">
        <v>2020</v>
      </c>
      <c r="C32" s="2957"/>
      <c r="D32" s="2958" t="s">
        <v>2154</v>
      </c>
      <c r="E32" s="2958">
        <f>IF(SUM(E33,E41)=0,"NO",SUM(E33,E41))</f>
        <v>44.272713191755031</v>
      </c>
      <c r="F32" s="2958" t="str">
        <f>IF(SUM(F33,F41)=0,"NO",SUM(F33,F41))</f>
        <v>NO</v>
      </c>
      <c r="G32" s="2958" t="str">
        <f>IF(SUM(G33,G41)=0,"NO",SUM(G33,G41))</f>
        <v>NO</v>
      </c>
      <c r="H32" s="2958" t="str">
        <f>IF(SUM(H33,H41)=0,"NO",SUM(H33,H41))</f>
        <v>NO</v>
      </c>
      <c r="I32" s="2959"/>
      <c r="J32" s="2960">
        <f t="shared" si="2"/>
        <v>11732.268995815084</v>
      </c>
    </row>
    <row r="33" spans="2:10" ht="18" customHeight="1" x14ac:dyDescent="0.2">
      <c r="B33" s="228" t="s">
        <v>710</v>
      </c>
      <c r="C33" s="2961"/>
      <c r="D33" s="2962" t="s">
        <v>2154</v>
      </c>
      <c r="E33" s="2962">
        <f>IF(SUM(E34:E40)=0,"NO",SUM(E34:E40))</f>
        <v>33.971140180160987</v>
      </c>
      <c r="F33" s="2962" t="str">
        <f>IF(SUM(F34:F40)=0,"NO",SUM(F34:F40))</f>
        <v>NO</v>
      </c>
      <c r="G33" s="2962" t="str">
        <f>IF(SUM(G34:G40)=0,"NO",SUM(G34:G40))</f>
        <v>NO</v>
      </c>
      <c r="H33" s="2962" t="str">
        <f>IF(SUM(H34:H40)=0,"NO",SUM(H34:H40))</f>
        <v>NO</v>
      </c>
      <c r="I33" s="2931"/>
      <c r="J33" s="2963">
        <f t="shared" si="2"/>
        <v>9002.3521477426621</v>
      </c>
    </row>
    <row r="34" spans="2:10" ht="18" customHeight="1" x14ac:dyDescent="0.2">
      <c r="B34" s="232" t="s">
        <v>711</v>
      </c>
      <c r="C34" s="2961"/>
      <c r="D34" s="2905" t="s">
        <v>2154</v>
      </c>
      <c r="E34" s="2962">
        <f>Table3.D!F11</f>
        <v>7.0725226417037081</v>
      </c>
      <c r="F34" s="2964" t="s">
        <v>2147</v>
      </c>
      <c r="G34" s="2964" t="s">
        <v>2147</v>
      </c>
      <c r="H34" s="2964" t="s">
        <v>2147</v>
      </c>
      <c r="I34" s="2931"/>
      <c r="J34" s="2963">
        <f t="shared" si="2"/>
        <v>1874.2185000514826</v>
      </c>
    </row>
    <row r="35" spans="2:10" ht="18" customHeight="1" x14ac:dyDescent="0.2">
      <c r="B35" s="232" t="s">
        <v>712</v>
      </c>
      <c r="C35" s="2961"/>
      <c r="D35" s="2905" t="s">
        <v>2154</v>
      </c>
      <c r="E35" s="2962">
        <f>Table3.D!F12</f>
        <v>1.4836696671816998</v>
      </c>
      <c r="F35" s="2964" t="s">
        <v>2147</v>
      </c>
      <c r="G35" s="2964" t="s">
        <v>2147</v>
      </c>
      <c r="H35" s="2965" t="s">
        <v>2147</v>
      </c>
      <c r="I35" s="2931"/>
      <c r="J35" s="2963">
        <f t="shared" si="2"/>
        <v>393.17246180315044</v>
      </c>
    </row>
    <row r="36" spans="2:10" ht="18" customHeight="1" x14ac:dyDescent="0.2">
      <c r="B36" s="232" t="s">
        <v>713</v>
      </c>
      <c r="C36" s="2961"/>
      <c r="D36" s="2905" t="s">
        <v>2154</v>
      </c>
      <c r="E36" s="2962">
        <f>Table3.D!F16</f>
        <v>10.779765493680518</v>
      </c>
      <c r="F36" s="2964" t="s">
        <v>2147</v>
      </c>
      <c r="G36" s="2964" t="s">
        <v>2147</v>
      </c>
      <c r="H36" s="2965" t="s">
        <v>2147</v>
      </c>
      <c r="I36" s="2931"/>
      <c r="J36" s="2963">
        <f t="shared" si="2"/>
        <v>2856.6378558253373</v>
      </c>
    </row>
    <row r="37" spans="2:10" ht="18" customHeight="1" x14ac:dyDescent="0.2">
      <c r="B37" s="232" t="s">
        <v>714</v>
      </c>
      <c r="C37" s="2961"/>
      <c r="D37" s="2905" t="s">
        <v>2154</v>
      </c>
      <c r="E37" s="2962">
        <f>Table3.D!F17</f>
        <v>14.228555657724474</v>
      </c>
      <c r="F37" s="2964" t="s">
        <v>2147</v>
      </c>
      <c r="G37" s="2964" t="s">
        <v>2147</v>
      </c>
      <c r="H37" s="2965" t="s">
        <v>2147</v>
      </c>
      <c r="I37" s="2931"/>
      <c r="J37" s="2963">
        <f t="shared" si="2"/>
        <v>3770.5672492969857</v>
      </c>
    </row>
    <row r="38" spans="2:10" ht="18" customHeight="1" x14ac:dyDescent="0.2">
      <c r="B38" s="1705" t="s">
        <v>715</v>
      </c>
      <c r="C38" s="2961"/>
      <c r="D38" s="2905" t="s">
        <v>2154</v>
      </c>
      <c r="E38" s="2962">
        <f>Table3.D!F18</f>
        <v>0.31862671987058661</v>
      </c>
      <c r="F38" s="2964" t="s">
        <v>2147</v>
      </c>
      <c r="G38" s="2964" t="s">
        <v>2147</v>
      </c>
      <c r="H38" s="2965" t="s">
        <v>2147</v>
      </c>
      <c r="I38" s="2931"/>
      <c r="J38" s="2963">
        <f t="shared" si="2"/>
        <v>84.436080765705455</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10.301573011594041</v>
      </c>
      <c r="F41" s="2969" t="s">
        <v>2147</v>
      </c>
      <c r="G41" s="2969" t="s">
        <v>2147</v>
      </c>
      <c r="H41" s="2970" t="s">
        <v>2147</v>
      </c>
      <c r="I41" s="2971"/>
      <c r="J41" s="2972">
        <f t="shared" si="2"/>
        <v>2729.9168480724206</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10.169951946856818</v>
      </c>
      <c r="E43" s="2979">
        <f>SUM(Table3.F!J10,Table3.F!J20,Table3.F!J23,Table3.F!J26:J27)</f>
        <v>0.42449915862922616</v>
      </c>
      <c r="F43" s="2909">
        <v>24.52548966721486</v>
      </c>
      <c r="G43" s="2909">
        <v>396.62812592741602</v>
      </c>
      <c r="H43" s="2910">
        <v>23.136640679099266</v>
      </c>
      <c r="I43" s="2980" t="s">
        <v>2146</v>
      </c>
      <c r="J43" s="2981">
        <f t="shared" si="2"/>
        <v>397.25093154873588</v>
      </c>
    </row>
    <row r="44" spans="2:10" ht="18" customHeight="1" thickBot="1" x14ac:dyDescent="0.25">
      <c r="B44" s="2641" t="s">
        <v>721</v>
      </c>
      <c r="C44" s="2982">
        <f>'Table3.G-J'!E10</f>
        <v>924.61635380044606</v>
      </c>
      <c r="D44" s="2983"/>
      <c r="E44" s="2983"/>
      <c r="F44" s="2983"/>
      <c r="G44" s="2983"/>
      <c r="H44" s="2984"/>
      <c r="I44" s="2985"/>
      <c r="J44" s="2981">
        <f t="shared" si="2"/>
        <v>924.61635380044606</v>
      </c>
    </row>
    <row r="45" spans="2:10" ht="18" customHeight="1" thickBot="1" x14ac:dyDescent="0.25">
      <c r="B45" s="2641" t="s">
        <v>722</v>
      </c>
      <c r="C45" s="2982">
        <f>'Table3.G-J'!E13</f>
        <v>1120.457373631976</v>
      </c>
      <c r="D45" s="2983"/>
      <c r="E45" s="2983"/>
      <c r="F45" s="2983"/>
      <c r="G45" s="2983"/>
      <c r="H45" s="2984"/>
      <c r="I45" s="2985"/>
      <c r="J45" s="2981">
        <f t="shared" si="2"/>
        <v>1120.457373631976</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28418.421999999999</v>
      </c>
      <c r="D10" s="3241"/>
      <c r="E10" s="3241"/>
      <c r="F10" s="3131">
        <f>IF(SUM(C10)=0,"NA",G10*1000/C10)</f>
        <v>56.40030363069296</v>
      </c>
      <c r="G10" s="3242">
        <f>G15</f>
        <v>1602.8076295051646</v>
      </c>
      <c r="I10" s="275" t="s">
        <v>738</v>
      </c>
      <c r="J10" s="276" t="s">
        <v>739</v>
      </c>
      <c r="K10" s="691">
        <v>464.95755176843801</v>
      </c>
      <c r="L10" s="691">
        <v>364.10256643430699</v>
      </c>
      <c r="M10" s="3147">
        <v>524.737040340965</v>
      </c>
      <c r="N10" s="3147">
        <v>44.396505273479299</v>
      </c>
      <c r="O10" s="2911">
        <v>57.431953309151801</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16.714063358751801</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28418.421999999999</v>
      </c>
      <c r="D15" s="3248"/>
      <c r="E15" s="3248"/>
      <c r="F15" s="3131">
        <f>IF(SUM(C15)=0,"NA",G15*1000/C15)</f>
        <v>56.40030363069296</v>
      </c>
      <c r="G15" s="3249">
        <f>G20</f>
        <v>1602.8076295051646</v>
      </c>
      <c r="I15" s="1777" t="s">
        <v>748</v>
      </c>
      <c r="J15" s="1849" t="s">
        <v>297</v>
      </c>
      <c r="K15" s="3445">
        <v>75</v>
      </c>
      <c r="L15" s="3445">
        <v>57.749648701254998</v>
      </c>
      <c r="M15" s="1560">
        <v>80.436510243450897</v>
      </c>
      <c r="N15" s="1560">
        <v>66.664739216243007</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1602.8076295051646</v>
      </c>
      <c r="I20" s="72"/>
      <c r="J20" s="288"/>
      <c r="K20" s="288"/>
      <c r="L20" s="288"/>
      <c r="M20" s="288"/>
      <c r="N20" s="288"/>
      <c r="O20" s="288"/>
    </row>
    <row r="21" spans="2:15" ht="18" customHeight="1" x14ac:dyDescent="0.2">
      <c r="B21" s="2633" t="s">
        <v>2196</v>
      </c>
      <c r="C21" s="3272">
        <v>2733.19</v>
      </c>
      <c r="D21" s="3257">
        <v>240.338380015539</v>
      </c>
      <c r="E21" s="3257">
        <v>6.1692739899792803</v>
      </c>
      <c r="F21" s="3131">
        <f t="shared" ref="F21:F30" si="0">IF(SUM(C21)=0,"NA",G21*1000/C21)</f>
        <v>98.006222485987237</v>
      </c>
      <c r="G21" s="3239">
        <v>267.86962723647548</v>
      </c>
      <c r="I21" s="72"/>
      <c r="J21" s="288"/>
      <c r="K21" s="288"/>
      <c r="L21" s="288"/>
      <c r="M21" s="288"/>
      <c r="N21" s="288"/>
      <c r="O21" s="288"/>
    </row>
    <row r="22" spans="2:15" ht="18" customHeight="1" x14ac:dyDescent="0.2">
      <c r="B22" s="2633" t="s">
        <v>2197</v>
      </c>
      <c r="C22" s="3272">
        <v>24912.824000000001</v>
      </c>
      <c r="D22" s="3257">
        <v>125.465001456818</v>
      </c>
      <c r="E22" s="3257">
        <v>6.21225</v>
      </c>
      <c r="F22" s="3131">
        <f t="shared" si="0"/>
        <v>51.519065696477334</v>
      </c>
      <c r="G22" s="3239">
        <v>1283.4854163407772</v>
      </c>
      <c r="I22" s="72"/>
      <c r="J22" s="288"/>
      <c r="K22" s="288"/>
      <c r="L22" s="288"/>
      <c r="M22" s="288"/>
      <c r="N22" s="288"/>
      <c r="O22" s="288"/>
    </row>
    <row r="23" spans="2:15" ht="18" customHeight="1" x14ac:dyDescent="0.2">
      <c r="B23" s="2633" t="s">
        <v>2198</v>
      </c>
      <c r="C23" s="3272">
        <v>772.40800000000002</v>
      </c>
      <c r="D23" s="3257">
        <v>199.79196674844101</v>
      </c>
      <c r="E23" s="3257">
        <v>5.0441263487047303</v>
      </c>
      <c r="F23" s="3131">
        <f t="shared" si="0"/>
        <v>66.613222452268644</v>
      </c>
      <c r="G23" s="3239">
        <v>51.452585927911926</v>
      </c>
      <c r="I23" s="72"/>
      <c r="J23" s="288"/>
      <c r="K23" s="288"/>
      <c r="L23" s="288"/>
      <c r="M23" s="288"/>
      <c r="N23" s="288"/>
      <c r="O23" s="288"/>
    </row>
    <row r="24" spans="2:15" ht="18" customHeight="1" x14ac:dyDescent="0.2">
      <c r="B24" s="287" t="s">
        <v>753</v>
      </c>
      <c r="C24" s="2635">
        <f>C25</f>
        <v>74721.553</v>
      </c>
      <c r="D24" s="3258"/>
      <c r="E24" s="3258"/>
      <c r="F24" s="3131">
        <f t="shared" si="0"/>
        <v>6.8063830376672607</v>
      </c>
      <c r="G24" s="3128">
        <f>G25</f>
        <v>508.5835108873552</v>
      </c>
      <c r="I24" s="72"/>
    </row>
    <row r="25" spans="2:15" ht="18" customHeight="1" x14ac:dyDescent="0.2">
      <c r="B25" s="282" t="s">
        <v>754</v>
      </c>
      <c r="C25" s="2635">
        <f>C26</f>
        <v>74721.553</v>
      </c>
      <c r="D25" s="3258"/>
      <c r="E25" s="3258"/>
      <c r="F25" s="3131">
        <f t="shared" si="0"/>
        <v>6.8063830376672607</v>
      </c>
      <c r="G25" s="3128">
        <f>G26</f>
        <v>508.5835108873552</v>
      </c>
    </row>
    <row r="26" spans="2:15" ht="18" customHeight="1" x14ac:dyDescent="0.2">
      <c r="B26" s="2634" t="s">
        <v>2201</v>
      </c>
      <c r="C26" s="289">
        <v>74721.553</v>
      </c>
      <c r="D26" s="3259">
        <v>16.7044838083762</v>
      </c>
      <c r="E26" s="3259">
        <v>6.1643439635727901</v>
      </c>
      <c r="F26" s="3131">
        <f t="shared" si="0"/>
        <v>6.8063830376672607</v>
      </c>
      <c r="G26" s="3240">
        <v>508.5835108873552</v>
      </c>
    </row>
    <row r="27" spans="2:15" ht="18" customHeight="1" x14ac:dyDescent="0.2">
      <c r="B27" s="287" t="s">
        <v>755</v>
      </c>
      <c r="C27" s="2635">
        <f>C28</f>
        <v>2137.922</v>
      </c>
      <c r="D27" s="3258"/>
      <c r="E27" s="3258"/>
      <c r="F27" s="3131">
        <f t="shared" si="0"/>
        <v>1.5704969953892169</v>
      </c>
      <c r="G27" s="3128">
        <f>G28</f>
        <v>3.3576000773765053</v>
      </c>
    </row>
    <row r="28" spans="2:15" ht="18" customHeight="1" x14ac:dyDescent="0.2">
      <c r="B28" s="282" t="s">
        <v>756</v>
      </c>
      <c r="C28" s="2635">
        <f>C29</f>
        <v>2137.922</v>
      </c>
      <c r="D28" s="3258"/>
      <c r="E28" s="3258"/>
      <c r="F28" s="3131">
        <f t="shared" si="0"/>
        <v>1.5704969953892169</v>
      </c>
      <c r="G28" s="3128">
        <f>G29</f>
        <v>3.3576000773765053</v>
      </c>
    </row>
    <row r="29" spans="2:15" ht="18" customHeight="1" x14ac:dyDescent="0.2">
      <c r="B29" s="2634" t="s">
        <v>817</v>
      </c>
      <c r="C29" s="289">
        <v>2137.922</v>
      </c>
      <c r="D29" s="3259">
        <v>33.9424047300949</v>
      </c>
      <c r="E29" s="3259">
        <v>0.7</v>
      </c>
      <c r="F29" s="3131">
        <f t="shared" si="0"/>
        <v>1.5704969953892169</v>
      </c>
      <c r="G29" s="3240">
        <v>3.3576000773765053</v>
      </c>
    </row>
    <row r="30" spans="2:15" ht="18" customHeight="1" x14ac:dyDescent="0.2">
      <c r="B30" s="287" t="s">
        <v>757</v>
      </c>
      <c r="C30" s="2635">
        <f>SUM(C32:C39)</f>
        <v>87449.487999999998</v>
      </c>
      <c r="D30" s="3258"/>
      <c r="E30" s="3258"/>
      <c r="F30" s="3131">
        <f t="shared" si="0"/>
        <v>0.10948590040128477</v>
      </c>
      <c r="G30" s="3128">
        <f>SUM(G32:G39)</f>
        <v>9.5744859333113475</v>
      </c>
    </row>
    <row r="31" spans="2:15" ht="18" customHeight="1" x14ac:dyDescent="0.2">
      <c r="B31" s="1305" t="s">
        <v>345</v>
      </c>
      <c r="C31" s="3273"/>
      <c r="D31" s="3261"/>
      <c r="E31" s="3261"/>
      <c r="F31" s="3261"/>
      <c r="G31" s="3262"/>
    </row>
    <row r="32" spans="2:15" ht="18" customHeight="1" x14ac:dyDescent="0.2">
      <c r="B32" s="286" t="s">
        <v>758</v>
      </c>
      <c r="C32" s="3267">
        <v>5.0890000000000004</v>
      </c>
      <c r="D32" s="3263" t="s">
        <v>2147</v>
      </c>
      <c r="E32" s="3263" t="s">
        <v>2147</v>
      </c>
      <c r="F32" s="3131">
        <f t="shared" ref="F32:F40" si="1">IF(SUM(C32)=0,"NA",G32*1000/C32)</f>
        <v>76.000917856735185</v>
      </c>
      <c r="G32" s="3239">
        <v>0.38676867097292539</v>
      </c>
    </row>
    <row r="33" spans="2:7" ht="18" customHeight="1" x14ac:dyDescent="0.2">
      <c r="B33" s="286" t="s">
        <v>759</v>
      </c>
      <c r="C33" s="3267">
        <v>3.2629999999999999</v>
      </c>
      <c r="D33" s="3263" t="s">
        <v>2147</v>
      </c>
      <c r="E33" s="3263" t="s">
        <v>2147</v>
      </c>
      <c r="F33" s="3131">
        <f t="shared" si="1"/>
        <v>46.002614614974689</v>
      </c>
      <c r="G33" s="3239">
        <v>0.1501065314886624</v>
      </c>
    </row>
    <row r="34" spans="2:7" ht="18" customHeight="1" x14ac:dyDescent="0.2">
      <c r="B34" s="286" t="s">
        <v>760</v>
      </c>
      <c r="C34" s="3267">
        <v>38.395000000000003</v>
      </c>
      <c r="D34" s="3263" t="s">
        <v>2147</v>
      </c>
      <c r="E34" s="3263" t="s">
        <v>2147</v>
      </c>
      <c r="F34" s="3131">
        <f t="shared" si="1"/>
        <v>20.000104477061658</v>
      </c>
      <c r="G34" s="3239">
        <v>0.76790401139678233</v>
      </c>
    </row>
    <row r="35" spans="2:7" ht="18" customHeight="1" x14ac:dyDescent="0.2">
      <c r="B35" s="286" t="s">
        <v>761</v>
      </c>
      <c r="C35" s="3267">
        <v>516.14300000000003</v>
      </c>
      <c r="D35" s="3263" t="s">
        <v>2147</v>
      </c>
      <c r="E35" s="3263" t="s">
        <v>2147</v>
      </c>
      <c r="F35" s="3131">
        <f t="shared" si="1"/>
        <v>5</v>
      </c>
      <c r="G35" s="3239">
        <v>2.5807150000000001</v>
      </c>
    </row>
    <row r="36" spans="2:7" ht="18" customHeight="1" x14ac:dyDescent="0.2">
      <c r="B36" s="286" t="s">
        <v>762</v>
      </c>
      <c r="C36" s="3267">
        <v>254.21799999999999</v>
      </c>
      <c r="D36" s="3263" t="s">
        <v>2147</v>
      </c>
      <c r="E36" s="3263" t="s">
        <v>2147</v>
      </c>
      <c r="F36" s="3131">
        <f t="shared" si="1"/>
        <v>17.999968534089721</v>
      </c>
      <c r="G36" s="3239">
        <v>4.5759160007992206</v>
      </c>
    </row>
    <row r="37" spans="2:7" ht="18" customHeight="1" x14ac:dyDescent="0.2">
      <c r="B37" s="286" t="s">
        <v>763</v>
      </c>
      <c r="C37" s="3267">
        <v>0.86099999999999999</v>
      </c>
      <c r="D37" s="3263" t="s">
        <v>2147</v>
      </c>
      <c r="E37" s="3263" t="s">
        <v>2147</v>
      </c>
      <c r="F37" s="3131">
        <f t="shared" si="1"/>
        <v>10.00183900665497</v>
      </c>
      <c r="G37" s="3239">
        <v>8.6115833847299292E-3</v>
      </c>
    </row>
    <row r="38" spans="2:7" ht="18" customHeight="1" x14ac:dyDescent="0.2">
      <c r="B38" s="286" t="s">
        <v>764</v>
      </c>
      <c r="C38" s="3274">
        <v>86489.834000000003</v>
      </c>
      <c r="D38" s="3263" t="s">
        <v>2147</v>
      </c>
      <c r="E38" s="3263" t="s">
        <v>2147</v>
      </c>
      <c r="F38" s="3131" t="s">
        <v>2147</v>
      </c>
      <c r="G38" s="3264" t="s">
        <v>2154</v>
      </c>
    </row>
    <row r="39" spans="2:7" ht="18" customHeight="1" x14ac:dyDescent="0.2">
      <c r="B39" s="286" t="s">
        <v>765</v>
      </c>
      <c r="C39" s="2635">
        <f>SUM(C40:C44)</f>
        <v>141.685</v>
      </c>
      <c r="D39" s="3258"/>
      <c r="E39" s="3258"/>
      <c r="F39" s="3131">
        <f t="shared" si="1"/>
        <v>7.7952086337228925</v>
      </c>
      <c r="G39" s="3128">
        <f>SUM(G40:G44)</f>
        <v>1.1044641352690281</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9.673</v>
      </c>
      <c r="D42" s="2967" t="s">
        <v>2147</v>
      </c>
      <c r="E42" s="2967" t="s">
        <v>2147</v>
      </c>
      <c r="F42" s="3131">
        <f t="shared" si="2"/>
        <v>5.0000868744065352</v>
      </c>
      <c r="G42" s="3201">
        <v>4.8365840336134419E-2</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132.012</v>
      </c>
      <c r="D44" s="3258"/>
      <c r="E44" s="3258"/>
      <c r="F44" s="3131">
        <f>IF(SUM(C44)=0,"NA",G44*1000/C44)</f>
        <v>8.0000173842748659</v>
      </c>
      <c r="G44" s="3128">
        <f>G45</f>
        <v>1.0560982949328936</v>
      </c>
    </row>
    <row r="45" spans="2:7" ht="18" customHeight="1" thickBot="1" x14ac:dyDescent="0.25">
      <c r="B45" s="2636" t="s">
        <v>2199</v>
      </c>
      <c r="C45" s="3276">
        <v>132.012</v>
      </c>
      <c r="D45" s="3137" t="s">
        <v>2147</v>
      </c>
      <c r="E45" s="3137" t="s">
        <v>2147</v>
      </c>
      <c r="F45" s="3265">
        <f>IF(SUM(C45)=0,"NA",G45*1000/C45)</f>
        <v>8.0000173842748659</v>
      </c>
      <c r="G45" s="3203">
        <v>1.0560982949328936</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28418.421999999999</v>
      </c>
      <c r="D10" s="2942"/>
      <c r="E10" s="2942"/>
      <c r="F10" s="2942"/>
      <c r="G10" s="2942"/>
      <c r="H10" s="2942"/>
      <c r="I10" s="3279"/>
      <c r="J10" s="3280">
        <f>IF(SUM(C10)=0,"NA",K10*1000/C10)</f>
        <v>5.8860552208285757</v>
      </c>
      <c r="K10" s="3281">
        <f>K15</f>
        <v>167.27240118080965</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28418.421999999999</v>
      </c>
      <c r="D15" s="3293"/>
      <c r="E15" s="3293"/>
      <c r="F15" s="3293"/>
      <c r="G15" s="3293"/>
      <c r="H15" s="3293"/>
      <c r="I15" s="3288"/>
      <c r="J15" s="3287">
        <f>IF(SUM(C15)=0,"NA",K15*1000/C15)</f>
        <v>5.8860552208285757</v>
      </c>
      <c r="K15" s="3281">
        <f>SUM(K17:K20)</f>
        <v>167.27240118080965</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28418.421999999999</v>
      </c>
      <c r="D20" s="3293"/>
      <c r="E20" s="3293"/>
      <c r="F20" s="3293"/>
      <c r="G20" s="3293"/>
      <c r="H20" s="3293"/>
      <c r="I20" s="3288"/>
      <c r="J20" s="3301">
        <f>IF(SUM(C20)=0,"NA",K20*1000/C20)</f>
        <v>5.8860552208285757</v>
      </c>
      <c r="K20" s="3281">
        <f>SUM(K21:K23)</f>
        <v>167.27240118080965</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2733.19</v>
      </c>
      <c r="D21" s="3325">
        <v>8.4793226961901595</v>
      </c>
      <c r="E21" s="3325">
        <v>91.51961627256064</v>
      </c>
      <c r="F21" s="3325">
        <v>1.0610312492000001E-3</v>
      </c>
      <c r="G21" s="3298">
        <f>Table3.A!K10</f>
        <v>464.95755176843801</v>
      </c>
      <c r="H21" s="3299">
        <v>3.4618544204050798</v>
      </c>
      <c r="I21" s="3300">
        <v>0.24</v>
      </c>
      <c r="J21" s="3301">
        <f>IF(SUM(C21)=0,"NA",K21*1000/C21)</f>
        <v>16.044391040882548</v>
      </c>
      <c r="K21" s="3277">
        <v>43.852369149029769</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24912.824000000001</v>
      </c>
      <c r="D22" s="3325" t="s">
        <v>2146</v>
      </c>
      <c r="E22" s="3325">
        <v>82.513308158151403</v>
      </c>
      <c r="F22" s="3325">
        <v>17.4866918418486</v>
      </c>
      <c r="G22" s="3298">
        <f>Table3.A!L10</f>
        <v>364.10256643430699</v>
      </c>
      <c r="H22" s="3299" t="s">
        <v>2147</v>
      </c>
      <c r="I22" s="3300" t="s">
        <v>2147</v>
      </c>
      <c r="J22" s="3301">
        <f t="shared" ref="J22:J45" si="0">IF(SUM(C22)=0,"NA",K22*1000/C22)</f>
        <v>4.8471032112057788</v>
      </c>
      <c r="K22" s="3277">
        <v>120.75502921060441</v>
      </c>
      <c r="M22" s="1594" t="s">
        <v>800</v>
      </c>
      <c r="N22" s="4486" t="s">
        <v>2196</v>
      </c>
      <c r="O22" s="1690" t="s">
        <v>802</v>
      </c>
      <c r="P22" s="1691" t="s">
        <v>791</v>
      </c>
      <c r="Q22" s="3774">
        <v>6.5927992864821698</v>
      </c>
      <c r="R22" s="300" t="s">
        <v>2146</v>
      </c>
      <c r="S22" s="3772">
        <v>3.9985868975432002</v>
      </c>
      <c r="T22" s="3772">
        <v>1.6440991310317918</v>
      </c>
      <c r="U22" s="3772" t="s">
        <v>2146</v>
      </c>
      <c r="V22" s="3772" t="s">
        <v>2153</v>
      </c>
      <c r="W22" s="3772" t="s">
        <v>2146</v>
      </c>
      <c r="X22" s="3772">
        <v>87.764514684942796</v>
      </c>
      <c r="Y22" s="301" t="s">
        <v>2146</v>
      </c>
      <c r="Z22" s="301" t="s">
        <v>2146</v>
      </c>
      <c r="AA22" s="301" t="s">
        <v>2146</v>
      </c>
      <c r="AB22" s="1306" t="s">
        <v>2146</v>
      </c>
    </row>
    <row r="23" spans="2:28" s="84" customFormat="1" ht="18" customHeight="1" x14ac:dyDescent="0.2">
      <c r="B23" s="2642" t="s">
        <v>2198</v>
      </c>
      <c r="C23" s="3325">
        <f>Table3.A!C23</f>
        <v>772.40800000000002</v>
      </c>
      <c r="D23" s="3325" t="s">
        <v>2146</v>
      </c>
      <c r="E23" s="3325">
        <v>100</v>
      </c>
      <c r="F23" s="3325" t="s">
        <v>2146</v>
      </c>
      <c r="G23" s="3298">
        <f>Table3.A!M10</f>
        <v>524.737040340965</v>
      </c>
      <c r="H23" s="3299">
        <v>1.7100247915292199</v>
      </c>
      <c r="I23" s="3300">
        <v>0.19</v>
      </c>
      <c r="J23" s="3301">
        <f t="shared" si="0"/>
        <v>3.4502527435959607</v>
      </c>
      <c r="K23" s="3277">
        <v>2.6650028211754688</v>
      </c>
      <c r="M23" s="1664" t="s">
        <v>813</v>
      </c>
      <c r="N23" s="4487"/>
      <c r="O23" s="1692" t="s">
        <v>794</v>
      </c>
      <c r="P23" s="1693" t="s">
        <v>792</v>
      </c>
      <c r="Q23" s="3776">
        <v>9.3257146002525406</v>
      </c>
      <c r="R23" s="277" t="s">
        <v>2146</v>
      </c>
      <c r="S23" s="691">
        <v>1.97344142793624</v>
      </c>
      <c r="T23" s="3147">
        <v>2.5451083605770384</v>
      </c>
      <c r="U23" s="3147" t="s">
        <v>2146</v>
      </c>
      <c r="V23" s="3147" t="s">
        <v>2153</v>
      </c>
      <c r="W23" s="3147" t="s">
        <v>2146</v>
      </c>
      <c r="X23" s="3147">
        <v>86.155735611234206</v>
      </c>
      <c r="Y23" s="278" t="s">
        <v>2146</v>
      </c>
      <c r="Z23" s="278" t="s">
        <v>2146</v>
      </c>
      <c r="AA23" s="278" t="s">
        <v>2146</v>
      </c>
      <c r="AB23" s="279" t="s">
        <v>2146</v>
      </c>
    </row>
    <row r="24" spans="2:28" s="84" customFormat="1" ht="18" customHeight="1" thickBot="1" x14ac:dyDescent="0.25">
      <c r="B24" s="1643" t="s">
        <v>811</v>
      </c>
      <c r="C24" s="4184">
        <f>C25</f>
        <v>74721.553</v>
      </c>
      <c r="D24" s="3303"/>
      <c r="E24" s="3303"/>
      <c r="F24" s="3303"/>
      <c r="G24" s="3303"/>
      <c r="H24" s="3303"/>
      <c r="I24" s="3304"/>
      <c r="J24" s="3301">
        <f t="shared" si="0"/>
        <v>0.34623226019299358</v>
      </c>
      <c r="K24" s="3281">
        <f>K25</f>
        <v>25.871012180320559</v>
      </c>
      <c r="M24" s="1656"/>
      <c r="N24" s="4487"/>
      <c r="O24" s="1694"/>
      <c r="P24" s="1693" t="s">
        <v>793</v>
      </c>
      <c r="Q24" s="4208">
        <v>6.0213448368606901</v>
      </c>
      <c r="R24" s="304" t="s">
        <v>2146</v>
      </c>
      <c r="S24" s="1559">
        <v>3.6949161498917902</v>
      </c>
      <c r="T24" s="1560">
        <v>3.1164191769289329</v>
      </c>
      <c r="U24" s="1560" t="s">
        <v>2146</v>
      </c>
      <c r="V24" s="1560" t="s">
        <v>2153</v>
      </c>
      <c r="W24" s="1560" t="s">
        <v>2146</v>
      </c>
      <c r="X24" s="1560">
        <v>87.167319836318597</v>
      </c>
      <c r="Y24" s="305" t="s">
        <v>2146</v>
      </c>
      <c r="Z24" s="305" t="s">
        <v>2146</v>
      </c>
      <c r="AA24" s="305" t="s">
        <v>2146</v>
      </c>
      <c r="AB24" s="442" t="s">
        <v>2146</v>
      </c>
    </row>
    <row r="25" spans="2:28" s="84" customFormat="1" ht="18" customHeight="1" x14ac:dyDescent="0.2">
      <c r="B25" s="1644" t="s">
        <v>812</v>
      </c>
      <c r="C25" s="4184">
        <f>C26</f>
        <v>74721.553</v>
      </c>
      <c r="D25" s="3250"/>
      <c r="E25" s="3250"/>
      <c r="F25" s="3250"/>
      <c r="G25" s="3250"/>
      <c r="H25" s="3250"/>
      <c r="I25" s="3260"/>
      <c r="J25" s="3301">
        <f t="shared" si="0"/>
        <v>0.34623226019299358</v>
      </c>
      <c r="K25" s="3281">
        <f>K26</f>
        <v>25.871012180320559</v>
      </c>
      <c r="M25" s="1656"/>
      <c r="N25" s="4487"/>
      <c r="O25" s="1695" t="s">
        <v>2026</v>
      </c>
      <c r="P25" s="1691" t="s">
        <v>791</v>
      </c>
      <c r="Q25" s="4209">
        <v>0.70000090612540999</v>
      </c>
      <c r="R25" s="1308" t="s">
        <v>2146</v>
      </c>
      <c r="S25" s="692">
        <v>3.9113964310019997E-2</v>
      </c>
      <c r="T25" s="3141">
        <v>2.0000000000000004</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74721.553</v>
      </c>
      <c r="D26" s="3325" t="s">
        <v>2146</v>
      </c>
      <c r="E26" s="3325">
        <v>100</v>
      </c>
      <c r="F26" s="3325" t="s">
        <v>2146</v>
      </c>
      <c r="G26" s="3305">
        <f>Table3.A!N10</f>
        <v>44.396505273479299</v>
      </c>
      <c r="H26" s="3033" t="s">
        <v>2147</v>
      </c>
      <c r="I26" s="3126" t="s">
        <v>2147</v>
      </c>
      <c r="J26" s="3301">
        <f t="shared" si="0"/>
        <v>0.34623226019299358</v>
      </c>
      <c r="K26" s="3277">
        <v>25.871012180320559</v>
      </c>
      <c r="M26" s="1656"/>
      <c r="N26" s="4487"/>
      <c r="O26" s="1696"/>
      <c r="P26" s="1693" t="s">
        <v>792</v>
      </c>
      <c r="Q26" s="3776">
        <v>0.74386055836620002</v>
      </c>
      <c r="R26" s="277" t="s">
        <v>2146</v>
      </c>
      <c r="S26" s="691">
        <v>6.6237001283100005E-2</v>
      </c>
      <c r="T26" s="3147">
        <v>2</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2137.922</v>
      </c>
      <c r="D27" s="3250"/>
      <c r="E27" s="3250"/>
      <c r="F27" s="3250"/>
      <c r="G27" s="3250"/>
      <c r="H27" s="3250"/>
      <c r="I27" s="3260"/>
      <c r="J27" s="3301">
        <f t="shared" si="0"/>
        <v>22.857356808723743</v>
      </c>
      <c r="K27" s="3281">
        <f>K28</f>
        <v>48.867245983220279</v>
      </c>
      <c r="M27" s="1656"/>
      <c r="N27" s="4488"/>
      <c r="O27" s="1697"/>
      <c r="P27" s="1693" t="s">
        <v>793</v>
      </c>
      <c r="Q27" s="4208">
        <v>0.8</v>
      </c>
      <c r="R27" s="304" t="s">
        <v>2146</v>
      </c>
      <c r="S27" s="1559">
        <v>0.28222222222221999</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
      <c r="B28" s="1644" t="s">
        <v>815</v>
      </c>
      <c r="C28" s="4184">
        <f>C29</f>
        <v>2137.922</v>
      </c>
      <c r="D28" s="3250"/>
      <c r="E28" s="3250"/>
      <c r="F28" s="3250"/>
      <c r="G28" s="3250"/>
      <c r="H28" s="3250"/>
      <c r="I28" s="3260"/>
      <c r="J28" s="3301">
        <f t="shared" si="0"/>
        <v>22.857356808723743</v>
      </c>
      <c r="K28" s="3281">
        <f>K29</f>
        <v>48.867245983220279</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2137.922</v>
      </c>
      <c r="D29" s="3325">
        <v>0.52023448708169995</v>
      </c>
      <c r="E29" s="3325">
        <v>99.479765512918306</v>
      </c>
      <c r="F29" s="3325" t="s">
        <v>2146</v>
      </c>
      <c r="G29" s="3305">
        <f>Table3.A!O10</f>
        <v>57.431953309151801</v>
      </c>
      <c r="H29" s="3033">
        <v>0.39649980170792998</v>
      </c>
      <c r="I29" s="3126">
        <v>0.45</v>
      </c>
      <c r="J29" s="3301">
        <f t="shared" si="0"/>
        <v>22.857356808723743</v>
      </c>
      <c r="K29" s="3277">
        <v>48.867245983220279</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87449.487999999998</v>
      </c>
      <c r="D30" s="3250"/>
      <c r="E30" s="3250"/>
      <c r="F30" s="3250"/>
      <c r="G30" s="3250"/>
      <c r="H30" s="3250"/>
      <c r="I30" s="3260"/>
      <c r="J30" s="3301">
        <f t="shared" si="0"/>
        <v>4.8960677624220711E-2</v>
      </c>
      <c r="K30" s="3281">
        <f>SUM(K32:K39)</f>
        <v>4.2815861903711578</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5.0890000000000004</v>
      </c>
      <c r="D32" s="3325" t="s">
        <v>2146</v>
      </c>
      <c r="E32" s="3325">
        <v>34.310358085392807</v>
      </c>
      <c r="F32" s="3325">
        <v>65.689641914607193</v>
      </c>
      <c r="G32" s="3307" t="s">
        <v>2147</v>
      </c>
      <c r="H32" s="3307" t="s">
        <v>2147</v>
      </c>
      <c r="I32" s="3307" t="s">
        <v>2147</v>
      </c>
      <c r="J32" s="3301">
        <f t="shared" si="0"/>
        <v>8.629576980932061</v>
      </c>
      <c r="K32" s="3277">
        <v>4.3915917255963256E-2</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3.2629999999999999</v>
      </c>
      <c r="D33" s="3325" t="s">
        <v>2146</v>
      </c>
      <c r="E33" s="3325">
        <v>21.475934970551805</v>
      </c>
      <c r="F33" s="3325">
        <v>78.524065029448195</v>
      </c>
      <c r="G33" s="3307" t="s">
        <v>2147</v>
      </c>
      <c r="H33" s="3307" t="s">
        <v>2147</v>
      </c>
      <c r="I33" s="3307" t="s">
        <v>2147</v>
      </c>
      <c r="J33" s="3287">
        <f t="shared" si="0"/>
        <v>9.7299830582010678</v>
      </c>
      <c r="K33" s="3277">
        <v>3.1748934718910084E-2</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38.395000000000003</v>
      </c>
      <c r="D34" s="3325" t="s">
        <v>2146</v>
      </c>
      <c r="E34" s="3325">
        <v>98.888532958113444</v>
      </c>
      <c r="F34" s="3325">
        <v>1.11146704188655</v>
      </c>
      <c r="G34" s="3307" t="s">
        <v>2147</v>
      </c>
      <c r="H34" s="3307" t="s">
        <v>2147</v>
      </c>
      <c r="I34" s="3307" t="s">
        <v>2147</v>
      </c>
      <c r="J34" s="3287">
        <f t="shared" si="0"/>
        <v>1.0316339171529203</v>
      </c>
      <c r="K34" s="3277">
        <v>3.960958424908638E-2</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516.14300000000003</v>
      </c>
      <c r="D35" s="3325" t="s">
        <v>2146</v>
      </c>
      <c r="E35" s="3325">
        <v>99.913589838475005</v>
      </c>
      <c r="F35" s="3325">
        <v>8.6410161525000001E-2</v>
      </c>
      <c r="G35" s="3307" t="s">
        <v>2147</v>
      </c>
      <c r="H35" s="3307" t="s">
        <v>2147</v>
      </c>
      <c r="I35" s="3307" t="s">
        <v>2147</v>
      </c>
      <c r="J35" s="3287">
        <f t="shared" si="0"/>
        <v>0.35820472932343683</v>
      </c>
      <c r="K35" s="3277">
        <v>0.18488486360718667</v>
      </c>
      <c r="M35" s="1664"/>
      <c r="N35" s="4487"/>
      <c r="O35" s="1692" t="s">
        <v>794</v>
      </c>
      <c r="P35" s="1693" t="s">
        <v>792</v>
      </c>
      <c r="Q35" s="3776">
        <v>1.8</v>
      </c>
      <c r="R35" s="277" t="s">
        <v>2146</v>
      </c>
      <c r="S35" s="277" t="s">
        <v>2146</v>
      </c>
      <c r="T35" s="3147" t="s">
        <v>2153</v>
      </c>
      <c r="U35" s="3147" t="s">
        <v>2146</v>
      </c>
      <c r="V35" s="3147">
        <v>100</v>
      </c>
      <c r="W35" s="3147" t="s">
        <v>2146</v>
      </c>
      <c r="X35" s="278" t="s">
        <v>2146</v>
      </c>
      <c r="Y35" s="3147">
        <v>19</v>
      </c>
      <c r="Z35" s="278" t="s">
        <v>2146</v>
      </c>
      <c r="AA35" s="278" t="s">
        <v>2146</v>
      </c>
      <c r="AB35" s="279" t="s">
        <v>2146</v>
      </c>
    </row>
    <row r="36" spans="2:28" s="84" customFormat="1" ht="18" customHeight="1" thickBot="1" x14ac:dyDescent="0.25">
      <c r="B36" s="1644" t="s">
        <v>822</v>
      </c>
      <c r="C36" s="3307">
        <f>Table3.A!C36</f>
        <v>254.21799999999999</v>
      </c>
      <c r="D36" s="3325" t="s">
        <v>2146</v>
      </c>
      <c r="E36" s="3325">
        <v>97.628856714567107</v>
      </c>
      <c r="F36" s="3325">
        <v>2.3711432854328902</v>
      </c>
      <c r="G36" s="3307" t="s">
        <v>2147</v>
      </c>
      <c r="H36" s="3307" t="s">
        <v>2147</v>
      </c>
      <c r="I36" s="3307" t="s">
        <v>2147</v>
      </c>
      <c r="J36" s="3287">
        <f t="shared" si="0"/>
        <v>3.2028388739022913</v>
      </c>
      <c r="K36" s="3277">
        <v>0.81421929284569261</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0.86099999999999999</v>
      </c>
      <c r="D37" s="3325" t="s">
        <v>2146</v>
      </c>
      <c r="E37" s="3325">
        <v>96.728275269248215</v>
      </c>
      <c r="F37" s="3325">
        <v>3.27172473075179</v>
      </c>
      <c r="G37" s="3307" t="s">
        <v>2147</v>
      </c>
      <c r="H37" s="3307" t="s">
        <v>2147</v>
      </c>
      <c r="I37" s="3307" t="s">
        <v>2147</v>
      </c>
      <c r="J37" s="3287">
        <f t="shared" si="0"/>
        <v>1.0935436050982703</v>
      </c>
      <c r="K37" s="3277">
        <v>9.4154104398961084E-4</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86489.834000000003</v>
      </c>
      <c r="D38" s="3325">
        <v>0.87461937586278005</v>
      </c>
      <c r="E38" s="3325">
        <v>99.125380624137222</v>
      </c>
      <c r="F38" s="3325" t="s">
        <v>2146</v>
      </c>
      <c r="G38" s="3307" t="s">
        <v>2147</v>
      </c>
      <c r="H38" s="3307" t="s">
        <v>2147</v>
      </c>
      <c r="I38" s="3307" t="s">
        <v>2147</v>
      </c>
      <c r="J38" s="3287">
        <f t="shared" si="0"/>
        <v>3.6023177575853625E-2</v>
      </c>
      <c r="K38" s="3277">
        <v>3.1156386486881025</v>
      </c>
      <c r="M38" s="1656"/>
      <c r="N38" s="4487"/>
      <c r="O38" s="1696"/>
      <c r="P38" s="1693" t="s">
        <v>792</v>
      </c>
      <c r="Q38" s="3776">
        <v>0.76229820391995995</v>
      </c>
      <c r="R38" s="277" t="s">
        <v>2146</v>
      </c>
      <c r="S38" s="277" t="s">
        <v>2146</v>
      </c>
      <c r="T38" s="3147" t="s">
        <v>2153</v>
      </c>
      <c r="U38" s="3147" t="s">
        <v>2146</v>
      </c>
      <c r="V38" s="3147">
        <v>2.1468265333363719E-2</v>
      </c>
      <c r="W38" s="3147" t="s">
        <v>2146</v>
      </c>
      <c r="X38" s="278" t="s">
        <v>2146</v>
      </c>
      <c r="Y38" s="3147">
        <v>0.01</v>
      </c>
      <c r="Z38" s="278" t="s">
        <v>2146</v>
      </c>
      <c r="AA38" s="278" t="s">
        <v>2146</v>
      </c>
      <c r="AB38" s="279" t="s">
        <v>2146</v>
      </c>
    </row>
    <row r="39" spans="2:28" s="84" customFormat="1" ht="18" customHeight="1" thickBot="1" x14ac:dyDescent="0.25">
      <c r="B39" s="1644" t="s">
        <v>825</v>
      </c>
      <c r="C39" s="4184">
        <f>SUM(C40:C44)</f>
        <v>141.685</v>
      </c>
      <c r="D39" s="3294"/>
      <c r="E39" s="3294"/>
      <c r="F39" s="3294"/>
      <c r="G39" s="3294"/>
      <c r="H39" s="3294"/>
      <c r="I39" s="3295"/>
      <c r="J39" s="3287">
        <f t="shared" si="0"/>
        <v>0.35732369666673458</v>
      </c>
      <c r="K39" s="3281">
        <f>SUM(K40:K44)</f>
        <v>5.0627407962226291E-2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73</v>
      </c>
      <c r="R40" s="300" t="s">
        <v>2146</v>
      </c>
      <c r="S40" s="300" t="s">
        <v>2146</v>
      </c>
      <c r="T40" s="3773" t="s">
        <v>2153</v>
      </c>
      <c r="U40" s="3773" t="s">
        <v>2153</v>
      </c>
      <c r="V40" s="3773">
        <v>23</v>
      </c>
      <c r="W40" s="3773" t="s">
        <v>2153</v>
      </c>
      <c r="X40" s="301" t="s">
        <v>2146</v>
      </c>
      <c r="Y40" s="301" t="s">
        <v>2146</v>
      </c>
      <c r="Z40" s="3773" t="s">
        <v>2146</v>
      </c>
      <c r="AA40" s="301" t="s">
        <v>2146</v>
      </c>
      <c r="AB40" s="3775">
        <v>23</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65.4103093984927</v>
      </c>
      <c r="R41" s="277" t="s">
        <v>2146</v>
      </c>
      <c r="S41" s="277" t="s">
        <v>2146</v>
      </c>
      <c r="T41" s="3147" t="s">
        <v>2153</v>
      </c>
      <c r="U41" s="3147" t="s">
        <v>2153</v>
      </c>
      <c r="V41" s="3147">
        <v>27.225657838514255</v>
      </c>
      <c r="W41" s="3147" t="s">
        <v>2153</v>
      </c>
      <c r="X41" s="278" t="s">
        <v>2146</v>
      </c>
      <c r="Y41" s="278" t="s">
        <v>2146</v>
      </c>
      <c r="Z41" s="3147">
        <v>5.9778303885735804</v>
      </c>
      <c r="AA41" s="278" t="s">
        <v>2146</v>
      </c>
      <c r="AB41" s="2911">
        <v>22.749877104221099</v>
      </c>
    </row>
    <row r="42" spans="2:28" s="84" customFormat="1" ht="18" customHeight="1" thickBot="1" x14ac:dyDescent="0.25">
      <c r="B42" s="350" t="s">
        <v>828</v>
      </c>
      <c r="C42" s="3307">
        <f>Table3.A!C42</f>
        <v>9.673</v>
      </c>
      <c r="D42" s="3325" t="s">
        <v>2146</v>
      </c>
      <c r="E42" s="3325">
        <v>100</v>
      </c>
      <c r="F42" s="3325" t="s">
        <v>2146</v>
      </c>
      <c r="G42" s="3307" t="s">
        <v>2147</v>
      </c>
      <c r="H42" s="3307" t="s">
        <v>2147</v>
      </c>
      <c r="I42" s="3307" t="s">
        <v>2147</v>
      </c>
      <c r="J42" s="3287">
        <f t="shared" si="0"/>
        <v>0.35732875778301937</v>
      </c>
      <c r="K42" s="3277">
        <v>3.4564410740351463E-3</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1.9130434782608694</v>
      </c>
      <c r="W43" s="3773" t="s">
        <v>2153</v>
      </c>
      <c r="X43" s="301" t="s">
        <v>2146</v>
      </c>
      <c r="Y43" s="301" t="s">
        <v>2146</v>
      </c>
      <c r="Z43" s="3773" t="s">
        <v>2146</v>
      </c>
      <c r="AA43" s="301" t="s">
        <v>2146</v>
      </c>
      <c r="AB43" s="3775">
        <v>3.8695652173910002E-2</v>
      </c>
    </row>
    <row r="44" spans="2:28" s="84" customFormat="1" ht="18" customHeight="1" x14ac:dyDescent="0.2">
      <c r="B44" s="2644" t="s">
        <v>2091</v>
      </c>
      <c r="C44" s="4184">
        <f>C45</f>
        <v>132.012</v>
      </c>
      <c r="D44" s="3294"/>
      <c r="E44" s="3294"/>
      <c r="F44" s="3294"/>
      <c r="G44" s="3294"/>
      <c r="H44" s="3294"/>
      <c r="I44" s="3295"/>
      <c r="J44" s="3287">
        <f t="shared" si="0"/>
        <v>0.3573233258203129</v>
      </c>
      <c r="K44" s="3281">
        <f>K45</f>
        <v>4.7170966888191147E-2</v>
      </c>
      <c r="M44" s="4491"/>
      <c r="N44" s="4492"/>
      <c r="O44" s="1696"/>
      <c r="P44" s="1693" t="s">
        <v>792</v>
      </c>
      <c r="Q44" s="3776">
        <v>0.75491740025841003</v>
      </c>
      <c r="R44" s="277" t="s">
        <v>2146</v>
      </c>
      <c r="S44" s="277" t="s">
        <v>2146</v>
      </c>
      <c r="T44" s="3147" t="s">
        <v>2153</v>
      </c>
      <c r="U44" s="3147" t="s">
        <v>2153</v>
      </c>
      <c r="V44" s="3147">
        <v>1.9142485872283079</v>
      </c>
      <c r="W44" s="3147" t="s">
        <v>2153</v>
      </c>
      <c r="X44" s="278" t="s">
        <v>2146</v>
      </c>
      <c r="Y44" s="278" t="s">
        <v>2146</v>
      </c>
      <c r="Z44" s="3147">
        <v>0.1</v>
      </c>
      <c r="AA44" s="278" t="s">
        <v>2146</v>
      </c>
      <c r="AB44" s="2911">
        <v>3.943667562145E-2</v>
      </c>
    </row>
    <row r="45" spans="2:28" s="84" customFormat="1" ht="18" customHeight="1" thickBot="1" x14ac:dyDescent="0.25">
      <c r="B45" s="2648" t="s">
        <v>2199</v>
      </c>
      <c r="C45" s="4186">
        <f>Table3.A!C45</f>
        <v>132.012</v>
      </c>
      <c r="D45" s="3040" t="s">
        <v>2146</v>
      </c>
      <c r="E45" s="3040">
        <v>100</v>
      </c>
      <c r="F45" s="3040" t="s">
        <v>2146</v>
      </c>
      <c r="G45" s="3040" t="s">
        <v>2147</v>
      </c>
      <c r="H45" s="3040" t="s">
        <v>2147</v>
      </c>
      <c r="I45" s="3308" t="s">
        <v>2147</v>
      </c>
      <c r="J45" s="3309">
        <f t="shared" si="0"/>
        <v>0.3573233258203129</v>
      </c>
      <c r="K45" s="3278">
        <v>4.7170966888191147E-2</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43.290904639244275</v>
      </c>
      <c r="U46" s="3773" t="s">
        <v>2146</v>
      </c>
      <c r="V46" s="3773" t="s">
        <v>2146</v>
      </c>
      <c r="W46" s="3773" t="s">
        <v>2153</v>
      </c>
      <c r="X46" s="3773">
        <v>2.6887537177551502</v>
      </c>
      <c r="Y46" s="3773">
        <v>18.7880209162619</v>
      </c>
      <c r="Z46" s="3773">
        <v>0.23112797512409</v>
      </c>
      <c r="AA46" s="301" t="s">
        <v>2146</v>
      </c>
      <c r="AB46" s="3775">
        <v>97.311246282244895</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42.885311837387547</v>
      </c>
      <c r="U47" s="3147" t="s">
        <v>2146</v>
      </c>
      <c r="V47" s="3147" t="s">
        <v>2146</v>
      </c>
      <c r="W47" s="3147" t="s">
        <v>2153</v>
      </c>
      <c r="X47" s="3147">
        <v>2.7124963297504801</v>
      </c>
      <c r="Y47" s="3147">
        <v>18.864301716204</v>
      </c>
      <c r="Z47" s="3147">
        <v>0.21349697951811</v>
      </c>
      <c r="AA47" s="278" t="s">
        <v>2146</v>
      </c>
      <c r="AB47" s="2911">
        <v>97.287503670249507</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0.02</v>
      </c>
      <c r="U50" s="3147" t="s">
        <v>2146</v>
      </c>
      <c r="V50" s="3147" t="s">
        <v>2146</v>
      </c>
      <c r="W50" s="3147" t="s">
        <v>2153</v>
      </c>
      <c r="X50" s="3147">
        <v>1.4141213779099999E-2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28418.421999999999</v>
      </c>
      <c r="D10" s="3490"/>
      <c r="E10" s="3491"/>
      <c r="F10" s="3478">
        <f>F15</f>
        <v>32761028.989576325</v>
      </c>
      <c r="G10" s="3478" t="str">
        <f t="shared" ref="G10:R10" si="0">G15</f>
        <v>NO</v>
      </c>
      <c r="H10" s="3478">
        <f t="shared" si="0"/>
        <v>7399471.0932841096</v>
      </c>
      <c r="I10" s="3478">
        <f t="shared" si="0"/>
        <v>8556589.997854365</v>
      </c>
      <c r="J10" s="3478" t="str">
        <f t="shared" si="0"/>
        <v>NO</v>
      </c>
      <c r="K10" s="3478">
        <f t="shared" si="0"/>
        <v>65786325.594730914</v>
      </c>
      <c r="L10" s="3478">
        <f t="shared" si="0"/>
        <v>7823525.9515913315</v>
      </c>
      <c r="M10" s="3478">
        <f t="shared" si="0"/>
        <v>1182397371.1540461</v>
      </c>
      <c r="N10" s="3478">
        <f t="shared" si="0"/>
        <v>7823525.9515913315</v>
      </c>
      <c r="O10" s="3478" t="str">
        <f t="shared" si="0"/>
        <v>NO</v>
      </c>
      <c r="P10" s="3478" t="str">
        <f t="shared" si="0"/>
        <v>NO</v>
      </c>
      <c r="Q10" s="3478" t="str">
        <f t="shared" si="0"/>
        <v>NO</v>
      </c>
      <c r="R10" s="3478">
        <f t="shared" si="0"/>
        <v>1312547838.7326744</v>
      </c>
      <c r="S10" s="2651"/>
      <c r="T10" s="2652"/>
      <c r="U10" s="3456">
        <f>IF(SUM(X10)=0,"NA",X10*1000/C10)</f>
        <v>2.6089668271519782E-2</v>
      </c>
      <c r="V10" s="3448"/>
      <c r="W10" s="3449"/>
      <c r="X10" s="3311">
        <f t="shared" ref="X10" si="1">X15</f>
        <v>0.74142720278005969</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28418.421999999999</v>
      </c>
      <c r="D15" s="3493"/>
      <c r="E15" s="3493"/>
      <c r="F15" s="2649">
        <f>F20</f>
        <v>32761028.989576325</v>
      </c>
      <c r="G15" s="2649" t="str">
        <f t="shared" ref="G15:R15" si="2">G20</f>
        <v>NO</v>
      </c>
      <c r="H15" s="2649">
        <f t="shared" si="2"/>
        <v>7399471.0932841096</v>
      </c>
      <c r="I15" s="2649">
        <f t="shared" si="2"/>
        <v>8556589.997854365</v>
      </c>
      <c r="J15" s="2649" t="str">
        <f t="shared" si="2"/>
        <v>NO</v>
      </c>
      <c r="K15" s="2649">
        <f t="shared" si="2"/>
        <v>65786325.594730914</v>
      </c>
      <c r="L15" s="2649">
        <f t="shared" si="2"/>
        <v>7823525.9515913315</v>
      </c>
      <c r="M15" s="2649">
        <f t="shared" si="2"/>
        <v>1182397371.1540461</v>
      </c>
      <c r="N15" s="2649">
        <f t="shared" si="2"/>
        <v>7823525.9515913315</v>
      </c>
      <c r="O15" s="2649" t="str">
        <f t="shared" si="2"/>
        <v>NO</v>
      </c>
      <c r="P15" s="2649" t="str">
        <f t="shared" si="2"/>
        <v>NO</v>
      </c>
      <c r="Q15" s="2649" t="str">
        <f t="shared" si="2"/>
        <v>NO</v>
      </c>
      <c r="R15" s="2649">
        <f t="shared" si="2"/>
        <v>1312547838.7326744</v>
      </c>
      <c r="S15" s="2657"/>
      <c r="T15" s="2658"/>
      <c r="U15" s="3456">
        <f>IF(SUM(X15)=0,"NA",X15*1000/C15)</f>
        <v>2.6089668271519782E-2</v>
      </c>
      <c r="V15" s="3454"/>
      <c r="W15" s="3455"/>
      <c r="X15" s="3314">
        <f t="shared" ref="X15" si="3">X20</f>
        <v>0.74142720278005969</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28418.421999999999</v>
      </c>
      <c r="D20" s="3492"/>
      <c r="E20" s="3492"/>
      <c r="F20" s="2649">
        <f>IF(SUM(F21:F23)=0,"NO",SUM(F21:F23))</f>
        <v>32761028.989576325</v>
      </c>
      <c r="G20" s="2649" t="str">
        <f t="shared" ref="G20:Q20" si="6">IF(SUM(G21:G23)=0,"NO",SUM(G21:G23))</f>
        <v>NO</v>
      </c>
      <c r="H20" s="2649">
        <f t="shared" si="6"/>
        <v>7399471.0932841096</v>
      </c>
      <c r="I20" s="2649">
        <f t="shared" si="6"/>
        <v>8556589.997854365</v>
      </c>
      <c r="J20" s="2649" t="str">
        <f t="shared" si="6"/>
        <v>NO</v>
      </c>
      <c r="K20" s="2649">
        <f t="shared" si="6"/>
        <v>65786325.594730914</v>
      </c>
      <c r="L20" s="2649">
        <f t="shared" si="6"/>
        <v>7823525.9515913315</v>
      </c>
      <c r="M20" s="2649">
        <f t="shared" si="6"/>
        <v>1182397371.1540461</v>
      </c>
      <c r="N20" s="2649">
        <f t="shared" si="6"/>
        <v>7823525.9515913315</v>
      </c>
      <c r="O20" s="2649" t="str">
        <f t="shared" si="6"/>
        <v>NO</v>
      </c>
      <c r="P20" s="2649" t="str">
        <f t="shared" si="6"/>
        <v>NO</v>
      </c>
      <c r="Q20" s="2649" t="str">
        <f t="shared" si="6"/>
        <v>NO</v>
      </c>
      <c r="R20" s="3482">
        <f>IF(SUM(F20:Q20)=0,"NO",SUM(F20:Q20))</f>
        <v>1312547838.7326744</v>
      </c>
      <c r="S20" s="2657"/>
      <c r="T20" s="2658"/>
      <c r="U20" s="3456">
        <f t="shared" si="4"/>
        <v>2.6089668271519782E-2</v>
      </c>
      <c r="V20" s="3454"/>
      <c r="W20" s="3455"/>
      <c r="X20" s="3314">
        <f t="shared" ref="X20" si="7">IF(SUM(X21:X23)=0,"NO",SUM(X21:X23))</f>
        <v>0.74142720278005969</v>
      </c>
      <c r="Y20" s="3173"/>
      <c r="Z20" s="3457"/>
    </row>
    <row r="21" spans="2:26" ht="18" customHeight="1" x14ac:dyDescent="0.2">
      <c r="B21" s="2647" t="s">
        <v>2196</v>
      </c>
      <c r="C21" s="3495">
        <f>Table3.A!C21</f>
        <v>2733.19</v>
      </c>
      <c r="D21" s="3307">
        <v>130.38807921381758</v>
      </c>
      <c r="E21" s="3494">
        <f>'Table3.B(a)'!G21</f>
        <v>464.95755176843801</v>
      </c>
      <c r="F21" s="3479">
        <v>31776992.687422398</v>
      </c>
      <c r="G21" s="3479" t="s">
        <v>2146</v>
      </c>
      <c r="H21" s="3479">
        <v>7399471.0932841096</v>
      </c>
      <c r="I21" s="3479">
        <v>8556589.997854365</v>
      </c>
      <c r="J21" s="3479" t="s">
        <v>2146</v>
      </c>
      <c r="K21" s="3479" t="s">
        <v>2153</v>
      </c>
      <c r="L21" s="3479" t="s">
        <v>2146</v>
      </c>
      <c r="M21" s="3479">
        <v>308642340.44785303</v>
      </c>
      <c r="N21" s="3479" t="s">
        <v>2146</v>
      </c>
      <c r="O21" s="3479" t="s">
        <v>2146</v>
      </c>
      <c r="P21" s="3479" t="s">
        <v>2146</v>
      </c>
      <c r="Q21" s="3479" t="s">
        <v>2146</v>
      </c>
      <c r="R21" s="3482">
        <f t="shared" ref="R21:R45" si="8">IF(SUM(F21:Q21)=0,"NO",SUM(F21:Q21))</f>
        <v>356375394.22641391</v>
      </c>
      <c r="S21" s="2657"/>
      <c r="T21" s="2658"/>
      <c r="U21" s="3456">
        <f t="shared" si="4"/>
        <v>2.459775938853187E-2</v>
      </c>
      <c r="V21" s="3454"/>
      <c r="W21" s="3455"/>
      <c r="X21" s="3315">
        <v>6.7230349983141424E-2</v>
      </c>
      <c r="Y21" s="3173"/>
      <c r="Z21" s="3457"/>
    </row>
    <row r="22" spans="2:26" ht="18" customHeight="1" x14ac:dyDescent="0.2">
      <c r="B22" s="2647" t="s">
        <v>2197</v>
      </c>
      <c r="C22" s="3495">
        <f>Table3.A!C22</f>
        <v>24912.824000000001</v>
      </c>
      <c r="D22" s="3307">
        <v>35.072500798762263</v>
      </c>
      <c r="E22" s="3494">
        <f>'Table3.B(a)'!G22</f>
        <v>364.10256643430699</v>
      </c>
      <c r="F22" s="3483" t="s">
        <v>2146</v>
      </c>
      <c r="G22" s="3479" t="s">
        <v>2146</v>
      </c>
      <c r="H22" s="3483" t="s">
        <v>2146</v>
      </c>
      <c r="I22" s="3483" t="s">
        <v>2146</v>
      </c>
      <c r="J22" s="3483" t="s">
        <v>2146</v>
      </c>
      <c r="K22" s="3483" t="s">
        <v>2146</v>
      </c>
      <c r="L22" s="3483" t="s">
        <v>2146</v>
      </c>
      <c r="M22" s="3483">
        <v>873755030.70619297</v>
      </c>
      <c r="N22" s="3483" t="s">
        <v>2146</v>
      </c>
      <c r="O22" s="3483" t="s">
        <v>2146</v>
      </c>
      <c r="P22" s="3483" t="s">
        <v>2146</v>
      </c>
      <c r="Q22" s="3483" t="s">
        <v>2146</v>
      </c>
      <c r="R22" s="3482">
        <f t="shared" si="8"/>
        <v>873755030.70619297</v>
      </c>
      <c r="S22" s="2657"/>
      <c r="T22" s="2658"/>
      <c r="U22" s="3456" t="str">
        <f>IF(SUM(X22)=0,"NA",X22*1000/C22)</f>
        <v>NA</v>
      </c>
      <c r="V22" s="3454"/>
      <c r="W22" s="3455"/>
      <c r="X22" s="3315" t="s">
        <v>2147</v>
      </c>
      <c r="Y22" s="3173"/>
      <c r="Z22" s="3457"/>
    </row>
    <row r="23" spans="2:26" ht="18" customHeight="1" x14ac:dyDescent="0.2">
      <c r="B23" s="2647" t="s">
        <v>2198</v>
      </c>
      <c r="C23" s="3495">
        <f>Table3.A!C23</f>
        <v>772.40800000000002</v>
      </c>
      <c r="D23" s="3307">
        <v>70.776950942183063</v>
      </c>
      <c r="E23" s="3494">
        <f>'Table3.B(a)'!G23</f>
        <v>524.737040340965</v>
      </c>
      <c r="F23" s="3483">
        <v>984036.30215392495</v>
      </c>
      <c r="G23" s="3479" t="s">
        <v>2146</v>
      </c>
      <c r="H23" s="3483" t="s">
        <v>2146</v>
      </c>
      <c r="I23" s="3483" t="s">
        <v>2153</v>
      </c>
      <c r="J23" s="3483" t="s">
        <v>2153</v>
      </c>
      <c r="K23" s="3483">
        <v>65786325.594730914</v>
      </c>
      <c r="L23" s="3483">
        <v>7823525.9515913315</v>
      </c>
      <c r="M23" s="3483" t="s">
        <v>2146</v>
      </c>
      <c r="N23" s="3483">
        <v>7823525.9515913315</v>
      </c>
      <c r="O23" s="3483" t="s">
        <v>2146</v>
      </c>
      <c r="P23" s="3483" t="s">
        <v>2146</v>
      </c>
      <c r="Q23" s="3483" t="s">
        <v>2146</v>
      </c>
      <c r="R23" s="3482">
        <f t="shared" si="8"/>
        <v>82417413.800067499</v>
      </c>
      <c r="S23" s="2657"/>
      <c r="T23" s="2658"/>
      <c r="U23" s="3456">
        <f t="shared" ref="U23:U30" si="9">IF(SUM(X23)=0,"NA",X23*1000/C23)</f>
        <v>0.87285068616187078</v>
      </c>
      <c r="V23" s="3454"/>
      <c r="W23" s="3455"/>
      <c r="X23" s="3315">
        <v>0.67419685279691832</v>
      </c>
      <c r="Y23" s="3173"/>
      <c r="Z23" s="3457"/>
    </row>
    <row r="24" spans="2:26" ht="18" customHeight="1" x14ac:dyDescent="0.2">
      <c r="B24" s="351" t="s">
        <v>811</v>
      </c>
      <c r="C24" s="3314">
        <f>C25</f>
        <v>74721.553</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515509091.001445</v>
      </c>
      <c r="N24" s="2649" t="str">
        <f t="shared" si="10"/>
        <v>NO</v>
      </c>
      <c r="O24" s="2649" t="str">
        <f t="shared" si="10"/>
        <v>NO</v>
      </c>
      <c r="P24" s="2649" t="str">
        <f t="shared" si="10"/>
        <v>NO</v>
      </c>
      <c r="Q24" s="2649" t="str">
        <f t="shared" si="10"/>
        <v>NO</v>
      </c>
      <c r="R24" s="3482">
        <f t="shared" si="8"/>
        <v>515509091.001445</v>
      </c>
      <c r="S24" s="2657"/>
      <c r="T24" s="2658"/>
      <c r="U24" s="3456" t="str">
        <f t="shared" si="9"/>
        <v>NA</v>
      </c>
      <c r="V24" s="3454"/>
      <c r="W24" s="3455"/>
      <c r="X24" s="3314" t="str">
        <f t="shared" ref="X24:X25" si="11">X25</f>
        <v>NA</v>
      </c>
      <c r="Y24" s="3173"/>
      <c r="Z24" s="3457"/>
    </row>
    <row r="25" spans="2:26" ht="18" customHeight="1" x14ac:dyDescent="0.2">
      <c r="B25" s="350" t="s">
        <v>812</v>
      </c>
      <c r="C25" s="3314">
        <f>C26</f>
        <v>74721.553</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515509091.001445</v>
      </c>
      <c r="N25" s="2649" t="str">
        <f t="shared" si="10"/>
        <v>NO</v>
      </c>
      <c r="O25" s="2649" t="str">
        <f t="shared" si="10"/>
        <v>NO</v>
      </c>
      <c r="P25" s="2649" t="str">
        <f t="shared" si="10"/>
        <v>NO</v>
      </c>
      <c r="Q25" s="2649" t="str">
        <f t="shared" si="10"/>
        <v>NO</v>
      </c>
      <c r="R25" s="3482">
        <f t="shared" si="8"/>
        <v>515509091.001445</v>
      </c>
      <c r="S25" s="2657"/>
      <c r="T25" s="2658"/>
      <c r="U25" s="3456" t="str">
        <f t="shared" si="9"/>
        <v>NA</v>
      </c>
      <c r="V25" s="3454"/>
      <c r="W25" s="3455"/>
      <c r="X25" s="3314" t="str">
        <f t="shared" si="11"/>
        <v>NA</v>
      </c>
      <c r="Y25" s="3173"/>
      <c r="Z25" s="3457"/>
    </row>
    <row r="26" spans="2:26" ht="18" customHeight="1" x14ac:dyDescent="0.2">
      <c r="B26" s="2642" t="s">
        <v>2201</v>
      </c>
      <c r="C26" s="3495">
        <f>Table3.A!C26</f>
        <v>74721.553</v>
      </c>
      <c r="D26" s="3307">
        <v>6.899068211302362</v>
      </c>
      <c r="E26" s="3494">
        <f>'Table3.B(a)'!G26</f>
        <v>44.396505273479299</v>
      </c>
      <c r="F26" s="3483" t="s">
        <v>2146</v>
      </c>
      <c r="G26" s="3479" t="s">
        <v>2146</v>
      </c>
      <c r="H26" s="3483" t="s">
        <v>2146</v>
      </c>
      <c r="I26" s="3483" t="s">
        <v>2146</v>
      </c>
      <c r="J26" s="3483" t="s">
        <v>2146</v>
      </c>
      <c r="K26" s="3483" t="s">
        <v>2146</v>
      </c>
      <c r="L26" s="3483" t="s">
        <v>2146</v>
      </c>
      <c r="M26" s="3479">
        <v>515509091.001445</v>
      </c>
      <c r="N26" s="3483" t="s">
        <v>2146</v>
      </c>
      <c r="O26" s="3483" t="s">
        <v>2146</v>
      </c>
      <c r="P26" s="3483" t="s">
        <v>2146</v>
      </c>
      <c r="Q26" s="3483" t="s">
        <v>2146</v>
      </c>
      <c r="R26" s="3482">
        <f t="shared" si="8"/>
        <v>515509091.001445</v>
      </c>
      <c r="S26" s="2657"/>
      <c r="T26" s="2658"/>
      <c r="U26" s="3456" t="str">
        <f t="shared" si="9"/>
        <v>NA</v>
      </c>
      <c r="V26" s="3454"/>
      <c r="W26" s="3455"/>
      <c r="X26" s="3315" t="s">
        <v>2147</v>
      </c>
      <c r="Y26" s="3173"/>
      <c r="Z26" s="3457"/>
    </row>
    <row r="27" spans="2:26" ht="18" customHeight="1" x14ac:dyDescent="0.2">
      <c r="B27" s="351" t="s">
        <v>814</v>
      </c>
      <c r="C27" s="3314">
        <f>C28</f>
        <v>2137.922</v>
      </c>
      <c r="D27" s="3492"/>
      <c r="E27" s="3492"/>
      <c r="F27" s="2649">
        <f>F28</f>
        <v>18353138.3400888</v>
      </c>
      <c r="G27" s="2649" t="str">
        <f t="shared" ref="G27:G28" si="12">G28</f>
        <v>NO</v>
      </c>
      <c r="H27" s="2649" t="str">
        <f t="shared" ref="H27:H28" si="13">H28</f>
        <v>NO</v>
      </c>
      <c r="I27" s="2649" t="str">
        <f t="shared" ref="I27:I28" si="14">I28</f>
        <v>IE</v>
      </c>
      <c r="J27" s="2649" t="str">
        <f t="shared" ref="J27:J28" si="15">J28</f>
        <v>IE</v>
      </c>
      <c r="K27" s="2649">
        <f t="shared" ref="K27:K28" si="16">K28</f>
        <v>6673073.436221608</v>
      </c>
      <c r="L27" s="2649" t="str">
        <f t="shared" ref="L27:L28" si="17">L28</f>
        <v>IE</v>
      </c>
      <c r="M27" s="2649" t="str">
        <f t="shared" ref="M27:M28" si="18">M28</f>
        <v>NO</v>
      </c>
      <c r="N27" s="2649" t="str">
        <f t="shared" ref="N27:N28" si="19">N28</f>
        <v>NO</v>
      </c>
      <c r="O27" s="2649">
        <f t="shared" ref="O27:O28" si="20">O28</f>
        <v>1559598.58561975</v>
      </c>
      <c r="P27" s="2649" t="str">
        <f t="shared" ref="P27:P28" si="21">P28</f>
        <v>NO</v>
      </c>
      <c r="Q27" s="2649">
        <f t="shared" ref="Q27:Q28" si="22">Q28</f>
        <v>5983068.5257897098</v>
      </c>
      <c r="R27" s="3482">
        <f t="shared" si="8"/>
        <v>32568878.88771987</v>
      </c>
      <c r="S27" s="2657"/>
      <c r="T27" s="2658"/>
      <c r="U27" s="3456">
        <f t="shared" si="9"/>
        <v>8.0940488856262843E-2</v>
      </c>
      <c r="V27" s="3454"/>
      <c r="W27" s="3455"/>
      <c r="X27" s="3314">
        <f t="shared" ref="X27:X28" si="23">X28</f>
        <v>0.17304445181655917</v>
      </c>
      <c r="Y27" s="3173"/>
      <c r="Z27" s="3457"/>
    </row>
    <row r="28" spans="2:26" ht="18" customHeight="1" x14ac:dyDescent="0.2">
      <c r="B28" s="350" t="s">
        <v>815</v>
      </c>
      <c r="C28" s="3314">
        <f>C29</f>
        <v>2137.922</v>
      </c>
      <c r="D28" s="3492"/>
      <c r="E28" s="3492"/>
      <c r="F28" s="2649">
        <f>F29</f>
        <v>18353138.3400888</v>
      </c>
      <c r="G28" s="2649" t="str">
        <f t="shared" si="12"/>
        <v>NO</v>
      </c>
      <c r="H28" s="2649" t="str">
        <f t="shared" si="13"/>
        <v>NO</v>
      </c>
      <c r="I28" s="2649" t="str">
        <f t="shared" si="14"/>
        <v>IE</v>
      </c>
      <c r="J28" s="2649" t="str">
        <f t="shared" si="15"/>
        <v>IE</v>
      </c>
      <c r="K28" s="2649">
        <f t="shared" si="16"/>
        <v>6673073.436221608</v>
      </c>
      <c r="L28" s="2649" t="str">
        <f t="shared" si="17"/>
        <v>IE</v>
      </c>
      <c r="M28" s="2649" t="str">
        <f t="shared" si="18"/>
        <v>NO</v>
      </c>
      <c r="N28" s="2649" t="str">
        <f t="shared" si="19"/>
        <v>NO</v>
      </c>
      <c r="O28" s="2649">
        <f t="shared" si="20"/>
        <v>1559598.58561975</v>
      </c>
      <c r="P28" s="2649" t="str">
        <f t="shared" si="21"/>
        <v>NO</v>
      </c>
      <c r="Q28" s="2649">
        <f t="shared" si="22"/>
        <v>5983068.5257897098</v>
      </c>
      <c r="R28" s="3482">
        <f t="shared" si="8"/>
        <v>32568878.88771987</v>
      </c>
      <c r="S28" s="2657"/>
      <c r="T28" s="2658"/>
      <c r="U28" s="3456">
        <f t="shared" si="9"/>
        <v>8.0940488856262843E-2</v>
      </c>
      <c r="V28" s="3454"/>
      <c r="W28" s="3455"/>
      <c r="X28" s="3314">
        <f t="shared" si="23"/>
        <v>0.17304445181655917</v>
      </c>
      <c r="Y28" s="3173"/>
      <c r="Z28" s="3457"/>
    </row>
    <row r="29" spans="2:26" ht="18" customHeight="1" x14ac:dyDescent="0.2">
      <c r="B29" s="2642" t="s">
        <v>817</v>
      </c>
      <c r="C29" s="3495">
        <f>Table3.A!C29</f>
        <v>2137.922</v>
      </c>
      <c r="D29" s="3307">
        <v>12.221542448699157</v>
      </c>
      <c r="E29" s="3494">
        <f>'Table3.B(a)'!G29</f>
        <v>57.431953309151801</v>
      </c>
      <c r="F29" s="3479">
        <v>18353138.3400888</v>
      </c>
      <c r="G29" s="3479" t="s">
        <v>2146</v>
      </c>
      <c r="H29" s="3479" t="s">
        <v>2146</v>
      </c>
      <c r="I29" s="3479" t="s">
        <v>2153</v>
      </c>
      <c r="J29" s="3479" t="s">
        <v>2153</v>
      </c>
      <c r="K29" s="3479">
        <v>6673073.436221608</v>
      </c>
      <c r="L29" s="3479" t="s">
        <v>2153</v>
      </c>
      <c r="M29" s="3479" t="s">
        <v>2146</v>
      </c>
      <c r="N29" s="3479" t="s">
        <v>2146</v>
      </c>
      <c r="O29" s="3479">
        <v>1559598.58561975</v>
      </c>
      <c r="P29" s="3479" t="s">
        <v>2146</v>
      </c>
      <c r="Q29" s="3479">
        <v>5983068.5257897098</v>
      </c>
      <c r="R29" s="3482">
        <f t="shared" si="8"/>
        <v>32568878.88771987</v>
      </c>
      <c r="S29" s="2657"/>
      <c r="T29" s="2658"/>
      <c r="U29" s="3456">
        <f t="shared" si="9"/>
        <v>8.0940488856262843E-2</v>
      </c>
      <c r="V29" s="3454"/>
      <c r="W29" s="3455"/>
      <c r="X29" s="3315">
        <v>0.17304445181655917</v>
      </c>
      <c r="Y29" s="3173"/>
      <c r="Z29" s="3457"/>
    </row>
    <row r="30" spans="2:26" ht="18" customHeight="1" x14ac:dyDescent="0.2">
      <c r="B30" s="351" t="s">
        <v>861</v>
      </c>
      <c r="C30" s="3314">
        <f>IF(SUM(C32:C39)=0,"NO",SUM(C32:C39))</f>
        <v>87449.487999999998</v>
      </c>
      <c r="D30" s="3492"/>
      <c r="E30" s="3492"/>
      <c r="F30" s="2649" t="str">
        <f>IF(SUM(F32:F39)=0,"NO",SUM(F32:F39))</f>
        <v>NO</v>
      </c>
      <c r="G30" s="2649" t="str">
        <f t="shared" ref="G30:Q30" si="24">IF(SUM(G32:G39)=0,"NO",SUM(G32:G39))</f>
        <v>NO</v>
      </c>
      <c r="H30" s="2649" t="str">
        <f t="shared" si="24"/>
        <v>NO</v>
      </c>
      <c r="I30" s="2649">
        <f t="shared" si="24"/>
        <v>20432302.029669821</v>
      </c>
      <c r="J30" s="2649" t="str">
        <f t="shared" si="24"/>
        <v>NO</v>
      </c>
      <c r="K30" s="2649" t="str">
        <f t="shared" si="24"/>
        <v>NO</v>
      </c>
      <c r="L30" s="2649" t="str">
        <f t="shared" si="24"/>
        <v>NO</v>
      </c>
      <c r="M30" s="2649">
        <f t="shared" si="24"/>
        <v>17056230.020955019</v>
      </c>
      <c r="N30" s="2649">
        <f t="shared" si="24"/>
        <v>8980336.0505385492</v>
      </c>
      <c r="O30" s="2649">
        <f t="shared" si="24"/>
        <v>102221.94495674899</v>
      </c>
      <c r="P30" s="2649" t="str">
        <f t="shared" si="24"/>
        <v>NO</v>
      </c>
      <c r="Q30" s="2649">
        <f t="shared" si="24"/>
        <v>55641174.980617002</v>
      </c>
      <c r="R30" s="3482">
        <f t="shared" si="8"/>
        <v>102212265.02673714</v>
      </c>
      <c r="S30" s="2657"/>
      <c r="T30" s="2658"/>
      <c r="U30" s="3456">
        <f t="shared" si="9"/>
        <v>4.4493709850910368E-3</v>
      </c>
      <c r="V30" s="3454"/>
      <c r="W30" s="3455"/>
      <c r="X30" s="3314">
        <f t="shared" ref="X30" si="25">IF(SUM(X32:X39)=0,"NO",SUM(X32:X39))</f>
        <v>0.38909521456826679</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5.0890000000000004</v>
      </c>
      <c r="D32" s="3307">
        <v>39.5</v>
      </c>
      <c r="E32" s="3494" t="str">
        <f>'Table3.B(a)'!G32</f>
        <v>NA</v>
      </c>
      <c r="F32" s="3479" t="s">
        <v>2146</v>
      </c>
      <c r="G32" s="3479" t="s">
        <v>2146</v>
      </c>
      <c r="H32" s="3479" t="s">
        <v>2146</v>
      </c>
      <c r="I32" s="3479" t="s">
        <v>2146</v>
      </c>
      <c r="J32" s="3479" t="s">
        <v>2146</v>
      </c>
      <c r="K32" s="3479" t="s">
        <v>2146</v>
      </c>
      <c r="L32" s="3479" t="s">
        <v>2146</v>
      </c>
      <c r="M32" s="3479">
        <v>201017.92767671781</v>
      </c>
      <c r="N32" s="3479" t="s">
        <v>2146</v>
      </c>
      <c r="O32" s="3479" t="s">
        <v>2146</v>
      </c>
      <c r="P32" s="3479" t="s">
        <v>2146</v>
      </c>
      <c r="Q32" s="3479" t="s">
        <v>2146</v>
      </c>
      <c r="R32" s="3482">
        <f t="shared" si="8"/>
        <v>201017.92767671781</v>
      </c>
      <c r="S32" s="2657"/>
      <c r="T32" s="2658"/>
      <c r="U32" s="3456" t="str">
        <f>IF(SUM(X32)=0,"NA",X32*1000/C32)</f>
        <v>NA</v>
      </c>
      <c r="V32" s="3454"/>
      <c r="W32" s="3455"/>
      <c r="X32" s="3315" t="s">
        <v>2147</v>
      </c>
      <c r="Y32" s="3173"/>
      <c r="Z32" s="3457"/>
    </row>
    <row r="33" spans="2:26" ht="18" customHeight="1" x14ac:dyDescent="0.2">
      <c r="B33" s="350" t="s">
        <v>819</v>
      </c>
      <c r="C33" s="3495">
        <f>Table3.A!C33</f>
        <v>3.2629999999999999</v>
      </c>
      <c r="D33" s="3307">
        <v>39.5</v>
      </c>
      <c r="E33" s="3494" t="str">
        <f>'Table3.B(a)'!G33</f>
        <v>NA</v>
      </c>
      <c r="F33" s="3479" t="s">
        <v>2146</v>
      </c>
      <c r="G33" s="3479" t="s">
        <v>2146</v>
      </c>
      <c r="H33" s="3479" t="s">
        <v>2146</v>
      </c>
      <c r="I33" s="3479" t="s">
        <v>2146</v>
      </c>
      <c r="J33" s="3479" t="s">
        <v>2146</v>
      </c>
      <c r="K33" s="3479" t="s">
        <v>2146</v>
      </c>
      <c r="L33" s="3479" t="s">
        <v>2146</v>
      </c>
      <c r="M33" s="3479">
        <v>128895.82595222098</v>
      </c>
      <c r="N33" s="3479" t="s">
        <v>2146</v>
      </c>
      <c r="O33" s="3479" t="s">
        <v>2146</v>
      </c>
      <c r="P33" s="3479" t="s">
        <v>2146</v>
      </c>
      <c r="Q33" s="3479" t="s">
        <v>2146</v>
      </c>
      <c r="R33" s="3482">
        <f t="shared" si="8"/>
        <v>128895.82595222098</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38.395000000000003</v>
      </c>
      <c r="D34" s="3307">
        <v>13.2</v>
      </c>
      <c r="E34" s="3494" t="str">
        <f>'Table3.B(a)'!G34</f>
        <v>NA</v>
      </c>
      <c r="F34" s="3479" t="s">
        <v>2146</v>
      </c>
      <c r="G34" s="3479" t="s">
        <v>2146</v>
      </c>
      <c r="H34" s="3479" t="s">
        <v>2146</v>
      </c>
      <c r="I34" s="3479" t="s">
        <v>2146</v>
      </c>
      <c r="J34" s="3479" t="s">
        <v>2146</v>
      </c>
      <c r="K34" s="3479" t="s">
        <v>2146</v>
      </c>
      <c r="L34" s="3479" t="s">
        <v>2146</v>
      </c>
      <c r="M34" s="3479">
        <v>506816.64752187626</v>
      </c>
      <c r="N34" s="3479" t="s">
        <v>2146</v>
      </c>
      <c r="O34" s="3479" t="s">
        <v>2146</v>
      </c>
      <c r="P34" s="3479" t="s">
        <v>2146</v>
      </c>
      <c r="Q34" s="3479" t="s">
        <v>2146</v>
      </c>
      <c r="R34" s="3482">
        <f t="shared" si="8"/>
        <v>506816.64752187626</v>
      </c>
      <c r="S34" s="2657"/>
      <c r="T34" s="2658"/>
      <c r="U34" s="3456" t="str">
        <f t="shared" si="26"/>
        <v>NA</v>
      </c>
      <c r="V34" s="3454"/>
      <c r="W34" s="3455"/>
      <c r="X34" s="3315" t="s">
        <v>2147</v>
      </c>
      <c r="Y34" s="3173"/>
      <c r="Z34" s="3457"/>
    </row>
    <row r="35" spans="2:26" ht="18" customHeight="1" x14ac:dyDescent="0.2">
      <c r="B35" s="350" t="s">
        <v>821</v>
      </c>
      <c r="C35" s="3495">
        <f>Table3.A!C35</f>
        <v>516.14300000000003</v>
      </c>
      <c r="D35" s="3307">
        <v>7</v>
      </c>
      <c r="E35" s="3494" t="str">
        <f>'Table3.B(a)'!G35</f>
        <v>NA</v>
      </c>
      <c r="F35" s="3479" t="s">
        <v>2146</v>
      </c>
      <c r="G35" s="3479" t="s">
        <v>2146</v>
      </c>
      <c r="H35" s="3479" t="s">
        <v>2146</v>
      </c>
      <c r="I35" s="3479" t="s">
        <v>2146</v>
      </c>
      <c r="J35" s="3479" t="s">
        <v>2146</v>
      </c>
      <c r="K35" s="3479" t="s">
        <v>2146</v>
      </c>
      <c r="L35" s="3479" t="s">
        <v>2146</v>
      </c>
      <c r="M35" s="3479">
        <v>3613000.9999999995</v>
      </c>
      <c r="N35" s="3479" t="s">
        <v>2146</v>
      </c>
      <c r="O35" s="3479" t="s">
        <v>2146</v>
      </c>
      <c r="P35" s="3479" t="s">
        <v>2146</v>
      </c>
      <c r="Q35" s="3479" t="s">
        <v>2146</v>
      </c>
      <c r="R35" s="3482">
        <f t="shared" si="8"/>
        <v>3613000.9999999995</v>
      </c>
      <c r="S35" s="2657"/>
      <c r="T35" s="2658"/>
      <c r="U35" s="3456" t="str">
        <f t="shared" si="26"/>
        <v>NA</v>
      </c>
      <c r="V35" s="3454"/>
      <c r="W35" s="3455"/>
      <c r="X35" s="3315" t="s">
        <v>2147</v>
      </c>
      <c r="Y35" s="3173"/>
      <c r="Z35" s="3457"/>
    </row>
    <row r="36" spans="2:26" ht="18" customHeight="1" x14ac:dyDescent="0.2">
      <c r="B36" s="350" t="s">
        <v>822</v>
      </c>
      <c r="C36" s="3495">
        <f>Table3.A!C36</f>
        <v>254.21799999999999</v>
      </c>
      <c r="D36" s="3307">
        <v>39.5</v>
      </c>
      <c r="E36" s="3494" t="str">
        <f>'Table3.B(a)'!G36</f>
        <v>NA</v>
      </c>
      <c r="F36" s="3479" t="s">
        <v>2146</v>
      </c>
      <c r="G36" s="3479" t="s">
        <v>2146</v>
      </c>
      <c r="H36" s="3479" t="s">
        <v>2146</v>
      </c>
      <c r="I36" s="3479" t="s">
        <v>2146</v>
      </c>
      <c r="J36" s="3479" t="s">
        <v>2146</v>
      </c>
      <c r="K36" s="3479" t="s">
        <v>2146</v>
      </c>
      <c r="L36" s="3479" t="s">
        <v>2146</v>
      </c>
      <c r="M36" s="3479">
        <v>10041593.446198288</v>
      </c>
      <c r="N36" s="3479" t="s">
        <v>2146</v>
      </c>
      <c r="O36" s="3479" t="s">
        <v>2146</v>
      </c>
      <c r="P36" s="3479" t="s">
        <v>2146</v>
      </c>
      <c r="Q36" s="3479" t="s">
        <v>2146</v>
      </c>
      <c r="R36" s="3482">
        <f t="shared" si="8"/>
        <v>10041593.446198288</v>
      </c>
      <c r="S36" s="2657"/>
      <c r="T36" s="2658"/>
      <c r="U36" s="3456" t="str">
        <f t="shared" si="26"/>
        <v>NA</v>
      </c>
      <c r="V36" s="3454"/>
      <c r="W36" s="3455"/>
      <c r="X36" s="3315" t="s">
        <v>2147</v>
      </c>
      <c r="Y36" s="3173"/>
      <c r="Z36" s="3457"/>
    </row>
    <row r="37" spans="2:26" ht="18" customHeight="1" x14ac:dyDescent="0.2">
      <c r="B37" s="350" t="s">
        <v>862</v>
      </c>
      <c r="C37" s="3495">
        <f>Table3.A!C37</f>
        <v>0.86099999999999999</v>
      </c>
      <c r="D37" s="3307">
        <v>13.2</v>
      </c>
      <c r="E37" s="3494" t="str">
        <f>'Table3.B(a)'!G37</f>
        <v>NA</v>
      </c>
      <c r="F37" s="3479" t="s">
        <v>2146</v>
      </c>
      <c r="G37" s="3479" t="s">
        <v>2146</v>
      </c>
      <c r="H37" s="3479" t="s">
        <v>2146</v>
      </c>
      <c r="I37" s="3479" t="s">
        <v>2146</v>
      </c>
      <c r="J37" s="3479" t="s">
        <v>2146</v>
      </c>
      <c r="K37" s="3479" t="s">
        <v>2146</v>
      </c>
      <c r="L37" s="3479" t="s">
        <v>2146</v>
      </c>
      <c r="M37" s="3479">
        <v>11367.290067843505</v>
      </c>
      <c r="N37" s="3479" t="s">
        <v>2146</v>
      </c>
      <c r="O37" s="3479" t="s">
        <v>2146</v>
      </c>
      <c r="P37" s="3479" t="s">
        <v>2146</v>
      </c>
      <c r="Q37" s="3479" t="s">
        <v>2146</v>
      </c>
      <c r="R37" s="3482">
        <f t="shared" si="8"/>
        <v>11367.290067843505</v>
      </c>
      <c r="S37" s="2657"/>
      <c r="T37" s="2658"/>
      <c r="U37" s="3456" t="str">
        <f t="shared" si="26"/>
        <v>NA</v>
      </c>
      <c r="V37" s="3454"/>
      <c r="W37" s="3455"/>
      <c r="X37" s="3315" t="s">
        <v>2147</v>
      </c>
      <c r="Y37" s="3173"/>
      <c r="Z37" s="3457"/>
    </row>
    <row r="38" spans="2:26" ht="18" customHeight="1" x14ac:dyDescent="0.2">
      <c r="B38" s="350" t="s">
        <v>824</v>
      </c>
      <c r="C38" s="3495">
        <f>Table3.A!C38</f>
        <v>86489.834000000003</v>
      </c>
      <c r="D38" s="3307">
        <v>0.66138310481096996</v>
      </c>
      <c r="E38" s="3494" t="str">
        <f>'Table3.B(a)'!G38</f>
        <v>NA</v>
      </c>
      <c r="F38" s="3479" t="s">
        <v>2146</v>
      </c>
      <c r="G38" s="3479" t="s">
        <v>2146</v>
      </c>
      <c r="H38" s="3479" t="s">
        <v>2146</v>
      </c>
      <c r="I38" s="3479">
        <v>20432302.029669821</v>
      </c>
      <c r="J38" s="3479" t="s">
        <v>2153</v>
      </c>
      <c r="K38" s="3479" t="s">
        <v>2153</v>
      </c>
      <c r="L38" s="3479" t="s">
        <v>2153</v>
      </c>
      <c r="M38" s="3479">
        <v>1561739.6990012</v>
      </c>
      <c r="N38" s="3479">
        <v>8980336.0505385492</v>
      </c>
      <c r="O38" s="3479">
        <v>102221.94495674899</v>
      </c>
      <c r="P38" s="3479" t="s">
        <v>2146</v>
      </c>
      <c r="Q38" s="3479">
        <v>55641174.980617002</v>
      </c>
      <c r="R38" s="3482">
        <f t="shared" si="8"/>
        <v>86717774.70478332</v>
      </c>
      <c r="S38" s="2657"/>
      <c r="T38" s="2658"/>
      <c r="U38" s="3456">
        <f t="shared" si="26"/>
        <v>4.4987392919295785E-3</v>
      </c>
      <c r="V38" s="3454"/>
      <c r="W38" s="3455"/>
      <c r="X38" s="3315">
        <v>0.38909521456826679</v>
      </c>
      <c r="Y38" s="3173"/>
      <c r="Z38" s="3457"/>
    </row>
    <row r="39" spans="2:26" ht="18" customHeight="1" x14ac:dyDescent="0.2">
      <c r="B39" s="350" t="s">
        <v>825</v>
      </c>
      <c r="C39" s="3314">
        <f>IF(SUM(C40:C44)=0,"NO",SUM(C40:C44))</f>
        <v>141.685</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991798.18453687022</v>
      </c>
      <c r="N39" s="2649" t="str">
        <f t="shared" si="27"/>
        <v>NO</v>
      </c>
      <c r="O39" s="2649" t="str">
        <f t="shared" si="27"/>
        <v>NO</v>
      </c>
      <c r="P39" s="2649" t="str">
        <f t="shared" si="27"/>
        <v>NO</v>
      </c>
      <c r="Q39" s="2649" t="str">
        <f t="shared" si="27"/>
        <v>NO</v>
      </c>
      <c r="R39" s="3482">
        <f t="shared" si="8"/>
        <v>991798.18453687022</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9.673</v>
      </c>
      <c r="D42" s="3307">
        <v>7</v>
      </c>
      <c r="E42" s="3494" t="str">
        <f>'Table3.B(a)'!G42</f>
        <v>NA</v>
      </c>
      <c r="F42" s="3479" t="s">
        <v>2146</v>
      </c>
      <c r="G42" s="3479" t="s">
        <v>2146</v>
      </c>
      <c r="H42" s="3479" t="s">
        <v>2146</v>
      </c>
      <c r="I42" s="3479" t="s">
        <v>2146</v>
      </c>
      <c r="J42" s="3479" t="s">
        <v>2146</v>
      </c>
      <c r="K42" s="3479" t="s">
        <v>2146</v>
      </c>
      <c r="L42" s="3479" t="s">
        <v>2146</v>
      </c>
      <c r="M42" s="3479">
        <v>67712.176470588194</v>
      </c>
      <c r="N42" s="3479" t="s">
        <v>2146</v>
      </c>
      <c r="O42" s="3479" t="s">
        <v>2146</v>
      </c>
      <c r="P42" s="3479" t="s">
        <v>2146</v>
      </c>
      <c r="Q42" s="3479" t="s">
        <v>2146</v>
      </c>
      <c r="R42" s="3482">
        <f t="shared" si="8"/>
        <v>67712.176470588194</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132.012</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924086.00806628203</v>
      </c>
      <c r="N44" s="2649" t="str">
        <f t="shared" si="28"/>
        <v>NO</v>
      </c>
      <c r="O44" s="2649" t="str">
        <f t="shared" si="28"/>
        <v>NO</v>
      </c>
      <c r="P44" s="2649" t="str">
        <f t="shared" si="28"/>
        <v>NO</v>
      </c>
      <c r="Q44" s="2649" t="str">
        <f t="shared" si="28"/>
        <v>NO</v>
      </c>
      <c r="R44" s="3482">
        <f t="shared" si="8"/>
        <v>924086.00806628203</v>
      </c>
      <c r="S44" s="2657"/>
      <c r="T44" s="2658"/>
      <c r="U44" s="3456" t="str">
        <f t="shared" si="26"/>
        <v>NA</v>
      </c>
      <c r="V44" s="3454"/>
      <c r="W44" s="3455"/>
      <c r="X44" s="3314" t="str">
        <f>X45</f>
        <v>NA</v>
      </c>
      <c r="Y44" s="3173"/>
      <c r="Z44" s="3457"/>
    </row>
    <row r="45" spans="2:26" ht="18" customHeight="1" x14ac:dyDescent="0.2">
      <c r="B45" s="2646" t="s">
        <v>2199</v>
      </c>
      <c r="C45" s="3495">
        <f>Table3.A!C45</f>
        <v>132.012</v>
      </c>
      <c r="D45" s="3307">
        <v>7</v>
      </c>
      <c r="E45" s="3494" t="str">
        <f>'Table3.B(a)'!G45</f>
        <v>NA</v>
      </c>
      <c r="F45" s="3479" t="s">
        <v>2146</v>
      </c>
      <c r="G45" s="3479" t="s">
        <v>2146</v>
      </c>
      <c r="H45" s="3479" t="s">
        <v>2146</v>
      </c>
      <c r="I45" s="3479" t="s">
        <v>2146</v>
      </c>
      <c r="J45" s="3479" t="s">
        <v>2146</v>
      </c>
      <c r="K45" s="3479" t="s">
        <v>2146</v>
      </c>
      <c r="L45" s="3479" t="s">
        <v>2146</v>
      </c>
      <c r="M45" s="3479">
        <v>924086.00806628203</v>
      </c>
      <c r="N45" s="3479" t="s">
        <v>2146</v>
      </c>
      <c r="O45" s="3479" t="s">
        <v>2146</v>
      </c>
      <c r="P45" s="3479" t="s">
        <v>2146</v>
      </c>
      <c r="Q45" s="3479" t="s">
        <v>2146</v>
      </c>
      <c r="R45" s="3482">
        <f t="shared" si="8"/>
        <v>924086.00806628203</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87439971.273306504</v>
      </c>
      <c r="T46" s="3447">
        <v>351239.25273479999</v>
      </c>
      <c r="U46" s="3466"/>
      <c r="V46" s="3467">
        <f>IF(SUM(S46)=0,"NA",Y46*1000000/S46)</f>
        <v>3.6732192752665736E-3</v>
      </c>
      <c r="W46" s="3468">
        <f>IF(SUM(T46)=0,"NA",Z46*1000000/T46)</f>
        <v>1.728571428571429E-2</v>
      </c>
      <c r="X46" s="3316"/>
      <c r="Y46" s="3320">
        <v>0.32118618790986492</v>
      </c>
      <c r="Z46" s="3321">
        <v>6.0714213687015437E-3</v>
      </c>
    </row>
    <row r="47" spans="2:26" ht="18" customHeight="1" x14ac:dyDescent="0.2">
      <c r="B47" s="358" t="s">
        <v>863</v>
      </c>
      <c r="C47" s="359"/>
      <c r="D47" s="359"/>
      <c r="E47" s="359"/>
      <c r="F47" s="3485">
        <f>IF(SUM(F30,F27,F24,F10)=0,"NO",SUM(F30,F27,F24,F10))</f>
        <v>51114167.329665124</v>
      </c>
      <c r="G47" s="3485" t="str">
        <f t="shared" ref="G47:Q47" si="29">IF(SUM(G30,G27,G24,G10)=0,"NO",SUM(G30,G27,G24,G10))</f>
        <v>NO</v>
      </c>
      <c r="H47" s="3485">
        <f t="shared" si="29"/>
        <v>7399471.0932841096</v>
      </c>
      <c r="I47" s="3485">
        <f t="shared" si="29"/>
        <v>28988892.027524188</v>
      </c>
      <c r="J47" s="3485" t="str">
        <f t="shared" si="29"/>
        <v>NO</v>
      </c>
      <c r="K47" s="3485">
        <f t="shared" si="29"/>
        <v>72459399.030952528</v>
      </c>
      <c r="L47" s="3485">
        <f t="shared" si="29"/>
        <v>7823525.9515913315</v>
      </c>
      <c r="M47" s="3409"/>
      <c r="N47" s="3485">
        <f t="shared" si="29"/>
        <v>16803862.002129883</v>
      </c>
      <c r="O47" s="3485">
        <f t="shared" si="29"/>
        <v>1661820.5305764989</v>
      </c>
      <c r="P47" s="3409"/>
      <c r="Q47" s="3485">
        <f t="shared" si="29"/>
        <v>61624243.50640671</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2.9751587105729241E-2</v>
      </c>
      <c r="J48" s="3486" t="str">
        <f t="shared" si="30"/>
        <v>NA</v>
      </c>
      <c r="K48" s="3486" t="str">
        <f t="shared" si="30"/>
        <v>NA</v>
      </c>
      <c r="L48" s="3486" t="str">
        <f t="shared" si="30"/>
        <v>NA</v>
      </c>
      <c r="M48" s="87"/>
      <c r="N48" s="3486">
        <f t="shared" si="30"/>
        <v>1.5714285714285826E-2</v>
      </c>
      <c r="O48" s="3486" t="str">
        <f t="shared" si="30"/>
        <v>NA</v>
      </c>
      <c r="P48" s="87"/>
      <c r="Q48" s="3486">
        <f t="shared" si="30"/>
        <v>2.8729056006361218E-3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0.86246554625546579</v>
      </c>
      <c r="J49" s="3487" t="s">
        <v>2153</v>
      </c>
      <c r="K49" s="3487" t="s">
        <v>2153</v>
      </c>
      <c r="L49" s="3487" t="s">
        <v>2153</v>
      </c>
      <c r="M49" s="3474"/>
      <c r="N49" s="3488">
        <v>0.26406068860490001</v>
      </c>
      <c r="O49" s="3488" t="s">
        <v>2147</v>
      </c>
      <c r="P49" s="3474"/>
      <c r="Q49" s="3488">
        <v>0.17704063430451999</v>
      </c>
      <c r="R49" s="1312"/>
      <c r="S49" s="1313"/>
      <c r="T49" s="1314"/>
      <c r="U49" s="3473">
        <f>X49*1000/SUM(C10,C24,C27,C30)</f>
        <v>6.763786418649771E-3</v>
      </c>
      <c r="V49" s="3474"/>
      <c r="W49" s="3475"/>
      <c r="X49" s="3319">
        <f>SUM(X10,X24,X27,X30)</f>
        <v>1.3035668691648856</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16.384973500000001</v>
      </c>
    </row>
    <row r="11" spans="1:9" ht="18" customHeight="1" x14ac:dyDescent="0.2">
      <c r="B11" s="439" t="s">
        <v>876</v>
      </c>
      <c r="C11" s="4147">
        <v>1.03115</v>
      </c>
      <c r="D11" s="243" t="s">
        <v>2146</v>
      </c>
      <c r="E11" s="283" t="s">
        <v>2146</v>
      </c>
      <c r="F11" s="2305">
        <f>IF(SUM(C11)=0,"NA",G11/C11)</f>
        <v>15.89</v>
      </c>
      <c r="G11" s="3093">
        <v>16.384973500000001</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1.03115</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33.971140180160987</v>
      </c>
      <c r="H10" s="397" t="s">
        <v>897</v>
      </c>
      <c r="I10" s="398" t="s">
        <v>898</v>
      </c>
      <c r="J10" s="399">
        <v>0.21</v>
      </c>
    </row>
    <row r="11" spans="2:10" ht="24" customHeight="1" x14ac:dyDescent="0.2">
      <c r="B11" s="2431" t="s">
        <v>1949</v>
      </c>
      <c r="C11" s="2432" t="s">
        <v>899</v>
      </c>
      <c r="D11" s="3720">
        <v>1099010.6065197741</v>
      </c>
      <c r="E11" s="3714">
        <f>IF(SUM(D11)=0,"NA",F11*1000/D11/(44/28))</f>
        <v>4.0952254690162027E-3</v>
      </c>
      <c r="F11" s="3425">
        <v>7.0725226417037081</v>
      </c>
      <c r="H11" s="397" t="s">
        <v>900</v>
      </c>
      <c r="I11" s="398" t="s">
        <v>901</v>
      </c>
      <c r="J11" s="399">
        <v>0.24</v>
      </c>
    </row>
    <row r="12" spans="2:10" ht="24" customHeight="1" thickBot="1" x14ac:dyDescent="0.25">
      <c r="B12" s="2431" t="s">
        <v>1950</v>
      </c>
      <c r="C12" s="2433" t="s">
        <v>902</v>
      </c>
      <c r="D12" s="3721">
        <f>IF(SUM(D13:D15)=0,"NO",SUM(D13:D15))</f>
        <v>103758.0916537858</v>
      </c>
      <c r="E12" s="3715">
        <f t="shared" ref="E12:E23" si="0">IF(SUM(D12)=0,"NA",F12*1000/D12/(44/28))</f>
        <v>9.0995642799654702E-3</v>
      </c>
      <c r="F12" s="3426">
        <f>IF(SUM(F13:F15)=0,"NO",SUM(F13:F15))</f>
        <v>1.4836696671816998</v>
      </c>
      <c r="H12" s="407" t="s">
        <v>903</v>
      </c>
      <c r="I12" s="408" t="s">
        <v>2147</v>
      </c>
      <c r="J12" s="2668" t="s">
        <v>2147</v>
      </c>
    </row>
    <row r="13" spans="2:10" ht="24" customHeight="1" x14ac:dyDescent="0.2">
      <c r="B13" s="2431" t="s">
        <v>904</v>
      </c>
      <c r="C13" s="2432" t="s">
        <v>905</v>
      </c>
      <c r="D13" s="3722">
        <v>93677.427513696195</v>
      </c>
      <c r="E13" s="3714">
        <f t="shared" si="0"/>
        <v>9.1102784305705925E-3</v>
      </c>
      <c r="F13" s="3425">
        <v>1.3411002743432903</v>
      </c>
      <c r="H13" s="1436" t="s">
        <v>906</v>
      </c>
      <c r="I13" s="1078"/>
      <c r="J13" s="1078"/>
    </row>
    <row r="14" spans="2:10" ht="24" customHeight="1" x14ac:dyDescent="0.2">
      <c r="B14" s="2431" t="s">
        <v>907</v>
      </c>
      <c r="C14" s="2432" t="s">
        <v>908</v>
      </c>
      <c r="D14" s="3722">
        <v>10080.664140089599</v>
      </c>
      <c r="E14" s="3714">
        <f t="shared" si="0"/>
        <v>8.9999999999999629E-3</v>
      </c>
      <c r="F14" s="3425">
        <v>0.14256939283840944</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1714962.6921764466</v>
      </c>
      <c r="E16" s="3714">
        <f t="shared" si="0"/>
        <v>3.9999999999999983E-3</v>
      </c>
      <c r="F16" s="3425">
        <v>10.779765493680518</v>
      </c>
    </row>
    <row r="17" spans="2:11" ht="24" customHeight="1" x14ac:dyDescent="0.2">
      <c r="B17" s="2431" t="s">
        <v>913</v>
      </c>
      <c r="C17" s="2432" t="s">
        <v>914</v>
      </c>
      <c r="D17" s="3722">
        <v>905453.54185519356</v>
      </c>
      <c r="E17" s="3714">
        <f t="shared" si="0"/>
        <v>1.0000000000000004E-2</v>
      </c>
      <c r="F17" s="3425">
        <v>14.228555657724474</v>
      </c>
    </row>
    <row r="18" spans="2:11" ht="24" customHeight="1" x14ac:dyDescent="0.2">
      <c r="B18" s="2431" t="s">
        <v>1951</v>
      </c>
      <c r="C18" s="2432" t="s">
        <v>915</v>
      </c>
      <c r="D18" s="3722">
        <v>101381.22904973201</v>
      </c>
      <c r="E18" s="3716">
        <f t="shared" si="0"/>
        <v>2.0000000000000022E-3</v>
      </c>
      <c r="F18" s="3427">
        <v>0.31862671987058661</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10.301573011594041</v>
      </c>
    </row>
    <row r="22" spans="2:11" ht="24" customHeight="1" x14ac:dyDescent="0.2">
      <c r="B22" s="2438" t="s">
        <v>1953</v>
      </c>
      <c r="C22" s="2432" t="s">
        <v>919</v>
      </c>
      <c r="D22" s="3722">
        <v>502722.77000154299</v>
      </c>
      <c r="E22" s="3714">
        <f t="shared" si="0"/>
        <v>2.8614793183413634E-3</v>
      </c>
      <c r="F22" s="3425">
        <v>2.2605484144865247</v>
      </c>
    </row>
    <row r="23" spans="2:11" ht="24" customHeight="1" thickBot="1" x14ac:dyDescent="0.25">
      <c r="B23" s="410" t="s">
        <v>920</v>
      </c>
      <c r="C23" s="411" t="s">
        <v>921</v>
      </c>
      <c r="D23" s="3725">
        <v>466145.48636835202</v>
      </c>
      <c r="E23" s="3719">
        <f t="shared" si="0"/>
        <v>1.0977293146331734E-2</v>
      </c>
      <c r="F23" s="3430">
        <v>8.0410245971075156</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29905009</v>
      </c>
      <c r="N9" s="4179">
        <v>8220861</v>
      </c>
      <c r="O9" s="4179">
        <v>450535</v>
      </c>
      <c r="P9" s="4180">
        <v>2238912</v>
      </c>
      <c r="Q9" s="4180">
        <v>1262031</v>
      </c>
      <c r="R9" s="4180">
        <v>107216</v>
      </c>
      <c r="S9" s="4180">
        <v>918733</v>
      </c>
      <c r="T9" s="4180">
        <v>284614</v>
      </c>
      <c r="U9" s="4180">
        <v>2678143</v>
      </c>
      <c r="V9" s="4180">
        <v>27956567.559999999</v>
      </c>
      <c r="W9" s="4180">
        <v>22629.689000000002</v>
      </c>
      <c r="X9" s="4181">
        <v>3441427</v>
      </c>
    </row>
    <row r="10" spans="2:24" ht="18" customHeight="1" thickTop="1" x14ac:dyDescent="0.2">
      <c r="B10" s="437" t="s">
        <v>947</v>
      </c>
      <c r="C10" s="376"/>
      <c r="D10" s="438"/>
      <c r="E10" s="438"/>
      <c r="F10" s="4149">
        <f>IF(SUM(F11:F14)=0,"NO",SUM(F11:F14))</f>
        <v>4180.6474552810851</v>
      </c>
      <c r="G10" s="4150">
        <f>IF(SUM($F10)=0,"NA",I10/$F10*1000)</f>
        <v>1.8843965667573546</v>
      </c>
      <c r="H10" s="4151">
        <f>IF(SUM($F10)=0,"NA",J10/$F10*1000)</f>
        <v>7.6209633634313531E-2</v>
      </c>
      <c r="I10" s="3192">
        <f>IF(SUM(I11:I14)=0,"NO",SUM(I11:I14))</f>
        <v>7.8779977115545474</v>
      </c>
      <c r="J10" s="420">
        <f>IF(SUM(J11:J14)=0,"NO",SUM(J11:J14))</f>
        <v>0.31860561092119666</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2517.1939963259001</v>
      </c>
      <c r="G11" s="4153">
        <f>IF(SUM($F11)=0,"NA",I11/$F11*1000)</f>
        <v>1.8666666666666643</v>
      </c>
      <c r="H11" s="4154">
        <f>IF(SUM($F11)=0,"NA",J11/$F11*1000)</f>
        <v>7.1657142857142767E-2</v>
      </c>
      <c r="I11" s="3326">
        <v>4.6987621264750077</v>
      </c>
      <c r="J11" s="3327">
        <v>0.18037492979386713</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585.294684100072</v>
      </c>
      <c r="G12" s="4155">
        <f t="shared" ref="G12:G28" si="0">IF(SUM($F12)=0,"NA",I12/$F12*1000)</f>
        <v>1.8666666666666683</v>
      </c>
      <c r="H12" s="4154">
        <f t="shared" ref="H12:H28" si="1">IF(SUM($F12)=0,"NA",J12/$F12*1000)</f>
        <v>8.3600000000000049E-2</v>
      </c>
      <c r="I12" s="3180">
        <v>1.092550076986802</v>
      </c>
      <c r="J12" s="3327">
        <v>4.8930635590766054E-2</v>
      </c>
      <c r="L12" s="1324" t="s">
        <v>952</v>
      </c>
      <c r="M12" s="4177">
        <v>0.1328487832877</v>
      </c>
      <c r="N12" s="4177">
        <v>0.13592886164849</v>
      </c>
      <c r="O12" s="4177">
        <v>0.13717698181365001</v>
      </c>
      <c r="P12" s="4178">
        <v>0.11470621433526999</v>
      </c>
      <c r="Q12" s="4178">
        <v>0.1243142375878</v>
      </c>
      <c r="R12" s="4178">
        <v>0.15092534462686</v>
      </c>
      <c r="S12" s="4178">
        <v>0.81499999999999995</v>
      </c>
      <c r="T12" s="4178">
        <v>0.17734393989882999</v>
      </c>
      <c r="U12" s="4178">
        <v>0.12907431511847389</v>
      </c>
      <c r="V12" s="4178">
        <v>0.40751081961508151</v>
      </c>
      <c r="W12" s="4178">
        <v>5.8633160265817601E-2</v>
      </c>
      <c r="X12" s="4152">
        <v>0.14632414526802379</v>
      </c>
    </row>
    <row r="13" spans="2:24" ht="18" customHeight="1" thickBot="1" x14ac:dyDescent="0.25">
      <c r="B13" s="439" t="s">
        <v>953</v>
      </c>
      <c r="C13" s="440" t="s">
        <v>2147</v>
      </c>
      <c r="D13" s="440" t="s">
        <v>2147</v>
      </c>
      <c r="E13" s="440" t="s">
        <v>2147</v>
      </c>
      <c r="F13" s="4152">
        <v>40.849331701174499</v>
      </c>
      <c r="G13" s="4155">
        <f t="shared" si="0"/>
        <v>1.9600000000000013</v>
      </c>
      <c r="H13" s="4154">
        <f t="shared" si="1"/>
        <v>5.9714285714285775E-2</v>
      </c>
      <c r="I13" s="3180">
        <v>8.0064690134302077E-2</v>
      </c>
      <c r="J13" s="3327">
        <v>2.4392886644415655E-3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1037.3094431539389</v>
      </c>
      <c r="G14" s="4157">
        <f t="shared" si="0"/>
        <v>1.9344476532068446</v>
      </c>
      <c r="H14" s="4158">
        <f t="shared" si="1"/>
        <v>8.3736591279861314E-2</v>
      </c>
      <c r="I14" s="3199">
        <f>IF(SUM(I15:I19)=0,"NO",SUM(I15:I19))</f>
        <v>2.0066208179584359</v>
      </c>
      <c r="J14" s="3085">
        <f>IF(SUM(J15:J19)=0,"NO",SUM(J15:J19))</f>
        <v>8.6860756872121914E-2</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147.926660975884</v>
      </c>
      <c r="G15" s="4159">
        <f t="shared" si="0"/>
        <v>1.8666666666666694</v>
      </c>
      <c r="H15" s="4160">
        <f t="shared" si="1"/>
        <v>9.554285714285729E-2</v>
      </c>
      <c r="I15" s="3328">
        <v>0.27612976715498389</v>
      </c>
      <c r="J15" s="3327">
        <v>1.4133335837238768E-2</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94.102930369355207</v>
      </c>
      <c r="G16" s="4161">
        <f t="shared" si="0"/>
        <v>1.8666666666666667</v>
      </c>
      <c r="H16" s="4162">
        <f t="shared" si="1"/>
        <v>7.165714285714285E-2</v>
      </c>
      <c r="I16" s="3329">
        <v>0.17565880335612971</v>
      </c>
      <c r="J16" s="3327">
        <v>6.7431471247526523E-3</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9.9792646923715793</v>
      </c>
      <c r="G17" s="4161">
        <f t="shared" si="0"/>
        <v>1.8666666666666665</v>
      </c>
      <c r="H17" s="4162">
        <f t="shared" si="1"/>
        <v>7.165714285714285E-2</v>
      </c>
      <c r="I17" s="3329">
        <v>1.8627960759093613E-2</v>
      </c>
      <c r="J17" s="3327">
        <v>7.150855956705119E-4</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753.31990076160002</v>
      </c>
      <c r="G18" s="4161">
        <f t="shared" si="0"/>
        <v>1.96</v>
      </c>
      <c r="H18" s="4162">
        <f t="shared" si="1"/>
        <v>8.3599999999999994E-2</v>
      </c>
      <c r="I18" s="3329">
        <v>1.4765070054927361</v>
      </c>
      <c r="J18" s="3327">
        <v>6.2977543703669758E-2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31.9806863547281</v>
      </c>
      <c r="G19" s="4161">
        <f t="shared" si="0"/>
        <v>1.8666666666666656</v>
      </c>
      <c r="H19" s="4162">
        <f t="shared" si="1"/>
        <v>7.1657142857142836E-2</v>
      </c>
      <c r="I19" s="3329">
        <v>5.9697281195492419E-2</v>
      </c>
      <c r="J19" s="3327">
        <v>2.2916446107902298E-3</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197.76737495123299</v>
      </c>
      <c r="G20" s="4165">
        <f t="shared" si="0"/>
        <v>1.8666666666666691</v>
      </c>
      <c r="H20" s="4166">
        <f t="shared" si="1"/>
        <v>0.10748571428571443</v>
      </c>
      <c r="I20" s="3220">
        <f>I21</f>
        <v>0.36916576657563538</v>
      </c>
      <c r="J20" s="449">
        <f>J21</f>
        <v>2.1257167559043985E-2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197.76737495123299</v>
      </c>
      <c r="G21" s="4168">
        <f t="shared" si="0"/>
        <v>1.8666666666666691</v>
      </c>
      <c r="H21" s="4158">
        <f t="shared" si="1"/>
        <v>0.10748571428571443</v>
      </c>
      <c r="I21" s="3199">
        <f>I22</f>
        <v>0.36916576657563538</v>
      </c>
      <c r="J21" s="3085">
        <f>J22</f>
        <v>2.1257167559043985E-2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197.76737495123299</v>
      </c>
      <c r="G22" s="4170">
        <f t="shared" si="0"/>
        <v>1.8666666666666691</v>
      </c>
      <c r="H22" s="4171">
        <f t="shared" si="1"/>
        <v>0.10748571428571443</v>
      </c>
      <c r="I22" s="3330">
        <v>0.36916576657563538</v>
      </c>
      <c r="J22" s="3331">
        <v>2.1257167559043985E-2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546.84498048</v>
      </c>
      <c r="G26" s="4175">
        <f t="shared" si="0"/>
        <v>1.8666666666666667</v>
      </c>
      <c r="H26" s="4176">
        <f t="shared" si="1"/>
        <v>5.9714285714285727E-2</v>
      </c>
      <c r="I26" s="3332">
        <v>1.0207772968960001</v>
      </c>
      <c r="J26" s="3333">
        <v>3.265445740580572E-2</v>
      </c>
      <c r="L26" s="159"/>
    </row>
    <row r="27" spans="2:24" ht="18" customHeight="1" x14ac:dyDescent="0.2">
      <c r="B27" s="446" t="s">
        <v>963</v>
      </c>
      <c r="C27" s="447"/>
      <c r="D27" s="448"/>
      <c r="E27" s="448"/>
      <c r="F27" s="4164">
        <f>IF(SUM(F28:F29)=0,"NO",SUM(F28:F29))</f>
        <v>483.19301181341717</v>
      </c>
      <c r="G27" s="4165">
        <f t="shared" si="0"/>
        <v>1.8667719726438077</v>
      </c>
      <c r="H27" s="4166">
        <f t="shared" si="1"/>
        <v>0.10758003835380886</v>
      </c>
      <c r="I27" s="3220">
        <f>IF(SUM(I28:I29)=0,"NO",SUM(I28:I29))</f>
        <v>0.90201117183063539</v>
      </c>
      <c r="J27" s="449">
        <f>IF(SUM(J28:J29)=0,"NO",SUM(J28:J29))</f>
        <v>5.1981922743179837E-2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0.54517620274014</v>
      </c>
      <c r="G28" s="4161">
        <f t="shared" si="0"/>
        <v>1.9600000000000155</v>
      </c>
      <c r="H28" s="4162">
        <f t="shared" si="1"/>
        <v>0.1910857142857158</v>
      </c>
      <c r="I28" s="3329">
        <v>1.0685453573706829E-3</v>
      </c>
      <c r="J28" s="3327">
        <v>1.0417538411217387E-4</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482.64783561067702</v>
      </c>
      <c r="G29" s="4161">
        <f t="shared" ref="G29" si="2">IF(SUM($F29)=0,"NA",I29/$F29*1000)</f>
        <v>1.8666666666666687</v>
      </c>
      <c r="H29" s="4162">
        <f t="shared" ref="H29" si="3">IF(SUM($F29)=0,"NA",J29/$F29*1000)</f>
        <v>0.10748571428571436</v>
      </c>
      <c r="I29" s="3329">
        <v>0.90094262647326473</v>
      </c>
      <c r="J29" s="3327">
        <v>5.1877747359067666E-2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924.61635380044606</v>
      </c>
    </row>
    <row r="11" spans="2:5" s="83" customFormat="1" ht="18" customHeight="1" x14ac:dyDescent="0.2">
      <c r="B11" s="1854" t="s">
        <v>972</v>
      </c>
      <c r="C11" s="4187">
        <v>2174718.3844001102</v>
      </c>
      <c r="D11" s="3594">
        <f>IF(SUM(C11)=0,"NA",E11*1000/(44/12)/C11)</f>
        <v>0.10799999999999979</v>
      </c>
      <c r="E11" s="3431">
        <v>861.18848022244197</v>
      </c>
    </row>
    <row r="12" spans="2:5" s="83" customFormat="1" ht="18" customHeight="1" x14ac:dyDescent="0.2">
      <c r="B12" s="1854" t="s">
        <v>973</v>
      </c>
      <c r="C12" s="4187">
        <v>140068.91478396201</v>
      </c>
      <c r="D12" s="3594">
        <f t="shared" ref="D12:D16" si="0">IF(SUM(C12)=0,"NA",E12*1000/(44/12)/C12)</f>
        <v>0.12349999999999996</v>
      </c>
      <c r="E12" s="3431">
        <v>63.42787357800411</v>
      </c>
    </row>
    <row r="13" spans="2:5" s="83" customFormat="1" ht="18" customHeight="1" x14ac:dyDescent="0.2">
      <c r="B13" s="846" t="s">
        <v>974</v>
      </c>
      <c r="C13" s="4188">
        <v>1527896.41858906</v>
      </c>
      <c r="D13" s="4189">
        <f t="shared" si="0"/>
        <v>0.19999999999999979</v>
      </c>
      <c r="E13" s="3432">
        <v>1120.457373631976</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2947.3699441123108</v>
      </c>
      <c r="D10" s="2989">
        <f t="shared" ref="D10:H10" si="0">IF(SUM(D11,D14,D17,D20,D23,D26,D29:D30)=0,"NO",SUM(D11,D14,D17,D20,D23,D26,D29:D30))</f>
        <v>675.42280105704401</v>
      </c>
      <c r="E10" s="2989">
        <f t="shared" si="0"/>
        <v>18.53843499245647</v>
      </c>
      <c r="F10" s="2989">
        <f t="shared" si="0"/>
        <v>917.86904428624871</v>
      </c>
      <c r="G10" s="2989">
        <f t="shared" si="0"/>
        <v>24031.112214589684</v>
      </c>
      <c r="H10" s="2990">
        <f t="shared" si="0"/>
        <v>623.36807453092717</v>
      </c>
      <c r="I10" s="2991">
        <f>IF(SUM(C10:E10)=0,"NO",SUM(C10)+28*SUM(D10)+265*SUM(E10))</f>
        <v>26771.893646710505</v>
      </c>
    </row>
    <row r="11" spans="2:9" ht="18" customHeight="1" x14ac:dyDescent="0.2">
      <c r="B11" s="473" t="s">
        <v>981</v>
      </c>
      <c r="C11" s="2992">
        <f>IF(SUM(C12:C13)=0,"NO",SUM(C12:C13))</f>
        <v>-46193.257331282068</v>
      </c>
      <c r="D11" s="2992">
        <f t="shared" ref="D11:H11" si="1">IF(SUM(D12:D13)=0,"NO",SUM(D12:D13))</f>
        <v>294.79514994922971</v>
      </c>
      <c r="E11" s="2992">
        <f t="shared" si="1"/>
        <v>6.4022581602565234</v>
      </c>
      <c r="F11" s="2992">
        <f t="shared" si="1"/>
        <v>298.98381033516569</v>
      </c>
      <c r="G11" s="2992">
        <f t="shared" si="1"/>
        <v>8105.2520849766015</v>
      </c>
      <c r="H11" s="2993">
        <f t="shared" si="1"/>
        <v>295.42385414986029</v>
      </c>
      <c r="I11" s="2994">
        <f t="shared" ref="I11:I32" si="2">IF(SUM(C11:E11)=0,"NO",SUM(C11)+28*SUM(D11)+265*SUM(E11))</f>
        <v>-36242.39472023565</v>
      </c>
    </row>
    <row r="12" spans="2:9" ht="18" customHeight="1" x14ac:dyDescent="0.2">
      <c r="B12" s="474" t="s">
        <v>982</v>
      </c>
      <c r="C12" s="2995">
        <f>IF(SUM(Table4.A!U11,'Table4(IV)'!J12)=0,"NO",SUM(Table4.A!U11,'Table4(IV)'!J12))</f>
        <v>-9160.2723439206693</v>
      </c>
      <c r="D12" s="2995">
        <f>'Table4(IV)'!K12</f>
        <v>291.04332436202947</v>
      </c>
      <c r="E12" s="2995">
        <f>IF(SUM('Table4(III)'!I12,'Table4(IV)'!L12)=0,"NO",SUM('Table4(III)'!I12,'Table4(IV)'!L12))</f>
        <v>5.7876720439570075</v>
      </c>
      <c r="F12" s="2905">
        <v>296.54985401859022</v>
      </c>
      <c r="G12" s="2905">
        <v>8011.4611857326308</v>
      </c>
      <c r="H12" s="2906">
        <v>284.37817310304331</v>
      </c>
      <c r="I12" s="2996">
        <f t="shared" si="2"/>
        <v>522.67382986476218</v>
      </c>
    </row>
    <row r="13" spans="2:9" ht="18" customHeight="1" thickBot="1" x14ac:dyDescent="0.25">
      <c r="B13" s="475" t="s">
        <v>983</v>
      </c>
      <c r="C13" s="2997">
        <f>IF(SUM(Table4.A!U16,'Table4(IV)'!J19)=0,"NO",SUM(Table4.A!U16,'Table4(IV)'!J19))</f>
        <v>-37032.9849873614</v>
      </c>
      <c r="D13" s="2997">
        <f>'Table4(IV)'!K19</f>
        <v>3.7518255872002166</v>
      </c>
      <c r="E13" s="2997">
        <f>IF(SUM('Table4(III)'!I13,'Table4(IV)'!L19)=0,"NO",SUM('Table4(III)'!I13,'Table4(IV)'!L19))</f>
        <v>0.61458611629951587</v>
      </c>
      <c r="F13" s="2908">
        <v>2.4339563165754332</v>
      </c>
      <c r="G13" s="2908">
        <v>93.790899243970458</v>
      </c>
      <c r="H13" s="2907">
        <v>11.045681046816984</v>
      </c>
      <c r="I13" s="2998">
        <f t="shared" si="2"/>
        <v>-36765.068550100419</v>
      </c>
    </row>
    <row r="14" spans="2:9" ht="18" customHeight="1" x14ac:dyDescent="0.2">
      <c r="B14" s="473" t="s">
        <v>984</v>
      </c>
      <c r="C14" s="2992">
        <f>IF(SUM(C15:C16)=0,"NO",SUM(C15:C16))</f>
        <v>3415.2845572074875</v>
      </c>
      <c r="D14" s="2992">
        <f t="shared" ref="D14" si="3">IF(SUM(D15:D16)=0,"NO",SUM(D15:D16))</f>
        <v>1.3327847999999998</v>
      </c>
      <c r="E14" s="2992">
        <f t="shared" ref="E14" si="4">IF(SUM(E15:E16)=0,"NO",SUM(E15:E16))</f>
        <v>0.1184342643430861</v>
      </c>
      <c r="F14" s="2992">
        <f t="shared" ref="F14" si="5">IF(SUM(F15:F16)=0,"NO",SUM(F15:F16))</f>
        <v>1.0035552214285715</v>
      </c>
      <c r="G14" s="2992">
        <f t="shared" ref="G14" si="6">IF(SUM(G15:G16)=0,"NO",SUM(G15:G16))</f>
        <v>39.304811000000001</v>
      </c>
      <c r="H14" s="2993">
        <f t="shared" ref="H14" si="7">IF(SUM(H15:H16)=0,"NO",SUM(H15:H16))</f>
        <v>4.751131</v>
      </c>
      <c r="I14" s="2999">
        <f t="shared" si="2"/>
        <v>3483.9876116584051</v>
      </c>
    </row>
    <row r="15" spans="2:9" ht="18" customHeight="1" x14ac:dyDescent="0.2">
      <c r="B15" s="474" t="s">
        <v>985</v>
      </c>
      <c r="C15" s="2995">
        <f>IF(SUM(Table4.B!S11,'Table4(IV)'!J26)=0,"NO",SUM(Table4.B!S11,'Table4(IV)'!J26))</f>
        <v>2520.7250503991086</v>
      </c>
      <c r="D15" s="2995" t="str">
        <f>'Table4(IV)'!K26</f>
        <v>IE</v>
      </c>
      <c r="E15" s="2995" t="str">
        <f>'Table4(IV)'!L26</f>
        <v>IE</v>
      </c>
      <c r="F15" s="2905" t="s">
        <v>2153</v>
      </c>
      <c r="G15" s="2905" t="s">
        <v>2153</v>
      </c>
      <c r="H15" s="2906" t="s">
        <v>2153</v>
      </c>
      <c r="I15" s="2996">
        <f t="shared" si="2"/>
        <v>2520.7250503991086</v>
      </c>
    </row>
    <row r="16" spans="2:9" ht="18" customHeight="1" thickBot="1" x14ac:dyDescent="0.25">
      <c r="B16" s="475" t="s">
        <v>986</v>
      </c>
      <c r="C16" s="2997">
        <f>IF(SUM(Table4.B!S13,'Table4(IV)'!J31)=0,"IE",SUM(Table4.B!S13,'Table4(IV)'!J31))</f>
        <v>894.55950680837907</v>
      </c>
      <c r="D16" s="2997">
        <f>'Table4(IV)'!K31</f>
        <v>1.3327847999999998</v>
      </c>
      <c r="E16" s="2997">
        <f>IF(SUM('Table4(III)'!I21,'Table4(IV)'!L31)=0,"IE",SUM('Table4(III)'!I21,'Table4(IV)'!L31))</f>
        <v>0.1184342643430861</v>
      </c>
      <c r="F16" s="2908">
        <v>1.0035552214285715</v>
      </c>
      <c r="G16" s="2908">
        <v>39.304811000000001</v>
      </c>
      <c r="H16" s="2907">
        <v>4.751131</v>
      </c>
      <c r="I16" s="2998">
        <f t="shared" si="2"/>
        <v>963.26256125929694</v>
      </c>
    </row>
    <row r="17" spans="2:9" ht="18" customHeight="1" x14ac:dyDescent="0.2">
      <c r="B17" s="473" t="s">
        <v>987</v>
      </c>
      <c r="C17" s="2992">
        <f>IF(SUM(C18:C19)=0,"NO",SUM(C18:C19))</f>
        <v>44536.93816305037</v>
      </c>
      <c r="D17" s="2992">
        <f t="shared" ref="D17" si="8">IF(SUM(D18:D19)=0,"NO",SUM(D18:D19))</f>
        <v>276.03722127684864</v>
      </c>
      <c r="E17" s="2992">
        <f t="shared" ref="E17" si="9">IF(SUM(E18:E19)=0,"NO",SUM(E18:E19))</f>
        <v>11.41051416476285</v>
      </c>
      <c r="F17" s="2992">
        <f t="shared" ref="F17" si="10">IF(SUM(F18:F19)=0,"NO",SUM(F18:F19))</f>
        <v>589.23854700728123</v>
      </c>
      <c r="G17" s="2992">
        <f t="shared" ref="G17" si="11">IF(SUM(G18:G19)=0,"NO",SUM(G18:G19))</f>
        <v>15178.188611392803</v>
      </c>
      <c r="H17" s="2993">
        <f t="shared" ref="H17" si="12">IF(SUM(H18:H19)=0,"NO",SUM(H18:H19))</f>
        <v>316.06074097611997</v>
      </c>
      <c r="I17" s="2999">
        <f t="shared" si="2"/>
        <v>55289.766612464286</v>
      </c>
    </row>
    <row r="18" spans="2:9" ht="18" customHeight="1" x14ac:dyDescent="0.2">
      <c r="B18" s="474" t="s">
        <v>988</v>
      </c>
      <c r="C18" s="2995">
        <f>IF(SUM(Table4.C!S11,'Table4(IV)'!J37)=0,"IE",SUM(Table4.C!S11,'Table4(IV)'!J37))</f>
        <v>1866.9306136002697</v>
      </c>
      <c r="D18" s="2995">
        <f>'Table4(IV)'!K37</f>
        <v>235.89892906389912</v>
      </c>
      <c r="E18" s="2995">
        <f>IF(SUM('Table4(III)'!I29,'Table4(IV)'!L37)=0,"NO",SUM('Table4(III)'!I29,'Table4(IV)'!L37))</f>
        <v>9.9786072237329755</v>
      </c>
      <c r="F18" s="2905">
        <v>557.79933698307536</v>
      </c>
      <c r="G18" s="2905">
        <v>13978.297869898171</v>
      </c>
      <c r="H18" s="2906">
        <v>176.98856469113878</v>
      </c>
      <c r="I18" s="2996">
        <f t="shared" si="2"/>
        <v>11116.431541678685</v>
      </c>
    </row>
    <row r="19" spans="2:9" ht="18" customHeight="1" thickBot="1" x14ac:dyDescent="0.25">
      <c r="B19" s="475" t="s">
        <v>989</v>
      </c>
      <c r="C19" s="2997">
        <f>IF(SUM(Table4.C!S15,'Table4(IV)'!J42)=0,"IE",SUM(Table4.C!S15,'Table4(IV)'!J42))</f>
        <v>42670.0075494501</v>
      </c>
      <c r="D19" s="2997">
        <f>'Table4(IV)'!K42</f>
        <v>40.13829221294953</v>
      </c>
      <c r="E19" s="2997">
        <f>IF(SUM('Table4(III)'!I30,'Table4(IV)'!L42)=0,"NO",SUM('Table4(III)'!I30,'Table4(IV)'!L42))</f>
        <v>1.4319069410298748</v>
      </c>
      <c r="F19" s="2908">
        <v>31.439210024205813</v>
      </c>
      <c r="G19" s="2908">
        <v>1199.8907414946314</v>
      </c>
      <c r="H19" s="2907">
        <v>139.07217628498117</v>
      </c>
      <c r="I19" s="2998">
        <f t="shared" si="2"/>
        <v>44173.335070785601</v>
      </c>
    </row>
    <row r="20" spans="2:9" ht="18" customHeight="1" x14ac:dyDescent="0.2">
      <c r="B20" s="473" t="s">
        <v>2027</v>
      </c>
      <c r="C20" s="2992">
        <f>IF(SUM(C21:C22)=0,"NO",SUM(C21:C22))</f>
        <v>310.34609700100651</v>
      </c>
      <c r="D20" s="2992">
        <f t="shared" ref="D20" si="13">IF(SUM(D21:D22)=0,"NO",SUM(D21:D22))</f>
        <v>101.37439143096563</v>
      </c>
      <c r="E20" s="2992">
        <f t="shared" ref="E20" si="14">IF(SUM(E21:E22)=0,"NO",SUM(E21:E22))</f>
        <v>0.36492752773778336</v>
      </c>
      <c r="F20" s="2992">
        <f t="shared" ref="F20" si="15">IF(SUM(F21:F22)=0,"NO",SUM(F21:F22))</f>
        <v>27.225086600944682</v>
      </c>
      <c r="G20" s="2992">
        <f t="shared" ref="G20" si="16">IF(SUM(G21:G22)=0,"NO",SUM(G21:G22))</f>
        <v>652.82816355361444</v>
      </c>
      <c r="H20" s="2993">
        <f t="shared" ref="H20" si="17">IF(SUM(H21:H22)=0,"NO",SUM(H21:H22))</f>
        <v>0.41889807161356923</v>
      </c>
      <c r="I20" s="2999">
        <f t="shared" si="2"/>
        <v>3245.5348519185568</v>
      </c>
    </row>
    <row r="21" spans="2:9" ht="18" customHeight="1" x14ac:dyDescent="0.2">
      <c r="B21" s="474" t="s">
        <v>990</v>
      </c>
      <c r="C21" s="2995">
        <f>IF(SUM(Table4.D!S11,'Table4(IV)'!J49)=0,"IE",SUM(Table4.D!S11,'Table4(IV)'!J49))</f>
        <v>296.91143033433985</v>
      </c>
      <c r="D21" s="2995">
        <f>IF(SUM('Table4(IV)'!K49,'Table4(II)'!J270)=0,"NO",SUM('Table4(IV)'!K49,'Table4(II)'!J270))</f>
        <v>100.29797470804897</v>
      </c>
      <c r="E21" s="2995">
        <f>IF(SUM('Table4(II)'!I270,'Table4(III)'!I38,'Table4(IV)'!L49)=0,"NO",SUM('Table4(II)'!I270,'Table4(III)'!I38,'Table4(IV)'!L49))</f>
        <v>0.36492752773778336</v>
      </c>
      <c r="F21" s="2905">
        <v>27.225086600944682</v>
      </c>
      <c r="G21" s="2905">
        <v>652.82816355361444</v>
      </c>
      <c r="H21" s="2906">
        <v>0.41889807161356923</v>
      </c>
      <c r="I21" s="2996">
        <f t="shared" si="2"/>
        <v>3201.9605170102236</v>
      </c>
    </row>
    <row r="22" spans="2:9" ht="18" customHeight="1" thickBot="1" x14ac:dyDescent="0.25">
      <c r="B22" s="475" t="s">
        <v>991</v>
      </c>
      <c r="C22" s="2997">
        <f>IF(SUM(Table4.D!S23,'Table4(II)'!H320,'Table4(IV)'!J54)=0,"NO",SUM(Table4.D!S23,'Table4(II)'!H320,'Table4(IV)'!J54))</f>
        <v>13.434666666666667</v>
      </c>
      <c r="D22" s="2997">
        <f>IF(SUM('Table4(IV)'!K54,'Table4(II)'!J320)=0,"NO",SUM('Table4(IV)'!K54,'Table4(II)'!J320))</f>
        <v>1.0764167229166668</v>
      </c>
      <c r="E22" s="2997" t="str">
        <f>IF(SUM('Table4(II)'!I320,'Table4(III)'!I39,'Table4(IV)'!L54)=0,"NO",SUM('Table4(II)'!I320,'Table4(III)'!I39,'Table4(IV)'!L54))</f>
        <v>NO</v>
      </c>
      <c r="F22" s="2908" t="s">
        <v>2153</v>
      </c>
      <c r="G22" s="2908" t="s">
        <v>2153</v>
      </c>
      <c r="H22" s="2907" t="s">
        <v>2153</v>
      </c>
      <c r="I22" s="2998">
        <f t="shared" si="2"/>
        <v>43.574334908333334</v>
      </c>
    </row>
    <row r="23" spans="2:9" ht="18" customHeight="1" x14ac:dyDescent="0.2">
      <c r="B23" s="473" t="s">
        <v>992</v>
      </c>
      <c r="C23" s="2992">
        <f>IF(SUM(C24:C25)=0,"NO",SUM(C24:C25))</f>
        <v>4890.8790089352815</v>
      </c>
      <c r="D23" s="2992">
        <f t="shared" ref="D23" si="18">IF(SUM(D24:D25)=0,"NO",SUM(D24:D25))</f>
        <v>1.8832536000000002</v>
      </c>
      <c r="E23" s="2992">
        <f t="shared" ref="E23" si="19">IF(SUM(E24:E25)=0,"NO",SUM(E24:E25))</f>
        <v>8.3668072865101376E-2</v>
      </c>
      <c r="F23" s="2992">
        <f>IF(SUM(F24:F25)=0,"NO",SUM(F24:F25))</f>
        <v>1.4180451214285714</v>
      </c>
      <c r="G23" s="2992">
        <f t="shared" ref="G23" si="20">IF(SUM(G24:G25)=0,"NO",SUM(G24:G25))</f>
        <v>55.538543666666669</v>
      </c>
      <c r="H23" s="2993">
        <f t="shared" ref="H23" si="21">IF(SUM(H24:H25)=0,"NO",SUM(H24:H25))</f>
        <v>6.7134503333333342</v>
      </c>
      <c r="I23" s="2999">
        <f t="shared" si="2"/>
        <v>4965.7821490445331</v>
      </c>
    </row>
    <row r="24" spans="2:9" ht="18" customHeight="1" x14ac:dyDescent="0.2">
      <c r="B24" s="474" t="s">
        <v>993</v>
      </c>
      <c r="C24" s="2995">
        <f>IF(SUM(Table4.E!S11,'Table4(IV)'!J60)=0,"IE",SUM(Table4.E!S11,'Table4(IV)'!J60))</f>
        <v>-10.185704316311805</v>
      </c>
      <c r="D24" s="2995" t="str">
        <f>'Table4(IV)'!K60</f>
        <v>IE</v>
      </c>
      <c r="E24" s="2995">
        <f>IF(SUM('Table4(III)'!I47,'Table4(IV)'!L60)=0,"IE",SUM('Table4(III)'!I47,'Table4(IV)'!L60))</f>
        <v>1.0552351875843215E-4</v>
      </c>
      <c r="F24" s="2905" t="s">
        <v>2154</v>
      </c>
      <c r="G24" s="2905" t="s">
        <v>2154</v>
      </c>
      <c r="H24" s="2906" t="s">
        <v>2154</v>
      </c>
      <c r="I24" s="2996">
        <f t="shared" si="2"/>
        <v>-10.15774058384082</v>
      </c>
    </row>
    <row r="25" spans="2:9" ht="18" customHeight="1" thickBot="1" x14ac:dyDescent="0.25">
      <c r="B25" s="475" t="s">
        <v>994</v>
      </c>
      <c r="C25" s="2997">
        <f>IF(SUM(Table4.E!S13,'Table4(IV)'!J65)=0,"IE",SUM(Table4.E!S13,'Table4(IV)'!J65))</f>
        <v>4901.0647132515933</v>
      </c>
      <c r="D25" s="2997">
        <f>'Table4(IV)'!K65</f>
        <v>1.8832536000000002</v>
      </c>
      <c r="E25" s="2997">
        <f>IF(SUM('Table4(III)'!I48,'Table4(IV)'!L65)=0,"NO",SUM('Table4(III)'!I48,'Table4(IV)'!L65))</f>
        <v>8.356254934634294E-2</v>
      </c>
      <c r="F25" s="2908">
        <v>1.4180451214285714</v>
      </c>
      <c r="G25" s="2908">
        <v>55.538543666666669</v>
      </c>
      <c r="H25" s="2907">
        <v>6.7134503333333342</v>
      </c>
      <c r="I25" s="2998">
        <f t="shared" si="2"/>
        <v>4975.9398896283737</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-4014.2814824961429</v>
      </c>
      <c r="D29" s="3004"/>
      <c r="E29" s="3004"/>
      <c r="F29" s="3004"/>
      <c r="G29" s="3004"/>
      <c r="H29" s="3005"/>
      <c r="I29" s="3006">
        <f t="shared" si="2"/>
        <v>-4014.2814824961429</v>
      </c>
    </row>
    <row r="30" spans="2:9" ht="18" customHeight="1" x14ac:dyDescent="0.2">
      <c r="B30" s="1168" t="s">
        <v>2063</v>
      </c>
      <c r="C30" s="3007">
        <f>IF(SUM(C31:C32)=0,"NO",SUM(C31:C32))</f>
        <v>1.4609316963755554</v>
      </c>
      <c r="D30" s="3007" t="str">
        <f t="shared" ref="D30" si="27">IF(SUM(D31:D32)=0,"NO",SUM(D31:D32))</f>
        <v>NO</v>
      </c>
      <c r="E30" s="3007">
        <f t="shared" ref="E30" si="28">IF(SUM(E31:E32)=0,"NO",SUM(E31:E32))</f>
        <v>0.15863280249112216</v>
      </c>
      <c r="F30" s="3007" t="str">
        <f t="shared" ref="F30" si="29">IF(SUM(F31:F32)=0,"NO",SUM(F31:F32))</f>
        <v>NO</v>
      </c>
      <c r="G30" s="3007" t="str">
        <f t="shared" ref="G30" si="30">IF(SUM(G31:G32)=0,"NO",SUM(G31:G32))</f>
        <v>NO</v>
      </c>
      <c r="H30" s="3008" t="str">
        <f t="shared" ref="H30" si="31">IF(SUM(H31:H32)=0,"NO",SUM(H31:H32))</f>
        <v>NO</v>
      </c>
      <c r="I30" s="3009">
        <f t="shared" si="2"/>
        <v>43.498624356522924</v>
      </c>
    </row>
    <row r="31" spans="2:9" ht="18" customHeight="1" x14ac:dyDescent="0.2">
      <c r="B31" s="2677" t="s">
        <v>2218</v>
      </c>
      <c r="C31" s="3010" t="s">
        <v>2146</v>
      </c>
      <c r="D31" s="3010" t="s">
        <v>2146</v>
      </c>
      <c r="E31" s="3010">
        <v>0.15863280249112216</v>
      </c>
      <c r="F31" s="3010" t="s">
        <v>2146</v>
      </c>
      <c r="G31" s="3010" t="s">
        <v>2146</v>
      </c>
      <c r="H31" s="3011" t="s">
        <v>2146</v>
      </c>
      <c r="I31" s="3012">
        <f t="shared" si="2"/>
        <v>42.037692660147371</v>
      </c>
    </row>
    <row r="32" spans="2:9" ht="18" customHeight="1" thickBot="1" x14ac:dyDescent="0.25">
      <c r="B32" s="2676" t="s">
        <v>2219</v>
      </c>
      <c r="C32" s="3013">
        <v>1.4609316963755554</v>
      </c>
      <c r="D32" s="3013" t="s">
        <v>2146</v>
      </c>
      <c r="E32" s="3013" t="s">
        <v>2146</v>
      </c>
      <c r="F32" s="3014" t="s">
        <v>2146</v>
      </c>
      <c r="G32" s="3014" t="s">
        <v>2146</v>
      </c>
      <c r="H32" s="3014" t="s">
        <v>2146</v>
      </c>
      <c r="I32" s="2998">
        <f t="shared" si="2"/>
        <v>1.4609316963755554</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v>-16685.469487149956</v>
      </c>
      <c r="D35" s="3013" t="s">
        <v>2146</v>
      </c>
      <c r="E35" s="3013" t="s">
        <v>2146</v>
      </c>
      <c r="F35" s="3013" t="s">
        <v>2146</v>
      </c>
      <c r="G35" s="3013" t="s">
        <v>2146</v>
      </c>
      <c r="H35" s="3013" t="s">
        <v>2146</v>
      </c>
      <c r="I35" s="3018">
        <f t="shared" ref="I35" si="32">IF(SUM(C35:E35)=0,"NO",SUM(C35)+28*SUM(D35)+265*SUM(E35))</f>
        <v>-16685.469487149956</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383050.65741161257</v>
      </c>
      <c r="D10" s="3765">
        <f t="shared" ref="D10:I10" si="0">IF(SUM(D11,D37,D47)=0,"NO",SUM(D11,D37,D47))</f>
        <v>1371.1416623141854</v>
      </c>
      <c r="E10" s="3765">
        <f t="shared" si="0"/>
        <v>12.311927068228885</v>
      </c>
      <c r="F10" s="3765">
        <f t="shared" si="0"/>
        <v>2381.9636591655399</v>
      </c>
      <c r="G10" s="3765">
        <f t="shared" si="0"/>
        <v>2501.0725216356673</v>
      </c>
      <c r="H10" s="3765">
        <f t="shared" si="0"/>
        <v>724.04849246369486</v>
      </c>
      <c r="I10" s="3766">
        <f t="shared" si="0"/>
        <v>726.67001649638473</v>
      </c>
      <c r="J10" s="3028">
        <f t="shared" ref="J10:J40" si="1">IF(SUM(C10:E10)=0,"NO",SUM(C10,IFERROR(28*D10,0),IFERROR(265*E10,0)))</f>
        <v>424705.2846294904</v>
      </c>
    </row>
    <row r="11" spans="2:10" s="83" customFormat="1" ht="18" customHeight="1" thickBot="1" x14ac:dyDescent="0.25">
      <c r="B11" s="18" t="s">
        <v>75</v>
      </c>
      <c r="C11" s="3029">
        <f>IF(SUM(C12,C16,C24,C30,C34)=0,"NO",SUM(C12,C16,C24,C30,C34))</f>
        <v>374763.66058025236</v>
      </c>
      <c r="D11" s="3029">
        <f t="shared" ref="D11:I11" si="2">IF(SUM(D12,D16,D24,D30,D34)=0,"NO",SUM(D12,D16,D24,D30,D34))</f>
        <v>79.593072950773106</v>
      </c>
      <c r="E11" s="3029">
        <f t="shared" si="2"/>
        <v>12.197301920440973</v>
      </c>
      <c r="F11" s="3029">
        <f t="shared" si="2"/>
        <v>2380.0763126278548</v>
      </c>
      <c r="G11" s="3029">
        <f t="shared" si="2"/>
        <v>2490.2940123412941</v>
      </c>
      <c r="H11" s="3029">
        <f t="shared" si="2"/>
        <v>505.37341987985963</v>
      </c>
      <c r="I11" s="3030">
        <f t="shared" si="2"/>
        <v>726.67001649638473</v>
      </c>
      <c r="J11" s="3031">
        <f t="shared" si="1"/>
        <v>380224.55163179088</v>
      </c>
    </row>
    <row r="12" spans="2:10" s="83" customFormat="1" ht="18" customHeight="1" x14ac:dyDescent="0.2">
      <c r="B12" s="26" t="s">
        <v>76</v>
      </c>
      <c r="C12" s="3029">
        <f>IF(SUM(C13:C15)=0,"NO",SUM(C13:C15))</f>
        <v>221066.87190972728</v>
      </c>
      <c r="D12" s="3029">
        <f t="shared" ref="D12:I12" si="3">IF(SUM(D13:D15)=0,"NO",SUM(D13:D15))</f>
        <v>21.855790518752066</v>
      </c>
      <c r="E12" s="3029">
        <f t="shared" si="3"/>
        <v>4.1252416381587027</v>
      </c>
      <c r="F12" s="3029">
        <f t="shared" si="3"/>
        <v>1020.6597830448654</v>
      </c>
      <c r="G12" s="3029">
        <f t="shared" si="3"/>
        <v>208.42742454097626</v>
      </c>
      <c r="H12" s="3029">
        <f>IF(SUM(H13:H15)=0,"NO",SUM(H13:H15))</f>
        <v>56.894566142487498</v>
      </c>
      <c r="I12" s="3030">
        <f t="shared" si="3"/>
        <v>604.23963647834807</v>
      </c>
      <c r="J12" s="3031">
        <f t="shared" si="1"/>
        <v>222772.02307836441</v>
      </c>
    </row>
    <row r="13" spans="2:10" s="83" customFormat="1" ht="18" customHeight="1" x14ac:dyDescent="0.2">
      <c r="B13" s="20" t="s">
        <v>77</v>
      </c>
      <c r="C13" s="3032">
        <f>'Table1.A(a)s1'!H24</f>
        <v>197716.6769849378</v>
      </c>
      <c r="D13" s="3032">
        <f>'Table1.A(a)s1'!I24</f>
        <v>13.227608096213451</v>
      </c>
      <c r="E13" s="3032">
        <f>'Table1.A(a)s1'!J24</f>
        <v>3.5887610110556842</v>
      </c>
      <c r="F13" s="3033">
        <v>610.57653453389594</v>
      </c>
      <c r="G13" s="3033">
        <v>91.471179999239666</v>
      </c>
      <c r="H13" s="3033">
        <v>9.1054904005026902</v>
      </c>
      <c r="I13" s="3034">
        <v>582.14975794947077</v>
      </c>
      <c r="J13" s="3035">
        <f t="shared" si="1"/>
        <v>199038.07167956152</v>
      </c>
    </row>
    <row r="14" spans="2:10" s="83" customFormat="1" ht="18" customHeight="1" x14ac:dyDescent="0.2">
      <c r="B14" s="20" t="s">
        <v>78</v>
      </c>
      <c r="C14" s="3032">
        <f>'Table1.A(a)s1'!H53</f>
        <v>5141.3832924566168</v>
      </c>
      <c r="D14" s="3032">
        <f>'Table1.A(a)s1'!I53</f>
        <v>8.3711125773320766E-2</v>
      </c>
      <c r="E14" s="3032">
        <f>'Table1.A(a)s1'!J53</f>
        <v>1.6755475215255809E-2</v>
      </c>
      <c r="F14" s="3033">
        <v>34.633303100581543</v>
      </c>
      <c r="G14" s="3033">
        <v>4.2368331681563003</v>
      </c>
      <c r="H14" s="3033">
        <v>8.3780464124849047E-2</v>
      </c>
      <c r="I14" s="3034">
        <v>7.3964770363672958</v>
      </c>
      <c r="J14" s="3035">
        <f t="shared" si="1"/>
        <v>5148.1674049103131</v>
      </c>
    </row>
    <row r="15" spans="2:10" s="83" customFormat="1" ht="18" customHeight="1" thickBot="1" x14ac:dyDescent="0.25">
      <c r="B15" s="21" t="s">
        <v>79</v>
      </c>
      <c r="C15" s="3036">
        <f>'Table1.A(a)s1'!H60</f>
        <v>18208.81163233285</v>
      </c>
      <c r="D15" s="3036">
        <f>'Table1.A(a)s1'!I60</f>
        <v>8.5444712967652929</v>
      </c>
      <c r="E15" s="3036">
        <f>'Table1.A(a)s1'!J60</f>
        <v>0.51972515188776236</v>
      </c>
      <c r="F15" s="3037">
        <v>375.44994541038795</v>
      </c>
      <c r="G15" s="3037">
        <v>112.7194113735803</v>
      </c>
      <c r="H15" s="3037">
        <v>47.70529527785996</v>
      </c>
      <c r="I15" s="3038">
        <v>14.693401492510029</v>
      </c>
      <c r="J15" s="3039">
        <f t="shared" si="1"/>
        <v>18585.783993892535</v>
      </c>
    </row>
    <row r="16" spans="2:10" s="83" customFormat="1" ht="18" customHeight="1" x14ac:dyDescent="0.2">
      <c r="B16" s="25" t="s">
        <v>80</v>
      </c>
      <c r="C16" s="3029">
        <f>IF(SUM(C17:C23)=0,"NO",SUM(C17:C23))</f>
        <v>42444.02596621681</v>
      </c>
      <c r="D16" s="3029">
        <f t="shared" ref="D16:I16" si="4">IF(SUM(D17:D23)=0,"NO",SUM(D17:D23))</f>
        <v>2.385915336233952</v>
      </c>
      <c r="E16" s="3029">
        <f t="shared" si="4"/>
        <v>1.3750591461183621</v>
      </c>
      <c r="F16" s="3029">
        <f t="shared" si="4"/>
        <v>694.72460272653473</v>
      </c>
      <c r="G16" s="3029">
        <f t="shared" si="4"/>
        <v>222.60197914896071</v>
      </c>
      <c r="H16" s="3029">
        <f t="shared" si="4"/>
        <v>96.417554714996044</v>
      </c>
      <c r="I16" s="3030">
        <f t="shared" si="4"/>
        <v>88.208465885726298</v>
      </c>
      <c r="J16" s="3031">
        <f t="shared" si="1"/>
        <v>42875.222269352729</v>
      </c>
    </row>
    <row r="17" spans="2:10" s="83" customFormat="1" ht="18" customHeight="1" x14ac:dyDescent="0.2">
      <c r="B17" s="20" t="s">
        <v>81</v>
      </c>
      <c r="C17" s="3032">
        <f>'Table1.A(a)s2'!H17</f>
        <v>1575.0340391795262</v>
      </c>
      <c r="D17" s="3032">
        <f>'Table1.A(a)s2'!I17</f>
        <v>3.5697515767126521E-2</v>
      </c>
      <c r="E17" s="3032">
        <f>'Table1.A(a)s2'!J17</f>
        <v>2.0253369973627484E-2</v>
      </c>
      <c r="F17" s="3033">
        <v>17.895050676825711</v>
      </c>
      <c r="G17" s="3033">
        <v>2.9087592443484769</v>
      </c>
      <c r="H17" s="3033">
        <v>0.31725707431901451</v>
      </c>
      <c r="I17" s="3034">
        <v>7.6299089203608723</v>
      </c>
      <c r="J17" s="3035">
        <f t="shared" si="1"/>
        <v>1581.400712664017</v>
      </c>
    </row>
    <row r="18" spans="2:10" s="83" customFormat="1" ht="18" customHeight="1" x14ac:dyDescent="0.2">
      <c r="B18" s="20" t="s">
        <v>82</v>
      </c>
      <c r="C18" s="3032">
        <f>'Table1.A(a)s2'!H24</f>
        <v>12959.953606288549</v>
      </c>
      <c r="D18" s="3032">
        <f>'Table1.A(a)s2'!I24</f>
        <v>0.24913616945157427</v>
      </c>
      <c r="E18" s="3032">
        <f>'Table1.A(a)s2'!J24</f>
        <v>0.14760089226093276</v>
      </c>
      <c r="F18" s="3033">
        <v>97.859725110209382</v>
      </c>
      <c r="G18" s="3033">
        <v>16.133356075696188</v>
      </c>
      <c r="H18" s="3033">
        <v>2.8833266851620292</v>
      </c>
      <c r="I18" s="3034">
        <v>49.717298807083019</v>
      </c>
      <c r="J18" s="3035">
        <f t="shared" si="1"/>
        <v>13006.043655482341</v>
      </c>
    </row>
    <row r="19" spans="2:10" s="83" customFormat="1" ht="18" customHeight="1" x14ac:dyDescent="0.2">
      <c r="B19" s="20" t="s">
        <v>83</v>
      </c>
      <c r="C19" s="3032">
        <f>'Table1.A(a)s2'!H31</f>
        <v>8675.2219090522522</v>
      </c>
      <c r="D19" s="3032">
        <f>'Table1.A(a)s2'!I31</f>
        <v>0.28337435066403105</v>
      </c>
      <c r="E19" s="3032">
        <f>'Table1.A(a)s2'!J31</f>
        <v>0.10919027769740486</v>
      </c>
      <c r="F19" s="3033">
        <v>58.530800247941727</v>
      </c>
      <c r="G19" s="3033">
        <v>20.09853837206937</v>
      </c>
      <c r="H19" s="3033">
        <v>12.252758469514742</v>
      </c>
      <c r="I19" s="3034">
        <v>5.9498620688190007</v>
      </c>
      <c r="J19" s="3035">
        <f t="shared" si="1"/>
        <v>8712.0918144606567</v>
      </c>
    </row>
    <row r="20" spans="2:10" s="83" customFormat="1" ht="18" customHeight="1" x14ac:dyDescent="0.2">
      <c r="B20" s="20" t="s">
        <v>84</v>
      </c>
      <c r="C20" s="3032">
        <f>'Table1.A(a)s2'!H38</f>
        <v>1018.4119734563905</v>
      </c>
      <c r="D20" s="3032">
        <f>'Table1.A(a)s2'!I38</f>
        <v>0.2201904532921023</v>
      </c>
      <c r="E20" s="3032">
        <f>'Table1.A(a)s2'!J38</f>
        <v>0.14582759607214799</v>
      </c>
      <c r="F20" s="3033">
        <v>8.597286998477184</v>
      </c>
      <c r="G20" s="3033">
        <v>6.0580045265091016</v>
      </c>
      <c r="H20" s="3033">
        <v>0.58085562218319309</v>
      </c>
      <c r="I20" s="3034">
        <v>1.2075979313435952</v>
      </c>
      <c r="J20" s="3035">
        <f t="shared" si="1"/>
        <v>1063.2216191076884</v>
      </c>
    </row>
    <row r="21" spans="2:10" s="83" customFormat="1" ht="18" customHeight="1" x14ac:dyDescent="0.2">
      <c r="B21" s="20" t="s">
        <v>85</v>
      </c>
      <c r="C21" s="3032">
        <f>'Table1.A(a)s2'!H45</f>
        <v>3007.2926173576298</v>
      </c>
      <c r="D21" s="3032">
        <f>'Table1.A(a)s2'!I45</f>
        <v>0.74664462765669037</v>
      </c>
      <c r="E21" s="3032">
        <f>'Table1.A(a)s2'!J45</f>
        <v>0.48564825840132197</v>
      </c>
      <c r="F21" s="3033">
        <v>23.086626267113434</v>
      </c>
      <c r="G21" s="3033">
        <v>20.710214949053256</v>
      </c>
      <c r="H21" s="3033">
        <v>1.5843179947658308</v>
      </c>
      <c r="I21" s="3034">
        <v>4.1925637530847828</v>
      </c>
      <c r="J21" s="3035">
        <f t="shared" si="1"/>
        <v>3156.8954554083675</v>
      </c>
    </row>
    <row r="22" spans="2:10" s="83" customFormat="1" ht="18" customHeight="1" x14ac:dyDescent="0.2">
      <c r="B22" s="20" t="s">
        <v>86</v>
      </c>
      <c r="C22" s="3032">
        <f>'Table1.A(a)s2'!H52</f>
        <v>5815.4284071256261</v>
      </c>
      <c r="D22" s="3032">
        <f>'Table1.A(a)s2'!I52</f>
        <v>0.35741329002102518</v>
      </c>
      <c r="E22" s="3032">
        <f>'Table1.A(a)s2'!J52</f>
        <v>5.6273985694687521E-2</v>
      </c>
      <c r="F22" s="3033">
        <v>91.438050872917543</v>
      </c>
      <c r="G22" s="3033">
        <v>29.615189266637607</v>
      </c>
      <c r="H22" s="3033">
        <v>19.763757707970015</v>
      </c>
      <c r="I22" s="3034">
        <v>10.04950601305552</v>
      </c>
      <c r="J22" s="3035">
        <f t="shared" si="1"/>
        <v>5840.3485854553064</v>
      </c>
    </row>
    <row r="23" spans="2:10" s="83" customFormat="1" ht="18" customHeight="1" thickBot="1" x14ac:dyDescent="0.25">
      <c r="B23" s="3060" t="s">
        <v>2115</v>
      </c>
      <c r="C23" s="3032">
        <f>'Table1.A(a)s2'!H59</f>
        <v>9392.6834137568403</v>
      </c>
      <c r="D23" s="3032">
        <f>'Table1.A(a)s2'!I59</f>
        <v>0.49345892938140234</v>
      </c>
      <c r="E23" s="3032">
        <f>'Table1.A(a)s2'!J59</f>
        <v>0.41026476601823947</v>
      </c>
      <c r="F23" s="3033">
        <v>397.31706255304971</v>
      </c>
      <c r="G23" s="3033">
        <v>127.0779167146467</v>
      </c>
      <c r="H23" s="3033">
        <v>59.035281161081215</v>
      </c>
      <c r="I23" s="3034">
        <v>9.4617283919795021</v>
      </c>
      <c r="J23" s="3035">
        <f t="shared" si="1"/>
        <v>9515.2204267743527</v>
      </c>
    </row>
    <row r="24" spans="2:10" s="83" customFormat="1" ht="18" customHeight="1" x14ac:dyDescent="0.2">
      <c r="B24" s="25" t="s">
        <v>87</v>
      </c>
      <c r="C24" s="3029">
        <f>IF(SUM(C25:C29)=0,"NO",SUM(C25:C29))</f>
        <v>89768.612818043563</v>
      </c>
      <c r="D24" s="3029">
        <f t="shared" ref="D24:I24" si="5">IF(SUM(D25:D29)=0,"NO",SUM(D25:D29))</f>
        <v>16.072969608646801</v>
      </c>
      <c r="E24" s="3029">
        <f t="shared" si="5"/>
        <v>6.0065920475633581</v>
      </c>
      <c r="F24" s="3029">
        <f t="shared" si="5"/>
        <v>298.80142120634611</v>
      </c>
      <c r="G24" s="3029">
        <f t="shared" si="5"/>
        <v>1379.7296890130642</v>
      </c>
      <c r="H24" s="3029">
        <f t="shared" si="5"/>
        <v>236.34464226033037</v>
      </c>
      <c r="I24" s="3030">
        <f t="shared" si="5"/>
        <v>26.075896805453208</v>
      </c>
      <c r="J24" s="3031">
        <f t="shared" si="1"/>
        <v>91810.402859689959</v>
      </c>
    </row>
    <row r="25" spans="2:10" s="83" customFormat="1" ht="18" customHeight="1" x14ac:dyDescent="0.2">
      <c r="B25" s="20" t="s">
        <v>88</v>
      </c>
      <c r="C25" s="1878">
        <f>'Table1.A(a)s3'!H16</f>
        <v>7925.9338914977989</v>
      </c>
      <c r="D25" s="1878">
        <f>'Table1.A(a)s3'!I16</f>
        <v>3.7070479250238271E-2</v>
      </c>
      <c r="E25" s="1878">
        <f>'Table1.A(a)s3'!J16</f>
        <v>6.0023992787256973E-2</v>
      </c>
      <c r="F25" s="3033">
        <v>26.81896518869835</v>
      </c>
      <c r="G25" s="3033">
        <v>17.763927552012557</v>
      </c>
      <c r="H25" s="3033">
        <v>1.7426596129769787</v>
      </c>
      <c r="I25" s="3034">
        <v>0.93467021542988016</v>
      </c>
      <c r="J25" s="3035">
        <f t="shared" si="1"/>
        <v>7942.8782230054285</v>
      </c>
    </row>
    <row r="26" spans="2:10" s="83" customFormat="1" ht="18" customHeight="1" x14ac:dyDescent="0.2">
      <c r="B26" s="20" t="s">
        <v>89</v>
      </c>
      <c r="C26" s="1878">
        <f>'Table1.A(a)s3'!H20</f>
        <v>76876.880851256516</v>
      </c>
      <c r="D26" s="1878">
        <f>'Table1.A(a)s3'!I20</f>
        <v>11.24939605523489</v>
      </c>
      <c r="E26" s="1878">
        <f>'Table1.A(a)s3'!J20</f>
        <v>4.7484400784691445</v>
      </c>
      <c r="F26" s="3033">
        <v>193.04462325685554</v>
      </c>
      <c r="G26" s="3033">
        <v>1101.8561963637283</v>
      </c>
      <c r="H26" s="3033">
        <v>191.10333468232366</v>
      </c>
      <c r="I26" s="3034">
        <v>16.19732492877441</v>
      </c>
      <c r="J26" s="3035">
        <f t="shared" si="1"/>
        <v>78450.200561597405</v>
      </c>
    </row>
    <row r="27" spans="2:10" s="83" customFormat="1" ht="18" customHeight="1" x14ac:dyDescent="0.2">
      <c r="B27" s="20" t="s">
        <v>90</v>
      </c>
      <c r="C27" s="1878">
        <f>'Table1.A(a)s3'!H81</f>
        <v>2715.7548000000006</v>
      </c>
      <c r="D27" s="1878">
        <f>'Table1.A(a)s3'!I81</f>
        <v>0.15540799999999999</v>
      </c>
      <c r="E27" s="1878">
        <f>'Table1.A(a)s3'!J81</f>
        <v>1.1655599999999999</v>
      </c>
      <c r="F27" s="3033">
        <v>59.443559999999998</v>
      </c>
      <c r="G27" s="3033">
        <v>7.8481040000000011</v>
      </c>
      <c r="H27" s="3033">
        <v>2.7584920000000004</v>
      </c>
      <c r="I27" s="3034">
        <v>2.2152456140350876</v>
      </c>
      <c r="J27" s="3035">
        <f t="shared" si="1"/>
        <v>3028.9796240000005</v>
      </c>
    </row>
    <row r="28" spans="2:10" s="83" customFormat="1" ht="18" customHeight="1" x14ac:dyDescent="0.2">
      <c r="B28" s="20" t="s">
        <v>91</v>
      </c>
      <c r="C28" s="1878">
        <f>'Table1.A(a)s3'!H88</f>
        <v>1678.9488169785079</v>
      </c>
      <c r="D28" s="1878">
        <f>'Table1.A(a)s3'!I88</f>
        <v>4.5156668538063576</v>
      </c>
      <c r="E28" s="1878">
        <f>'Table1.A(a)s3'!J88</f>
        <v>3.1407281877602361E-2</v>
      </c>
      <c r="F28" s="3033">
        <v>17.32759263605864</v>
      </c>
      <c r="G28" s="3033">
        <v>247.0769205595889</v>
      </c>
      <c r="H28" s="3033">
        <v>40.013493034149278</v>
      </c>
      <c r="I28" s="3034">
        <v>6.7233239374352882</v>
      </c>
      <c r="J28" s="3035">
        <f t="shared" si="1"/>
        <v>1813.7104185826506</v>
      </c>
    </row>
    <row r="29" spans="2:10" s="83" customFormat="1" ht="18" customHeight="1" thickBot="1" x14ac:dyDescent="0.25">
      <c r="B29" s="22" t="s">
        <v>92</v>
      </c>
      <c r="C29" s="1881">
        <f>'Table1.A(a)s3'!H99</f>
        <v>571.09445831074197</v>
      </c>
      <c r="D29" s="1881">
        <f>'Table1.A(a)s3'!I99</f>
        <v>0.11542822035531529</v>
      </c>
      <c r="E29" s="1881">
        <f>'Table1.A(a)s3'!J99</f>
        <v>1.1606944293534342E-3</v>
      </c>
      <c r="F29" s="3040">
        <v>2.1666801247335776</v>
      </c>
      <c r="G29" s="3040">
        <v>5.1845405377345202</v>
      </c>
      <c r="H29" s="3040">
        <v>0.72666293088047029</v>
      </c>
      <c r="I29" s="3041">
        <v>5.3321097785429617E-3</v>
      </c>
      <c r="J29" s="3042">
        <f t="shared" si="1"/>
        <v>574.63403250446947</v>
      </c>
    </row>
    <row r="30" spans="2:10" ht="18" customHeight="1" x14ac:dyDescent="0.2">
      <c r="B30" s="26" t="s">
        <v>93</v>
      </c>
      <c r="C30" s="3029">
        <f>IF(SUM(C31:C33)=0,"NO",SUM(C31:C33))</f>
        <v>20619.975763741699</v>
      </c>
      <c r="D30" s="3029">
        <f t="shared" ref="D30" si="6">IF(SUM(D31:D33)=0,"NO",SUM(D31:D33))</f>
        <v>39.246759312967512</v>
      </c>
      <c r="E30" s="3029">
        <f t="shared" ref="E30" si="7">IF(SUM(E31:E33)=0,"NO",SUM(E31:E33))</f>
        <v>0.66598351676016176</v>
      </c>
      <c r="F30" s="3029">
        <f t="shared" ref="F30" si="8">IF(SUM(F31:F33)=0,"NO",SUM(F31:F33))</f>
        <v>358.01639559303896</v>
      </c>
      <c r="G30" s="3029">
        <f t="shared" ref="G30" si="9">IF(SUM(G31:G33)=0,"NO",SUM(G31:G33))</f>
        <v>676.83869945111473</v>
      </c>
      <c r="H30" s="3029">
        <f t="shared" ref="H30" si="10">IF(SUM(H31:H33)=0,"NO",SUM(H31:H33))</f>
        <v>115.28978133984721</v>
      </c>
      <c r="I30" s="3030">
        <f t="shared" ref="I30" si="11">IF(SUM(I31:I33)=0,"NO",SUM(I31:I33))</f>
        <v>7.8492334800230594</v>
      </c>
      <c r="J30" s="3043">
        <f t="shared" si="1"/>
        <v>21895.370656446234</v>
      </c>
    </row>
    <row r="31" spans="2:10" ht="18" customHeight="1" x14ac:dyDescent="0.2">
      <c r="B31" s="20" t="s">
        <v>94</v>
      </c>
      <c r="C31" s="3032">
        <f>'Table1.A(a)s4'!H17</f>
        <v>5353.5481620515729</v>
      </c>
      <c r="D31" s="3032">
        <f>'Table1.A(a)s4'!I17</f>
        <v>0.1174916808038028</v>
      </c>
      <c r="E31" s="3032">
        <f>'Table1.A(a)s4'!J17</f>
        <v>9.7868896520849333E-2</v>
      </c>
      <c r="F31" s="3033">
        <v>29.721040994390414</v>
      </c>
      <c r="G31" s="3033">
        <v>11.273192537567171</v>
      </c>
      <c r="H31" s="3033">
        <v>3.8325511635558809</v>
      </c>
      <c r="I31" s="3034">
        <v>2.6310177543649367</v>
      </c>
      <c r="J31" s="3035">
        <f t="shared" si="1"/>
        <v>5382.773186692104</v>
      </c>
    </row>
    <row r="32" spans="2:10" ht="18" customHeight="1" x14ac:dyDescent="0.2">
      <c r="B32" s="20" t="s">
        <v>95</v>
      </c>
      <c r="C32" s="3032">
        <f>'Table1.A(a)s4'!H38</f>
        <v>9031.4857424817255</v>
      </c>
      <c r="D32" s="3032">
        <f>'Table1.A(a)s4'!I38</f>
        <v>38.52757716116804</v>
      </c>
      <c r="E32" s="3032">
        <f>'Table1.A(a)s4'!J38</f>
        <v>0.24729342543411764</v>
      </c>
      <c r="F32" s="3033">
        <v>12.32325691033682</v>
      </c>
      <c r="G32" s="3033">
        <v>526.18143563216233</v>
      </c>
      <c r="H32" s="3033">
        <v>61.969862656810797</v>
      </c>
      <c r="I32" s="3034">
        <v>0.53560097372829829</v>
      </c>
      <c r="J32" s="3035">
        <f t="shared" si="1"/>
        <v>10175.79066073447</v>
      </c>
    </row>
    <row r="33" spans="2:10" ht="18" customHeight="1" thickBot="1" x14ac:dyDescent="0.25">
      <c r="B33" s="20" t="s">
        <v>96</v>
      </c>
      <c r="C33" s="3032">
        <f>'Table1.A(a)s4'!H59</f>
        <v>6234.9418592083994</v>
      </c>
      <c r="D33" s="3032">
        <f>'Table1.A(a)s4'!I59</f>
        <v>0.60169047099567108</v>
      </c>
      <c r="E33" s="3032">
        <f>'Table1.A(a)s4'!J59</f>
        <v>0.32082119480519478</v>
      </c>
      <c r="F33" s="3033">
        <v>315.97209768831175</v>
      </c>
      <c r="G33" s="3033">
        <v>139.38407128138527</v>
      </c>
      <c r="H33" s="3033">
        <v>49.487367519480529</v>
      </c>
      <c r="I33" s="3034">
        <v>4.6826147519298242</v>
      </c>
      <c r="J33" s="3035">
        <f t="shared" si="1"/>
        <v>6336.8068090196548</v>
      </c>
    </row>
    <row r="34" spans="2:10" ht="18" customHeight="1" x14ac:dyDescent="0.2">
      <c r="B34" s="25" t="s">
        <v>2116</v>
      </c>
      <c r="C34" s="3029">
        <f>IF(SUM(C35:C36)=0,"NO",SUM(C35:C36))</f>
        <v>864.17412252301733</v>
      </c>
      <c r="D34" s="3029">
        <f t="shared" ref="D34:E34" si="12">IF(SUM(D35:D36)=0,"NO",SUM(D35:D36))</f>
        <v>3.1638174172767992E-2</v>
      </c>
      <c r="E34" s="3029">
        <f t="shared" si="12"/>
        <v>2.4425571840387569E-2</v>
      </c>
      <c r="F34" s="3029">
        <f t="shared" ref="F34:I34" si="13">IF(SUM(F35:F36)=0,"NO",SUM(F35:F36))</f>
        <v>7.8741100570695277</v>
      </c>
      <c r="G34" s="3029">
        <f t="shared" si="13"/>
        <v>2.6962201871778708</v>
      </c>
      <c r="H34" s="3029">
        <f t="shared" si="13"/>
        <v>0.42687542219850444</v>
      </c>
      <c r="I34" s="3030">
        <f t="shared" si="13"/>
        <v>0.29678384683404169</v>
      </c>
      <c r="J34" s="3031">
        <f t="shared" si="1"/>
        <v>871.53276793755754</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864.17412252301733</v>
      </c>
      <c r="D36" s="3044">
        <f>'Table1.A(a)s4'!I108</f>
        <v>3.1638174172767992E-2</v>
      </c>
      <c r="E36" s="3044">
        <f>'Table1.A(a)s4'!J108</f>
        <v>2.4425571840387569E-2</v>
      </c>
      <c r="F36" s="3040">
        <v>7.8741100570695277</v>
      </c>
      <c r="G36" s="3040">
        <v>2.6962201871778708</v>
      </c>
      <c r="H36" s="3040">
        <v>0.42687542219850444</v>
      </c>
      <c r="I36" s="3041">
        <v>0.29678384683404169</v>
      </c>
      <c r="J36" s="3042">
        <f t="shared" si="1"/>
        <v>871.53276793755754</v>
      </c>
    </row>
    <row r="37" spans="2:10" ht="18" customHeight="1" thickBot="1" x14ac:dyDescent="0.25">
      <c r="B37" s="18" t="s">
        <v>99</v>
      </c>
      <c r="C37" s="3029">
        <f>IF(SUM(C38,C42)=0,"NO",SUM(C38,C42))</f>
        <v>8286.996831360193</v>
      </c>
      <c r="D37" s="3029">
        <f t="shared" ref="D37:I37" si="14">IF(SUM(D38,D42)=0,"NO",SUM(D38,D42))</f>
        <v>1291.5485893634122</v>
      </c>
      <c r="E37" s="3029">
        <f t="shared" si="14"/>
        <v>0.11462514778791104</v>
      </c>
      <c r="F37" s="3029">
        <f t="shared" si="14"/>
        <v>1.887346537685</v>
      </c>
      <c r="G37" s="3029">
        <f t="shared" si="14"/>
        <v>10.778509294373</v>
      </c>
      <c r="H37" s="3029">
        <f t="shared" si="14"/>
        <v>218.67507258383517</v>
      </c>
      <c r="I37" s="3030" t="str">
        <f t="shared" si="14"/>
        <v>NO</v>
      </c>
      <c r="J37" s="3031">
        <f t="shared" si="1"/>
        <v>44480.732997699532</v>
      </c>
    </row>
    <row r="38" spans="2:10" ht="18" customHeight="1" x14ac:dyDescent="0.2">
      <c r="B38" s="26" t="s">
        <v>100</v>
      </c>
      <c r="C38" s="3029">
        <f>IF(SUM(C39:C41)=0,"NO",SUM(C39:C41))</f>
        <v>1580.216366257682</v>
      </c>
      <c r="D38" s="3029">
        <f t="shared" ref="D38" si="15">IF(SUM(D39:D41)=0,"NO",SUM(D39:D41))</f>
        <v>1071.3959969149528</v>
      </c>
      <c r="E38" s="3029">
        <f t="shared" ref="E38" si="16">IF(SUM(E39:E41)=0,"NO",SUM(E39:E41))</f>
        <v>3.5333623858198928E-4</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31579.397913979585</v>
      </c>
    </row>
    <row r="39" spans="2:10" ht="18" customHeight="1" x14ac:dyDescent="0.2">
      <c r="B39" s="20" t="s">
        <v>101</v>
      </c>
      <c r="C39" s="3032">
        <f>'Table1.B.1'!G10</f>
        <v>1580.216366257682</v>
      </c>
      <c r="D39" s="3032">
        <f>SUM('Table1.B.1'!F10,'Table1.B.1'!H10)</f>
        <v>1071.3959969149528</v>
      </c>
      <c r="E39" s="3033">
        <v>3.5333623858198928E-4</v>
      </c>
      <c r="F39" s="3033" t="s">
        <v>2146</v>
      </c>
      <c r="G39" s="3033" t="s">
        <v>2146</v>
      </c>
      <c r="H39" s="3033" t="s">
        <v>2146</v>
      </c>
      <c r="I39" s="2931"/>
      <c r="J39" s="3035">
        <f t="shared" si="1"/>
        <v>31579.397913979585</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6706.7804651025117</v>
      </c>
      <c r="D42" s="3029">
        <f t="shared" ref="D42:I42" si="21">IF(SUM(D43:D46)=0,"NO",SUM(D43:D46))</f>
        <v>220.15259244845959</v>
      </c>
      <c r="E42" s="3029">
        <f t="shared" si="21"/>
        <v>0.11427181154932906</v>
      </c>
      <c r="F42" s="3029">
        <f t="shared" si="21"/>
        <v>1.887346537685</v>
      </c>
      <c r="G42" s="3029">
        <f t="shared" si="21"/>
        <v>10.778509294373</v>
      </c>
      <c r="H42" s="3029">
        <f t="shared" si="21"/>
        <v>218.67507258383517</v>
      </c>
      <c r="I42" s="3030" t="str">
        <f t="shared" si="21"/>
        <v>NO</v>
      </c>
      <c r="J42" s="3031">
        <f t="shared" ref="J42:J59" si="22">IF(SUM(C42:E42)=0,"NO",SUM(C42,IFERROR(28*D42,0),IFERROR(265*E42,0)))</f>
        <v>12901.335083719952</v>
      </c>
    </row>
    <row r="43" spans="2:10" ht="18" customHeight="1" x14ac:dyDescent="0.2">
      <c r="B43" s="20" t="s">
        <v>103</v>
      </c>
      <c r="C43" s="3032">
        <f>'Table1.B.2'!I10</f>
        <v>229.60731854549999</v>
      </c>
      <c r="D43" s="3032">
        <f>'Table1.B.2'!J10</f>
        <v>4.9756270180422888</v>
      </c>
      <c r="E43" s="3032">
        <f>'Table1.B.2'!K10</f>
        <v>7.3061054508000009E-3</v>
      </c>
      <c r="F43" s="3033">
        <v>0.13515730920000002</v>
      </c>
      <c r="G43" s="3033">
        <v>0.78260876915999988</v>
      </c>
      <c r="H43" s="3033">
        <v>117.97909381548355</v>
      </c>
      <c r="I43" s="3034" t="s">
        <v>2146</v>
      </c>
      <c r="J43" s="3035">
        <f t="shared" si="22"/>
        <v>370.86099299514609</v>
      </c>
    </row>
    <row r="44" spans="2:10" ht="18" customHeight="1" x14ac:dyDescent="0.2">
      <c r="B44" s="20" t="s">
        <v>104</v>
      </c>
      <c r="C44" s="3032">
        <f>SUM('Table1.B.2'!I21,'Table1.B.2'!L21)</f>
        <v>123.24841269703256</v>
      </c>
      <c r="D44" s="3032">
        <f>'Table1.B.2'!J21</f>
        <v>146.22631566476528</v>
      </c>
      <c r="E44" s="3032">
        <f>'Table1.B.2'!K21</f>
        <v>3.3723588924E-3</v>
      </c>
      <c r="F44" s="3033">
        <v>6.2451090600000009E-2</v>
      </c>
      <c r="G44" s="3033">
        <v>0.36221632547999999</v>
      </c>
      <c r="H44" s="3033">
        <v>84.099478489501621</v>
      </c>
      <c r="I44" s="3034" t="s">
        <v>2146</v>
      </c>
      <c r="J44" s="3035">
        <f t="shared" si="22"/>
        <v>4218.4789264169458</v>
      </c>
    </row>
    <row r="45" spans="2:10" ht="18" customHeight="1" x14ac:dyDescent="0.2">
      <c r="B45" s="20" t="s">
        <v>105</v>
      </c>
      <c r="C45" s="3032">
        <f>'Table1.B.2'!I35</f>
        <v>6353.9247338599789</v>
      </c>
      <c r="D45" s="3032">
        <f>'Table1.B.2'!J35</f>
        <v>68.950649765652031</v>
      </c>
      <c r="E45" s="3032">
        <f>'Table1.B.2'!K35</f>
        <v>0.10359334720612905</v>
      </c>
      <c r="F45" s="3033">
        <v>1.689738137885</v>
      </c>
      <c r="G45" s="3033">
        <v>9.6336841997330005</v>
      </c>
      <c r="H45" s="3033">
        <v>16.596500278849998</v>
      </c>
      <c r="I45" s="3034" t="s">
        <v>2146</v>
      </c>
      <c r="J45" s="3035">
        <f t="shared" si="22"/>
        <v>8311.9951643078603</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12918.575500000003</v>
      </c>
      <c r="D52" s="3032">
        <f t="shared" ref="D52:I52" si="23">IF(SUM(D53:D54)=0,"NO",SUM(D53:D54))</f>
        <v>0.25406020953488373</v>
      </c>
      <c r="E52" s="3032">
        <f t="shared" si="23"/>
        <v>0.1202110280188005</v>
      </c>
      <c r="F52" s="3032">
        <f t="shared" si="23"/>
        <v>119.29784030521665</v>
      </c>
      <c r="G52" s="3032">
        <f t="shared" si="23"/>
        <v>18.213577808470014</v>
      </c>
      <c r="H52" s="3032">
        <f t="shared" si="23"/>
        <v>10.025003061122645</v>
      </c>
      <c r="I52" s="3055">
        <f t="shared" si="23"/>
        <v>41.918449800269912</v>
      </c>
      <c r="J52" s="3035">
        <f t="shared" si="22"/>
        <v>12957.545108291961</v>
      </c>
    </row>
    <row r="53" spans="2:10" ht="18" customHeight="1" x14ac:dyDescent="0.2">
      <c r="B53" s="164" t="s">
        <v>111</v>
      </c>
      <c r="C53" s="3032">
        <f>Table1.D!G10</f>
        <v>10472.016000000001</v>
      </c>
      <c r="D53" s="3032">
        <f>Table1.D!H10</f>
        <v>2.0785209534883727E-2</v>
      </c>
      <c r="E53" s="3032">
        <f>Table1.D!I10</f>
        <v>5.3561028018800499E-2</v>
      </c>
      <c r="F53" s="3033">
        <v>53.347140305216648</v>
      </c>
      <c r="G53" s="3033">
        <v>16.549142808470013</v>
      </c>
      <c r="H53" s="3033">
        <v>7.9538330611226442</v>
      </c>
      <c r="I53" s="3034">
        <v>1.2337720000000003</v>
      </c>
      <c r="J53" s="3035">
        <f t="shared" si="22"/>
        <v>10486.791658291961</v>
      </c>
    </row>
    <row r="54" spans="2:10" ht="18" customHeight="1" x14ac:dyDescent="0.2">
      <c r="B54" s="164" t="s">
        <v>112</v>
      </c>
      <c r="C54" s="3032">
        <f>Table1.D!G14</f>
        <v>2446.5595000000003</v>
      </c>
      <c r="D54" s="3032">
        <f>Table1.D!H14</f>
        <v>0.23327500000000001</v>
      </c>
      <c r="E54" s="3032">
        <f>Table1.D!I14</f>
        <v>6.6650000000000001E-2</v>
      </c>
      <c r="F54" s="3033">
        <v>65.950700000000012</v>
      </c>
      <c r="G54" s="3033">
        <v>1.6644350000000001</v>
      </c>
      <c r="H54" s="3033">
        <v>2.0711700000000004</v>
      </c>
      <c r="I54" s="3034">
        <v>40.68467780026991</v>
      </c>
      <c r="J54" s="3035">
        <f t="shared" si="22"/>
        <v>2470.7534500000002</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16595.144805259486</v>
      </c>
      <c r="D56" s="3056"/>
      <c r="E56" s="3056"/>
      <c r="F56" s="3056"/>
      <c r="G56" s="3056"/>
      <c r="H56" s="3056"/>
      <c r="I56" s="2971"/>
      <c r="J56" s="3039">
        <f t="shared" si="22"/>
        <v>16595.144805259486</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131282.07552006299</v>
      </c>
      <c r="D10" s="3549" t="s">
        <v>2146</v>
      </c>
      <c r="E10" s="3549">
        <v>17.356241642000001</v>
      </c>
      <c r="F10" s="3549">
        <v>382.72748907800002</v>
      </c>
      <c r="G10" s="3549" t="s">
        <v>2146</v>
      </c>
      <c r="H10" s="3549">
        <v>6.0547200000000002E-2</v>
      </c>
      <c r="I10" s="3549" t="s">
        <v>2146</v>
      </c>
      <c r="J10" s="3549">
        <v>17.066393692999998</v>
      </c>
      <c r="K10" s="3549" t="s">
        <v>2146</v>
      </c>
      <c r="L10" s="3549" t="s">
        <v>2146</v>
      </c>
      <c r="M10" s="3550">
        <f>IF(SUM(C10:L10)=0,"NO",SUM(C10:L10))</f>
        <v>131699.28619167602</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16.533876397</v>
      </c>
      <c r="D12" s="3549" t="s">
        <v>2146</v>
      </c>
      <c r="E12" s="3549">
        <v>39955.486229053</v>
      </c>
      <c r="F12" s="3549" t="s">
        <v>2153</v>
      </c>
      <c r="G12" s="3549" t="s">
        <v>2146</v>
      </c>
      <c r="H12" s="3549" t="s">
        <v>2153</v>
      </c>
      <c r="I12" s="3549" t="s">
        <v>2146</v>
      </c>
      <c r="J12" s="3549" t="s">
        <v>2153</v>
      </c>
      <c r="K12" s="3549" t="s">
        <v>2146</v>
      </c>
      <c r="L12" s="3549" t="s">
        <v>2146</v>
      </c>
      <c r="M12" s="3550">
        <f t="shared" si="0"/>
        <v>39972.020105449999</v>
      </c>
    </row>
    <row r="13" spans="2:13" ht="18" customHeight="1" x14ac:dyDescent="0.2">
      <c r="B13" s="2277" t="s">
        <v>1961</v>
      </c>
      <c r="C13" s="3549">
        <v>610.68402728700005</v>
      </c>
      <c r="D13" s="3549" t="s">
        <v>2146</v>
      </c>
      <c r="E13" s="3549" t="s">
        <v>2153</v>
      </c>
      <c r="F13" s="3549">
        <v>521138.40477910801</v>
      </c>
      <c r="G13" s="3549" t="s">
        <v>2146</v>
      </c>
      <c r="H13" s="3549" t="s">
        <v>2153</v>
      </c>
      <c r="I13" s="3549" t="s">
        <v>2146</v>
      </c>
      <c r="J13" s="3549" t="s">
        <v>2153</v>
      </c>
      <c r="K13" s="3549" t="s">
        <v>2146</v>
      </c>
      <c r="L13" s="3549" t="s">
        <v>2146</v>
      </c>
      <c r="M13" s="3550">
        <f t="shared" si="0"/>
        <v>521749.08880639501</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7.9810909969999999</v>
      </c>
      <c r="D15" s="3549" t="s">
        <v>2146</v>
      </c>
      <c r="E15" s="3549">
        <v>0.63304705100000003</v>
      </c>
      <c r="F15" s="3549">
        <v>2.443871627</v>
      </c>
      <c r="G15" s="3549" t="s">
        <v>2146</v>
      </c>
      <c r="H15" s="3549">
        <v>13197.389125272</v>
      </c>
      <c r="I15" s="3549" t="s">
        <v>2146</v>
      </c>
      <c r="J15" s="3549" t="s">
        <v>2146</v>
      </c>
      <c r="K15" s="3549" t="s">
        <v>2146</v>
      </c>
      <c r="L15" s="3549" t="s">
        <v>2146</v>
      </c>
      <c r="M15" s="3550">
        <f t="shared" si="0"/>
        <v>13208.447134947</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11.944823183</v>
      </c>
      <c r="D17" s="3549" t="s">
        <v>2146</v>
      </c>
      <c r="E17" s="3549" t="s">
        <v>2146</v>
      </c>
      <c r="F17" s="3549" t="s">
        <v>2146</v>
      </c>
      <c r="G17" s="3549" t="s">
        <v>2146</v>
      </c>
      <c r="H17" s="3549" t="s">
        <v>2146</v>
      </c>
      <c r="I17" s="3549" t="s">
        <v>2146</v>
      </c>
      <c r="J17" s="3549">
        <v>1495.5840925269999</v>
      </c>
      <c r="K17" s="3549" t="s">
        <v>2146</v>
      </c>
      <c r="L17" s="3549" t="s">
        <v>2146</v>
      </c>
      <c r="M17" s="3550">
        <f t="shared" si="0"/>
        <v>1507.5289157099999</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131929.219337927</v>
      </c>
      <c r="D20" s="3551" t="str">
        <f t="shared" ref="D20:L20" si="1">IF(SUM(D10:D19)=0,"NO",SUM(D10:D19))</f>
        <v>NO</v>
      </c>
      <c r="E20" s="3551">
        <f t="shared" si="1"/>
        <v>39973.475517746003</v>
      </c>
      <c r="F20" s="3551">
        <f t="shared" si="1"/>
        <v>521523.576139813</v>
      </c>
      <c r="G20" s="3551" t="str">
        <f t="shared" si="1"/>
        <v>NO</v>
      </c>
      <c r="H20" s="3551">
        <f t="shared" si="1"/>
        <v>13197.449672472001</v>
      </c>
      <c r="I20" s="3551" t="str">
        <f t="shared" si="1"/>
        <v>NO</v>
      </c>
      <c r="J20" s="3551">
        <f t="shared" si="1"/>
        <v>1512.6504862199999</v>
      </c>
      <c r="K20" s="3551">
        <f t="shared" si="1"/>
        <v>60692.328845821001</v>
      </c>
      <c r="L20" s="3551" t="str">
        <f t="shared" si="1"/>
        <v>NO</v>
      </c>
      <c r="M20" s="3550">
        <f t="shared" si="0"/>
        <v>768828.69999999902</v>
      </c>
    </row>
    <row r="21" spans="2:13" ht="18" customHeight="1" thickBot="1" x14ac:dyDescent="0.25">
      <c r="B21" s="2279" t="s">
        <v>1968</v>
      </c>
      <c r="C21" s="3552">
        <f>IF(SUM(C20)=0,"NO",C20-M10)</f>
        <v>229.93314625098719</v>
      </c>
      <c r="D21" s="3552" t="str">
        <f>IF(SUM(D20)=0,"NO",D20-M11)</f>
        <v>NO</v>
      </c>
      <c r="E21" s="3552">
        <f>IF(SUM(E20)=0,"NO",E20-M12)</f>
        <v>1.4554122960034874</v>
      </c>
      <c r="F21" s="3552">
        <f>IF(SUM(F20)=0,"NO",F20-M13)</f>
        <v>-225.51266658201348</v>
      </c>
      <c r="G21" s="3552" t="str">
        <f>IF(SUM(G20)=0,"NO",G20-M14)</f>
        <v>NO</v>
      </c>
      <c r="H21" s="3552">
        <f>IF(SUM(H20)=0,"NO",H20-M15)</f>
        <v>-10.997462474999338</v>
      </c>
      <c r="I21" s="3552" t="str">
        <f>IF(SUM(I20)=0,"NO",I20-M16)</f>
        <v>NO</v>
      </c>
      <c r="J21" s="3552">
        <f>IF(SUM(J20)=0,"NO",J20-M17)</f>
        <v>5.1215705100000832</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132085.60870283697</v>
      </c>
      <c r="E10" s="3556">
        <f t="shared" ref="E10:U10" si="0">IF(SUM(E11,E16)=0,"IE",SUM(E11,E16))</f>
        <v>131929.21933792863</v>
      </c>
      <c r="F10" s="3557">
        <f t="shared" si="0"/>
        <v>156.3893649083515</v>
      </c>
      <c r="G10" s="3558">
        <f t="shared" ref="G10:K11" si="1">IFERROR(IF(SUM($D10)=0,"NA",N10/$D10),"NA")</f>
        <v>0.14182675388682922</v>
      </c>
      <c r="H10" s="3078">
        <f t="shared" si="1"/>
        <v>-5.0197090546424536E-3</v>
      </c>
      <c r="I10" s="3078">
        <f t="shared" si="1"/>
        <v>0.13680704483218678</v>
      </c>
      <c r="J10" s="3078">
        <f t="shared" si="1"/>
        <v>-3.7726054027914101E-3</v>
      </c>
      <c r="K10" s="3078">
        <f t="shared" si="1"/>
        <v>-2.0550641819347729E-4</v>
      </c>
      <c r="L10" s="3078">
        <f>IFERROR(IF(SUM(E10)=0,"NA",S10/E10),"NA")</f>
        <v>-3.7257796927902022E-2</v>
      </c>
      <c r="M10" s="3128">
        <f>IFERROR(IF(SUM(F10)=0,"NA",T10/F10),"NA")</f>
        <v>-0.1997406719595072</v>
      </c>
      <c r="N10" s="3559">
        <f t="shared" si="0"/>
        <v>18733.273117489287</v>
      </c>
      <c r="O10" s="3560">
        <f t="shared" si="0"/>
        <v>-663.03132599359083</v>
      </c>
      <c r="P10" s="3560">
        <f t="shared" si="0"/>
        <v>18070.241791495697</v>
      </c>
      <c r="Q10" s="3560">
        <f t="shared" si="0"/>
        <v>-498.30688102331482</v>
      </c>
      <c r="R10" s="3560">
        <f t="shared" si="0"/>
        <v>-27.144440339425216</v>
      </c>
      <c r="S10" s="3560">
        <f t="shared" si="0"/>
        <v>-4915.3920629491895</v>
      </c>
      <c r="T10" s="3561">
        <f t="shared" si="0"/>
        <v>-31.237316834114704</v>
      </c>
      <c r="U10" s="3562">
        <f t="shared" si="0"/>
        <v>-46193.257331282068</v>
      </c>
      <c r="W10" s="2396"/>
    </row>
    <row r="11" spans="2:23" ht="18" customHeight="1" x14ac:dyDescent="0.2">
      <c r="B11" s="502" t="s">
        <v>982</v>
      </c>
      <c r="C11" s="2256"/>
      <c r="D11" s="3563">
        <f>IF(SUM(D12:D15)=0,"IE",SUM(D12:D15))</f>
        <v>120803.241774391</v>
      </c>
      <c r="E11" s="3564">
        <f t="shared" ref="E11:U11" si="2">IF(SUM(E12:E15)=0,"IE",SUM(E12:E15))</f>
        <v>120803.241774391</v>
      </c>
      <c r="F11" s="3565" t="str">
        <f t="shared" si="2"/>
        <v>IE</v>
      </c>
      <c r="G11" s="3558">
        <f t="shared" si="1"/>
        <v>5.9371246537607253E-2</v>
      </c>
      <c r="H11" s="3078">
        <f t="shared" si="1"/>
        <v>-5.4885226278269163E-3</v>
      </c>
      <c r="I11" s="3078">
        <f t="shared" si="1"/>
        <v>5.3882723909780335E-2</v>
      </c>
      <c r="J11" s="3078">
        <f t="shared" si="1"/>
        <v>-8.0733030343189127E-3</v>
      </c>
      <c r="K11" s="3078">
        <f t="shared" si="1"/>
        <v>2.1526336970601537E-3</v>
      </c>
      <c r="L11" s="3078">
        <f t="shared" ref="L11:L28" si="3">IFERROR(IF(SUM(E11)=0,"NA",S11/E11),"NA")</f>
        <v>-2.7281681619764023E-2</v>
      </c>
      <c r="M11" s="3128" t="str">
        <f t="shared" ref="M11:M28" si="4">IFERROR(IF(SUM(F11)=0,"NA",T11/F11),"NA")</f>
        <v>NA</v>
      </c>
      <c r="N11" s="3109">
        <f t="shared" si="2"/>
        <v>7172.2390499295434</v>
      </c>
      <c r="O11" s="3109">
        <f t="shared" si="2"/>
        <v>-663.03132599359083</v>
      </c>
      <c r="P11" s="3109">
        <f t="shared" si="2"/>
        <v>6509.2077239359523</v>
      </c>
      <c r="Q11" s="3109">
        <f t="shared" si="2"/>
        <v>-975.28117837275204</v>
      </c>
      <c r="R11" s="3566">
        <f t="shared" si="2"/>
        <v>260.0451289576589</v>
      </c>
      <c r="S11" s="3566">
        <f t="shared" si="2"/>
        <v>-3295.7155807243125</v>
      </c>
      <c r="T11" s="3566" t="str">
        <f t="shared" si="2"/>
        <v>IE</v>
      </c>
      <c r="U11" s="3567">
        <f t="shared" si="2"/>
        <v>-9160.2723439206693</v>
      </c>
      <c r="W11" s="2397"/>
    </row>
    <row r="12" spans="2:23" ht="18" customHeight="1" x14ac:dyDescent="0.2">
      <c r="B12" s="500"/>
      <c r="C12" s="508" t="s">
        <v>2220</v>
      </c>
      <c r="D12" s="3568">
        <f>IF(SUM(E12:F12)=0,E12,SUM(E12:F12))</f>
        <v>12267.269069199081</v>
      </c>
      <c r="E12" s="3569">
        <v>12267.269069199081</v>
      </c>
      <c r="F12" s="3554" t="s">
        <v>2153</v>
      </c>
      <c r="G12" s="3558">
        <f>IFERROR(IF(SUM($D12)=0,"NA",N12/$D12),"NA")</f>
        <v>0.58466468856852194</v>
      </c>
      <c r="H12" s="3078" t="str">
        <f>IFERROR(IF(SUM($D12)=0,"NA",O12/$D12),"NA")</f>
        <v>NA</v>
      </c>
      <c r="I12" s="3078">
        <f>IFERROR(IF(SUM($D12)=0,"NA",P12/$D12),"NA")</f>
        <v>0.58466468856852194</v>
      </c>
      <c r="J12" s="3078">
        <f>IFERROR(IF(SUM($D12)=0,"NA",Q12/$D12),"NA")</f>
        <v>-1.8330895275796982E-2</v>
      </c>
      <c r="K12" s="3078">
        <f>IFERROR(IF(SUM($D12)=0,"NA",R12/$D12),"NA")</f>
        <v>3.6884062483689209E-2</v>
      </c>
      <c r="L12" s="3078">
        <f t="shared" si="3"/>
        <v>-0.28294897525284474</v>
      </c>
      <c r="M12" s="3128" t="str">
        <f t="shared" si="4"/>
        <v>NA</v>
      </c>
      <c r="N12" s="2905">
        <v>7172.2390499295434</v>
      </c>
      <c r="O12" s="2905" t="s">
        <v>2153</v>
      </c>
      <c r="P12" s="3109">
        <f>IF(SUM(N12:O12)=0,N12,SUM(N12:O12))</f>
        <v>7172.2390499295434</v>
      </c>
      <c r="Q12" s="2905">
        <v>-224.87002462751187</v>
      </c>
      <c r="R12" s="2906">
        <v>452.46671885256683</v>
      </c>
      <c r="S12" s="2906">
        <v>-3471.0112122807982</v>
      </c>
      <c r="T12" s="2906" t="s">
        <v>2153</v>
      </c>
      <c r="U12" s="3570">
        <f>IF(SUM(P12:T12)=0,P12,SUM(P12:T12)*-44/12)</f>
        <v>-14405.68995020393</v>
      </c>
      <c r="W12" s="2398"/>
    </row>
    <row r="13" spans="2:23" ht="18" customHeight="1" x14ac:dyDescent="0.2">
      <c r="B13" s="500"/>
      <c r="C13" s="508" t="s">
        <v>2221</v>
      </c>
      <c r="D13" s="3568">
        <f t="shared" ref="D13:D15" si="5">IF(SUM(E13:F13)=0,E13,SUM(E13:F13))</f>
        <v>682.24894237664489</v>
      </c>
      <c r="E13" s="3569">
        <v>682.24894237664489</v>
      </c>
      <c r="F13" s="3554" t="s">
        <v>2153</v>
      </c>
      <c r="G13" s="3558" t="str">
        <f t="shared" ref="G13:K28" si="6">IFERROR(IF(SUM($D13)=0,"NA",N13/$D13),"NA")</f>
        <v>NA</v>
      </c>
      <c r="H13" s="3078">
        <f t="shared" si="6"/>
        <v>-4.9408646398636825E-3</v>
      </c>
      <c r="I13" s="3078">
        <f t="shared" si="6"/>
        <v>-4.9408646398636825E-3</v>
      </c>
      <c r="J13" s="3078">
        <f t="shared" si="6"/>
        <v>-0.71517586559352042</v>
      </c>
      <c r="K13" s="3078">
        <f t="shared" si="6"/>
        <v>-0.47507533434584193</v>
      </c>
      <c r="L13" s="3078">
        <f t="shared" si="3"/>
        <v>0.25693793081721111</v>
      </c>
      <c r="M13" s="3128" t="str">
        <f t="shared" si="4"/>
        <v>NA</v>
      </c>
      <c r="N13" s="2905" t="s">
        <v>2153</v>
      </c>
      <c r="O13" s="2905">
        <v>-3.3708996749731597</v>
      </c>
      <c r="P13" s="3109">
        <f t="shared" ref="P13:P15" si="7">IF(SUM(N13:O13)=0,N13,SUM(N13:O13))</f>
        <v>-3.3708996749731597</v>
      </c>
      <c r="Q13" s="2905">
        <v>-487.92797791448083</v>
      </c>
      <c r="R13" s="2906">
        <v>-324.11964440668163</v>
      </c>
      <c r="S13" s="2906">
        <v>175.29563155648583</v>
      </c>
      <c r="T13" s="2906" t="s">
        <v>2153</v>
      </c>
      <c r="U13" s="3570">
        <f t="shared" ref="U13:U15" si="8">IF(SUM(P13:T13)=0,P13,SUM(P13:T13)*-44/12)</f>
        <v>2347.1172649453824</v>
      </c>
      <c r="W13" s="2398"/>
    </row>
    <row r="14" spans="2:23" ht="18" customHeight="1" x14ac:dyDescent="0.2">
      <c r="B14" s="500"/>
      <c r="C14" s="508" t="s">
        <v>2222</v>
      </c>
      <c r="D14" s="3568">
        <f t="shared" si="5"/>
        <v>107853.72376281528</v>
      </c>
      <c r="E14" s="3569">
        <v>107853.72376281528</v>
      </c>
      <c r="F14" s="3554" t="s">
        <v>2153</v>
      </c>
      <c r="G14" s="3558" t="str">
        <f t="shared" si="6"/>
        <v>NA</v>
      </c>
      <c r="H14" s="3078">
        <f t="shared" si="6"/>
        <v>-6.0910994422405489E-4</v>
      </c>
      <c r="I14" s="3078">
        <f t="shared" si="6"/>
        <v>-6.0910994422405489E-4</v>
      </c>
      <c r="J14" s="3078">
        <f t="shared" si="6"/>
        <v>-1.0053761412842997E-3</v>
      </c>
      <c r="K14" s="3078">
        <f t="shared" si="6"/>
        <v>1.2210802735137388E-3</v>
      </c>
      <c r="L14" s="3078" t="str">
        <f t="shared" si="3"/>
        <v>NA</v>
      </c>
      <c r="M14" s="3128" t="str">
        <f t="shared" si="4"/>
        <v>NA</v>
      </c>
      <c r="N14" s="2905" t="s">
        <v>2153</v>
      </c>
      <c r="O14" s="2905">
        <v>-65.694775665525043</v>
      </c>
      <c r="P14" s="3109">
        <f t="shared" si="7"/>
        <v>-65.694775665525043</v>
      </c>
      <c r="Q14" s="2905">
        <v>-108.43356061980199</v>
      </c>
      <c r="R14" s="2906">
        <v>131.69805451177371</v>
      </c>
      <c r="S14" s="2906" t="s">
        <v>2147</v>
      </c>
      <c r="T14" s="2906" t="s">
        <v>2147</v>
      </c>
      <c r="U14" s="3570">
        <f t="shared" si="8"/>
        <v>155.5776998363622</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t="s">
        <v>2153</v>
      </c>
      <c r="O15" s="2905">
        <v>-593.96565065309267</v>
      </c>
      <c r="P15" s="3109">
        <f t="shared" si="7"/>
        <v>-593.96565065309267</v>
      </c>
      <c r="Q15" s="2905">
        <v>-154.04961521095743</v>
      </c>
      <c r="R15" s="2906" t="s">
        <v>2147</v>
      </c>
      <c r="S15" s="2906" t="s">
        <v>2147</v>
      </c>
      <c r="T15" s="2906" t="s">
        <v>2147</v>
      </c>
      <c r="U15" s="3570">
        <f t="shared" si="8"/>
        <v>2742.722641501517</v>
      </c>
      <c r="W15" s="2398"/>
    </row>
    <row r="16" spans="2:23" ht="18" customHeight="1" x14ac:dyDescent="0.2">
      <c r="B16" s="485" t="s">
        <v>1041</v>
      </c>
      <c r="C16" s="504"/>
      <c r="D16" s="3568">
        <f>IF(SUM(D17,D19,D23,D25,D27)=0,"IE",SUM(D17,D19,D23,D25,D27))</f>
        <v>11282.366928445976</v>
      </c>
      <c r="E16" s="3571">
        <f t="shared" ref="E16:T16" si="9">IF(SUM(E17,E19,E23,E25,E27)=0,"IE",SUM(E17,E19,E23,E25,E27))</f>
        <v>11125.977563537625</v>
      </c>
      <c r="F16" s="3572">
        <f t="shared" si="9"/>
        <v>156.3893649083515</v>
      </c>
      <c r="G16" s="3558">
        <f t="shared" si="6"/>
        <v>1.0246993508437641</v>
      </c>
      <c r="H16" s="3078" t="str">
        <f t="shared" si="6"/>
        <v>NA</v>
      </c>
      <c r="I16" s="3078">
        <f t="shared" si="6"/>
        <v>1.0246993508437641</v>
      </c>
      <c r="J16" s="3078">
        <f t="shared" si="6"/>
        <v>4.2276084475399642E-2</v>
      </c>
      <c r="K16" s="3078">
        <f t="shared" si="6"/>
        <v>-2.5454726930835725E-2</v>
      </c>
      <c r="L16" s="3078">
        <f t="shared" si="3"/>
        <v>-0.14557610537818513</v>
      </c>
      <c r="M16" s="3128">
        <f t="shared" si="4"/>
        <v>-0.1997406719595072</v>
      </c>
      <c r="N16" s="3078">
        <f t="shared" si="9"/>
        <v>11561.034067559744</v>
      </c>
      <c r="O16" s="3078" t="str">
        <f t="shared" si="9"/>
        <v>IE</v>
      </c>
      <c r="P16" s="3078">
        <f t="shared" si="9"/>
        <v>11561.034067559744</v>
      </c>
      <c r="Q16" s="3078">
        <f t="shared" si="9"/>
        <v>476.97429734943722</v>
      </c>
      <c r="R16" s="3573">
        <f t="shared" si="9"/>
        <v>-287.18956929708412</v>
      </c>
      <c r="S16" s="3573">
        <f t="shared" si="9"/>
        <v>-1619.6764822248767</v>
      </c>
      <c r="T16" s="3573">
        <f t="shared" si="9"/>
        <v>-31.237316834114704</v>
      </c>
      <c r="U16" s="3570">
        <f>IF(SUM(U17,U19,U23,U25,U27)=0,"IE",SUM(U17,U19,U23,U25,U27))</f>
        <v>-37032.9849873614</v>
      </c>
      <c r="W16" s="2019"/>
    </row>
    <row r="17" spans="2:23" ht="18" customHeight="1" x14ac:dyDescent="0.2">
      <c r="B17" s="487" t="s">
        <v>1042</v>
      </c>
      <c r="C17" s="504"/>
      <c r="D17" s="3568">
        <f>D18</f>
        <v>73.159000000000006</v>
      </c>
      <c r="E17" s="3571">
        <f t="shared" ref="E17:U17" si="10">E18</f>
        <v>73.159000000000006</v>
      </c>
      <c r="F17" s="3572" t="str">
        <f t="shared" si="10"/>
        <v>NO</v>
      </c>
      <c r="G17" s="3558">
        <f t="shared" si="6"/>
        <v>1.4488442980357852</v>
      </c>
      <c r="H17" s="3078" t="str">
        <f t="shared" si="6"/>
        <v>NA</v>
      </c>
      <c r="I17" s="3078">
        <f t="shared" si="6"/>
        <v>1.4488442980357852</v>
      </c>
      <c r="J17" s="3078">
        <f t="shared" si="6"/>
        <v>3.6181467761997842E-2</v>
      </c>
      <c r="K17" s="3078">
        <f t="shared" si="6"/>
        <v>2.2950012985415328E-2</v>
      </c>
      <c r="L17" s="3078">
        <f t="shared" si="3"/>
        <v>-0.38820924288194203</v>
      </c>
      <c r="M17" s="3128" t="str">
        <f t="shared" si="4"/>
        <v>NA</v>
      </c>
      <c r="N17" s="3078">
        <f t="shared" si="10"/>
        <v>105.99600000000001</v>
      </c>
      <c r="O17" s="3078" t="str">
        <f t="shared" si="10"/>
        <v>IE</v>
      </c>
      <c r="P17" s="3078">
        <f t="shared" si="10"/>
        <v>105.99600000000001</v>
      </c>
      <c r="Q17" s="3078">
        <f t="shared" si="10"/>
        <v>2.6470000000000002</v>
      </c>
      <c r="R17" s="3573">
        <f t="shared" si="10"/>
        <v>1.679</v>
      </c>
      <c r="S17" s="3573">
        <f t="shared" si="10"/>
        <v>-28.401</v>
      </c>
      <c r="T17" s="3573" t="str">
        <f t="shared" si="10"/>
        <v>NO</v>
      </c>
      <c r="U17" s="3570">
        <f t="shared" si="10"/>
        <v>-300.37700000000007</v>
      </c>
      <c r="W17" s="2019"/>
    </row>
    <row r="18" spans="2:23" ht="18" customHeight="1" x14ac:dyDescent="0.2">
      <c r="B18" s="488"/>
      <c r="C18" s="508" t="s">
        <v>278</v>
      </c>
      <c r="D18" s="3568">
        <f>IF(SUM(E18:F18)=0,E18,SUM(E18:F18))</f>
        <v>73.159000000000006</v>
      </c>
      <c r="E18" s="3569">
        <v>73.159000000000006</v>
      </c>
      <c r="F18" s="3554" t="s">
        <v>2146</v>
      </c>
      <c r="G18" s="3558">
        <f t="shared" si="6"/>
        <v>1.4488442980357852</v>
      </c>
      <c r="H18" s="3078" t="str">
        <f t="shared" si="6"/>
        <v>NA</v>
      </c>
      <c r="I18" s="3078">
        <f t="shared" si="6"/>
        <v>1.4488442980357852</v>
      </c>
      <c r="J18" s="3078">
        <f t="shared" si="6"/>
        <v>3.6181467761997842E-2</v>
      </c>
      <c r="K18" s="3078">
        <f t="shared" si="6"/>
        <v>2.2950012985415328E-2</v>
      </c>
      <c r="L18" s="3078">
        <f t="shared" si="3"/>
        <v>-0.38820924288194203</v>
      </c>
      <c r="M18" s="3128" t="str">
        <f t="shared" si="4"/>
        <v>NA</v>
      </c>
      <c r="N18" s="2905">
        <v>105.99600000000001</v>
      </c>
      <c r="O18" s="2905" t="s">
        <v>2153</v>
      </c>
      <c r="P18" s="3109">
        <f>IF(SUM(N18:O18)=0,N18,SUM(N18:O18))</f>
        <v>105.99600000000001</v>
      </c>
      <c r="Q18" s="2905">
        <v>2.6470000000000002</v>
      </c>
      <c r="R18" s="2906">
        <v>1.679</v>
      </c>
      <c r="S18" s="2906">
        <v>-28.401</v>
      </c>
      <c r="T18" s="2906" t="s">
        <v>2146</v>
      </c>
      <c r="U18" s="3570">
        <f t="shared" ref="U18" si="11">IF(SUM(P18:T18)=0,P18,SUM(P18:T18)*-44/12)</f>
        <v>-300.37700000000007</v>
      </c>
      <c r="W18" s="2398"/>
    </row>
    <row r="19" spans="2:23" ht="18" customHeight="1" x14ac:dyDescent="0.2">
      <c r="B19" s="487" t="s">
        <v>1043</v>
      </c>
      <c r="C19" s="504"/>
      <c r="D19" s="3563">
        <f>IF(SUM(D20:D22)=0,"IE",SUM(D20:D22))</f>
        <v>10995.352563537625</v>
      </c>
      <c r="E19" s="3571">
        <f t="shared" ref="E19:U19" si="12">IF(SUM(E20:E22)=0,"IE",SUM(E20:E22))</f>
        <v>10995.352563537625</v>
      </c>
      <c r="F19" s="3572" t="str">
        <f t="shared" si="12"/>
        <v>IE</v>
      </c>
      <c r="G19" s="3558">
        <f t="shared" si="6"/>
        <v>0.91522019755252859</v>
      </c>
      <c r="H19" s="3078" t="str">
        <f t="shared" si="6"/>
        <v>NA</v>
      </c>
      <c r="I19" s="3078">
        <f t="shared" si="6"/>
        <v>0.91522019755252859</v>
      </c>
      <c r="J19" s="3078">
        <f t="shared" si="6"/>
        <v>5.240729285699687E-2</v>
      </c>
      <c r="K19" s="3078">
        <f t="shared" si="6"/>
        <v>-2.8254163509822006E-2</v>
      </c>
      <c r="L19" s="3078">
        <f t="shared" si="3"/>
        <v>-0.14019627595542192</v>
      </c>
      <c r="M19" s="3128" t="str">
        <f t="shared" si="4"/>
        <v>NA</v>
      </c>
      <c r="N19" s="3078">
        <f t="shared" si="12"/>
        <v>10063.168745360606</v>
      </c>
      <c r="O19" s="3078" t="str">
        <f t="shared" si="12"/>
        <v>IE</v>
      </c>
      <c r="P19" s="3078">
        <f t="shared" si="12"/>
        <v>10063.168745360606</v>
      </c>
      <c r="Q19" s="3078">
        <f t="shared" si="12"/>
        <v>576.2366618632476</v>
      </c>
      <c r="R19" s="3573">
        <f t="shared" si="12"/>
        <v>-310.66448917833259</v>
      </c>
      <c r="S19" s="3573">
        <f t="shared" si="12"/>
        <v>-1541.5074822248766</v>
      </c>
      <c r="T19" s="3573" t="str">
        <f t="shared" si="12"/>
        <v>IE</v>
      </c>
      <c r="U19" s="3570">
        <f t="shared" si="12"/>
        <v>-32219.855931342368</v>
      </c>
      <c r="W19" s="2019"/>
    </row>
    <row r="20" spans="2:23" ht="18" customHeight="1" x14ac:dyDescent="0.2">
      <c r="B20" s="496"/>
      <c r="C20" s="508" t="s">
        <v>2223</v>
      </c>
      <c r="D20" s="3568">
        <f>IF(SUM(E20:F20)=0,E20,SUM(E20:F20))</f>
        <v>2878.8499999999985</v>
      </c>
      <c r="E20" s="3569">
        <v>2878.8499999999985</v>
      </c>
      <c r="F20" s="3554" t="s">
        <v>2146</v>
      </c>
      <c r="G20" s="3558">
        <f t="shared" si="6"/>
        <v>1.422224152005142</v>
      </c>
      <c r="H20" s="3078" t="str">
        <f t="shared" si="6"/>
        <v>NA</v>
      </c>
      <c r="I20" s="3078">
        <f t="shared" si="6"/>
        <v>1.422224152005142</v>
      </c>
      <c r="J20" s="3078">
        <f t="shared" si="6"/>
        <v>5.2571686610973015E-2</v>
      </c>
      <c r="K20" s="3078">
        <f t="shared" si="6"/>
        <v>2.8943154384563279E-2</v>
      </c>
      <c r="L20" s="3078">
        <f t="shared" si="3"/>
        <v>-0.46495336679576943</v>
      </c>
      <c r="M20" s="3128" t="str">
        <f t="shared" si="4"/>
        <v>NA</v>
      </c>
      <c r="N20" s="2905">
        <v>4094.3700000000008</v>
      </c>
      <c r="O20" s="2905" t="s">
        <v>2153</v>
      </c>
      <c r="P20" s="3109">
        <f>IF(SUM(N20:O20)=0,N20,SUM(N20:O20))</f>
        <v>4094.3700000000008</v>
      </c>
      <c r="Q20" s="2905">
        <v>151.34599999999958</v>
      </c>
      <c r="R20" s="2906">
        <v>83.322999999999951</v>
      </c>
      <c r="S20" s="2906">
        <v>-1338.5310000000002</v>
      </c>
      <c r="T20" s="2906" t="s">
        <v>2146</v>
      </c>
      <c r="U20" s="3570">
        <f t="shared" ref="U20:U22" si="13">IF(SUM(P20:T20)=0,P20,SUM(P20:T20)*-44/12)</f>
        <v>-10965.196000000004</v>
      </c>
      <c r="W20" s="2398"/>
    </row>
    <row r="21" spans="2:23" ht="18" customHeight="1" x14ac:dyDescent="0.2">
      <c r="B21" s="500"/>
      <c r="C21" s="508" t="s">
        <v>2291</v>
      </c>
      <c r="D21" s="3568">
        <f>IF(SUM(E21:F21)=0,E21,SUM(E21:F21))</f>
        <v>8116.502563537626</v>
      </c>
      <c r="E21" s="3569">
        <v>8116.502563537626</v>
      </c>
      <c r="F21" s="3554" t="s">
        <v>2146</v>
      </c>
      <c r="G21" s="3558">
        <f t="shared" si="6"/>
        <v>0.73521638703003189</v>
      </c>
      <c r="H21" s="3078" t="str">
        <f t="shared" si="6"/>
        <v>NA</v>
      </c>
      <c r="I21" s="3078">
        <f t="shared" si="6"/>
        <v>0.73521638703003189</v>
      </c>
      <c r="J21" s="3078">
        <f t="shared" si="6"/>
        <v>5.2359756775079556E-2</v>
      </c>
      <c r="K21" s="3078">
        <f t="shared" si="6"/>
        <v>-4.8541534496431032E-2</v>
      </c>
      <c r="L21" s="3078">
        <f t="shared" si="3"/>
        <v>-2.5007875083625675E-2</v>
      </c>
      <c r="M21" s="3128" t="str">
        <f t="shared" si="4"/>
        <v>NA</v>
      </c>
      <c r="N21" s="2905">
        <v>5967.3856900841256</v>
      </c>
      <c r="O21" s="2905" t="s">
        <v>2153</v>
      </c>
      <c r="P21" s="3109">
        <f t="shared" ref="P21:P28" si="14">IF(SUM(N21:O21)=0,N21,SUM(N21:O21))</f>
        <v>5967.3856900841256</v>
      </c>
      <c r="Q21" s="2905">
        <v>424.97810009113982</v>
      </c>
      <c r="R21" s="2906">
        <v>-393.98748917833257</v>
      </c>
      <c r="S21" s="2906">
        <v>-202.97648222487652</v>
      </c>
      <c r="T21" s="2906" t="s">
        <v>2146</v>
      </c>
      <c r="U21" s="3570">
        <f t="shared" si="13"/>
        <v>-21249.799335497541</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v>1.4130552764804074</v>
      </c>
      <c r="O22" s="2905" t="s">
        <v>2153</v>
      </c>
      <c r="P22" s="3109">
        <f t="shared" si="14"/>
        <v>1.4130552764804074</v>
      </c>
      <c r="Q22" s="2905">
        <v>-8.7438227891768694E-2</v>
      </c>
      <c r="R22" s="2906" t="s">
        <v>2147</v>
      </c>
      <c r="S22" s="2906" t="s">
        <v>2147</v>
      </c>
      <c r="T22" s="2906" t="s">
        <v>2147</v>
      </c>
      <c r="U22" s="3570">
        <f t="shared" si="13"/>
        <v>-4.8605958448250091</v>
      </c>
      <c r="W22" s="2398"/>
    </row>
    <row r="23" spans="2:23" ht="18" customHeight="1" x14ac:dyDescent="0.2">
      <c r="B23" s="487" t="s">
        <v>1044</v>
      </c>
      <c r="C23" s="504"/>
      <c r="D23" s="3568">
        <f>D24</f>
        <v>156.3893649083515</v>
      </c>
      <c r="E23" s="3571" t="str">
        <f t="shared" ref="E23" si="15">E24</f>
        <v>NO</v>
      </c>
      <c r="F23" s="3572">
        <f t="shared" ref="F23" si="16">F24</f>
        <v>156.3893649083515</v>
      </c>
      <c r="G23" s="3558">
        <f t="shared" si="6"/>
        <v>8.2675015846304003</v>
      </c>
      <c r="H23" s="3078" t="str">
        <f t="shared" si="6"/>
        <v>NA</v>
      </c>
      <c r="I23" s="3078">
        <f t="shared" si="6"/>
        <v>8.2675015846304003</v>
      </c>
      <c r="J23" s="3078">
        <f t="shared" si="6"/>
        <v>-0.67420418629873091</v>
      </c>
      <c r="K23" s="3078">
        <f t="shared" si="6"/>
        <v>0.12358845432088809</v>
      </c>
      <c r="L23" s="3078" t="str">
        <f t="shared" si="3"/>
        <v>NA</v>
      </c>
      <c r="M23" s="3128">
        <f t="shared" si="4"/>
        <v>-0.1997406719595072</v>
      </c>
      <c r="N23" s="3078">
        <f t="shared" ref="N23" si="17">N24</f>
        <v>1292.9493221991379</v>
      </c>
      <c r="O23" s="3078" t="str">
        <f t="shared" ref="O23" si="18">O24</f>
        <v>IE</v>
      </c>
      <c r="P23" s="3078">
        <f t="shared" ref="P23" si="19">P24</f>
        <v>1292.9493221991379</v>
      </c>
      <c r="Q23" s="3078">
        <f t="shared" ref="Q23" si="20">Q24</f>
        <v>-105.43836451381043</v>
      </c>
      <c r="R23" s="3573">
        <f t="shared" ref="R23" si="21">R24</f>
        <v>19.327919881248498</v>
      </c>
      <c r="S23" s="3573" t="str">
        <f t="shared" ref="S23" si="22">S24</f>
        <v>NO</v>
      </c>
      <c r="T23" s="3573">
        <f t="shared" ref="T23" si="23">T24</f>
        <v>-31.237316834114704</v>
      </c>
      <c r="U23" s="3570">
        <f t="shared" ref="U23" si="24">U24</f>
        <v>-4310.5390560190253</v>
      </c>
      <c r="W23" s="2019"/>
    </row>
    <row r="24" spans="2:23" ht="18" customHeight="1" x14ac:dyDescent="0.2">
      <c r="B24" s="488"/>
      <c r="C24" s="508" t="s">
        <v>278</v>
      </c>
      <c r="D24" s="3568">
        <f>IF(SUM(E24:F24)=0,E24,SUM(E24:F24))</f>
        <v>156.3893649083515</v>
      </c>
      <c r="E24" s="3569" t="s">
        <v>2146</v>
      </c>
      <c r="F24" s="3554">
        <v>156.3893649083515</v>
      </c>
      <c r="G24" s="3558">
        <f t="shared" si="6"/>
        <v>8.2675015846304003</v>
      </c>
      <c r="H24" s="3078" t="str">
        <f t="shared" si="6"/>
        <v>NA</v>
      </c>
      <c r="I24" s="3078">
        <f t="shared" si="6"/>
        <v>8.2675015846304003</v>
      </c>
      <c r="J24" s="3078">
        <f t="shared" si="6"/>
        <v>-0.67420418629873091</v>
      </c>
      <c r="K24" s="3078">
        <f t="shared" si="6"/>
        <v>0.12358845432088809</v>
      </c>
      <c r="L24" s="3078" t="str">
        <f t="shared" si="3"/>
        <v>NA</v>
      </c>
      <c r="M24" s="3128">
        <f t="shared" si="4"/>
        <v>-0.1997406719595072</v>
      </c>
      <c r="N24" s="2905">
        <v>1292.9493221991379</v>
      </c>
      <c r="O24" s="2905" t="s">
        <v>2153</v>
      </c>
      <c r="P24" s="3109">
        <f t="shared" si="14"/>
        <v>1292.9493221991379</v>
      </c>
      <c r="Q24" s="2905">
        <v>-105.43836451381043</v>
      </c>
      <c r="R24" s="2906">
        <v>19.327919881248498</v>
      </c>
      <c r="S24" s="2906" t="s">
        <v>2146</v>
      </c>
      <c r="T24" s="2906">
        <v>-31.237316834114704</v>
      </c>
      <c r="U24" s="3570">
        <f t="shared" ref="U24" si="25">IF(SUM(P24:T24)=0,P24,SUM(P24:T24)*-44/12)</f>
        <v>-4310.5390560190253</v>
      </c>
      <c r="W24" s="2398"/>
    </row>
    <row r="25" spans="2:23" ht="18" customHeight="1" x14ac:dyDescent="0.2">
      <c r="B25" s="487" t="s">
        <v>1045</v>
      </c>
      <c r="C25" s="504"/>
      <c r="D25" s="3568">
        <f>D26</f>
        <v>57.466000000000001</v>
      </c>
      <c r="E25" s="3571">
        <f t="shared" ref="E25" si="26">E26</f>
        <v>57.466000000000001</v>
      </c>
      <c r="F25" s="3572" t="str">
        <f t="shared" ref="F25" si="27">F26</f>
        <v>NO</v>
      </c>
      <c r="G25" s="3558">
        <f t="shared" si="6"/>
        <v>1.7213656770960217</v>
      </c>
      <c r="H25" s="3078" t="str">
        <f t="shared" si="6"/>
        <v>NA</v>
      </c>
      <c r="I25" s="3078">
        <f t="shared" si="6"/>
        <v>1.7213656770960217</v>
      </c>
      <c r="J25" s="3078">
        <f t="shared" si="6"/>
        <v>6.1410225176626171E-2</v>
      </c>
      <c r="K25" s="3078">
        <f t="shared" si="6"/>
        <v>4.2947133957470504E-2</v>
      </c>
      <c r="L25" s="3078">
        <f t="shared" si="3"/>
        <v>-0.86604252949570182</v>
      </c>
      <c r="M25" s="3128" t="str">
        <f t="shared" si="4"/>
        <v>NA</v>
      </c>
      <c r="N25" s="3078">
        <f t="shared" ref="N25" si="28">N26</f>
        <v>98.919999999999987</v>
      </c>
      <c r="O25" s="3078" t="str">
        <f t="shared" ref="O25" si="29">O26</f>
        <v>IE</v>
      </c>
      <c r="P25" s="3078">
        <f t="shared" ref="P25" si="30">P26</f>
        <v>98.919999999999987</v>
      </c>
      <c r="Q25" s="3078">
        <f t="shared" ref="Q25" si="31">Q26</f>
        <v>3.5289999999999995</v>
      </c>
      <c r="R25" s="3573">
        <f t="shared" ref="R25" si="32">R26</f>
        <v>2.468</v>
      </c>
      <c r="S25" s="3573">
        <f t="shared" ref="S25" si="33">S26</f>
        <v>-49.768000000000001</v>
      </c>
      <c r="T25" s="3573" t="str">
        <f t="shared" ref="T25" si="34">T26</f>
        <v>NO</v>
      </c>
      <c r="U25" s="3570">
        <f t="shared" ref="U25" si="35">U26</f>
        <v>-202.21299999999997</v>
      </c>
      <c r="W25" s="2019"/>
    </row>
    <row r="26" spans="2:23" ht="18" customHeight="1" x14ac:dyDescent="0.2">
      <c r="B26" s="488"/>
      <c r="C26" s="508" t="s">
        <v>278</v>
      </c>
      <c r="D26" s="3568">
        <f>IF(SUM(E26:F26)=0,E26,SUM(E26:F26))</f>
        <v>57.466000000000001</v>
      </c>
      <c r="E26" s="3569">
        <v>57.466000000000001</v>
      </c>
      <c r="F26" s="3554" t="s">
        <v>2146</v>
      </c>
      <c r="G26" s="3558">
        <f t="shared" si="6"/>
        <v>1.7213656770960217</v>
      </c>
      <c r="H26" s="3078" t="str">
        <f t="shared" si="6"/>
        <v>NA</v>
      </c>
      <c r="I26" s="3078">
        <f t="shared" si="6"/>
        <v>1.7213656770960217</v>
      </c>
      <c r="J26" s="3078">
        <f t="shared" si="6"/>
        <v>6.1410225176626171E-2</v>
      </c>
      <c r="K26" s="3078">
        <f t="shared" si="6"/>
        <v>4.2947133957470504E-2</v>
      </c>
      <c r="L26" s="3078">
        <f t="shared" si="3"/>
        <v>-0.86604252949570182</v>
      </c>
      <c r="M26" s="3128" t="str">
        <f t="shared" si="4"/>
        <v>NA</v>
      </c>
      <c r="N26" s="2905">
        <v>98.919999999999987</v>
      </c>
      <c r="O26" s="2905" t="s">
        <v>2153</v>
      </c>
      <c r="P26" s="3109">
        <f t="shared" si="14"/>
        <v>98.919999999999987</v>
      </c>
      <c r="Q26" s="2905">
        <v>3.5289999999999995</v>
      </c>
      <c r="R26" s="2906">
        <v>2.468</v>
      </c>
      <c r="S26" s="2906">
        <v>-49.768000000000001</v>
      </c>
      <c r="T26" s="2906" t="s">
        <v>2146</v>
      </c>
      <c r="U26" s="3570">
        <f t="shared" ref="U26" si="36">IF(SUM(P26:T26)=0,P26,SUM(P26:T26)*-44/12)</f>
        <v>-202.21299999999997</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39973.475517746818</v>
      </c>
      <c r="E10" s="3583">
        <f t="shared" ref="E10:F10" si="0">IF(SUM(E11,E13)=0,"IE",SUM(E11,E13))</f>
        <v>39970.475517746818</v>
      </c>
      <c r="F10" s="3584">
        <f t="shared" si="0"/>
        <v>3</v>
      </c>
      <c r="G10" s="3558">
        <f>IFERROR(IF(SUM($D10)=0,"NA",M10/$D10),"NA")</f>
        <v>8.494673799401168E-3</v>
      </c>
      <c r="H10" s="3583" t="str">
        <f t="shared" ref="H10:J10" si="1">IFERROR(IF(SUM($D10)=0,"NA",N10/$D10),"NA")</f>
        <v>NA</v>
      </c>
      <c r="I10" s="3583">
        <f t="shared" si="1"/>
        <v>8.494673799401168E-3</v>
      </c>
      <c r="J10" s="3583">
        <f t="shared" si="1"/>
        <v>-2.7212544966650795E-3</v>
      </c>
      <c r="K10" s="3585">
        <f>IFERROR(IF(SUM(E10)=0,"NA",Q10/E10),"NA")</f>
        <v>-2.8140767990787803E-2</v>
      </c>
      <c r="L10" s="3584">
        <f>IFERROR(IF(SUM(F10)=0,"NA",R10/F10),"NA")</f>
        <v>-12.475</v>
      </c>
      <c r="M10" s="3586">
        <f>IF(SUM(M11,M13)=0,"IE",SUM(M11,M13))</f>
        <v>339.5616351516079</v>
      </c>
      <c r="N10" s="3583" t="str">
        <f t="shared" ref="N10:S10" si="2">IF(SUM(N11,N13)=0,"IE",SUM(N11,N13))</f>
        <v>IE</v>
      </c>
      <c r="O10" s="3587">
        <f t="shared" si="2"/>
        <v>339.5616351516079</v>
      </c>
      <c r="P10" s="3583">
        <f t="shared" si="2"/>
        <v>-108.77799999999999</v>
      </c>
      <c r="Q10" s="3585">
        <f t="shared" si="2"/>
        <v>-1124.7998780263772</v>
      </c>
      <c r="R10" s="3585">
        <f t="shared" si="2"/>
        <v>-37.424999999999997</v>
      </c>
      <c r="S10" s="3588">
        <f t="shared" si="2"/>
        <v>3415.2845572074875</v>
      </c>
      <c r="U10" s="2261"/>
    </row>
    <row r="11" spans="2:21" ht="18" customHeight="1" x14ac:dyDescent="0.2">
      <c r="B11" s="499" t="s">
        <v>985</v>
      </c>
      <c r="C11" s="2256"/>
      <c r="D11" s="3589">
        <f>D12</f>
        <v>37674.771576719002</v>
      </c>
      <c r="E11" s="3078">
        <f t="shared" ref="E11" si="3">E12</f>
        <v>37674.771576719002</v>
      </c>
      <c r="F11" s="3078" t="str">
        <f t="shared" ref="F11" si="4">F12</f>
        <v>IE</v>
      </c>
      <c r="G11" s="3558">
        <f t="shared" ref="G11:G23" si="5">IFERROR(IF(SUM($D11)=0,"NA",M11/$D11),"NA")</f>
        <v>7.6113627107769722E-4</v>
      </c>
      <c r="H11" s="3078" t="str">
        <f t="shared" ref="H11:H23" si="6">IFERROR(IF(SUM($D11)=0,"NA",N11/$D11),"NA")</f>
        <v>NA</v>
      </c>
      <c r="I11" s="3078">
        <f t="shared" ref="I11:I23" si="7">IFERROR(IF(SUM($D11)=0,"NA",O11/$D11),"NA")</f>
        <v>7.6113627107769722E-4</v>
      </c>
      <c r="J11" s="3078" t="str">
        <f t="shared" ref="J11:J23" si="8">IFERROR(IF(SUM($D11)=0,"NA",P11/$D11),"NA")</f>
        <v>NA</v>
      </c>
      <c r="K11" s="3573">
        <f t="shared" ref="K11:K23" si="9">IFERROR(IF(SUM(E11)=0,"NA",Q11/E11),"NA")</f>
        <v>-1.900863823378332E-2</v>
      </c>
      <c r="L11" s="3128" t="str">
        <f t="shared" ref="L11:L23" si="10">IFERROR(IF(SUM(F11)=0,"NA",R11/F11),"NA")</f>
        <v>NA</v>
      </c>
      <c r="M11" s="3590">
        <f t="shared" ref="M11" si="11">M12</f>
        <v>28.675635151607917</v>
      </c>
      <c r="N11" s="3591" t="str">
        <f t="shared" ref="N11" si="12">N12</f>
        <v>IE</v>
      </c>
      <c r="O11" s="3592">
        <f t="shared" ref="O11" si="13">O12</f>
        <v>28.675635151607917</v>
      </c>
      <c r="P11" s="3591" t="str">
        <f t="shared" ref="P11" si="14">P12</f>
        <v>NA</v>
      </c>
      <c r="Q11" s="3593">
        <f t="shared" ref="Q11" si="15">Q12</f>
        <v>-716.1461034422739</v>
      </c>
      <c r="R11" s="3593" t="str">
        <f t="shared" ref="R11" si="16">R12</f>
        <v>IE</v>
      </c>
      <c r="S11" s="3594">
        <f t="shared" ref="S11" si="17">S12</f>
        <v>2520.7250503991086</v>
      </c>
      <c r="U11" s="2258"/>
    </row>
    <row r="12" spans="2:21" ht="18" customHeight="1" x14ac:dyDescent="0.2">
      <c r="B12" s="501"/>
      <c r="C12" s="508" t="s">
        <v>278</v>
      </c>
      <c r="D12" s="3568">
        <f>IF(SUM(E12:F12)=0,E12,SUM(E12:F12))</f>
        <v>37674.771576719002</v>
      </c>
      <c r="E12" s="3569">
        <v>37674.771576719002</v>
      </c>
      <c r="F12" s="3554" t="s">
        <v>2153</v>
      </c>
      <c r="G12" s="3558">
        <f t="shared" si="5"/>
        <v>7.6113627107769722E-4</v>
      </c>
      <c r="H12" s="3078" t="str">
        <f t="shared" si="6"/>
        <v>NA</v>
      </c>
      <c r="I12" s="3078">
        <f t="shared" si="7"/>
        <v>7.6113627107769722E-4</v>
      </c>
      <c r="J12" s="3078" t="str">
        <f t="shared" si="8"/>
        <v>NA</v>
      </c>
      <c r="K12" s="3573">
        <f t="shared" si="9"/>
        <v>-1.900863823378332E-2</v>
      </c>
      <c r="L12" s="3128" t="str">
        <f t="shared" si="10"/>
        <v>NA</v>
      </c>
      <c r="M12" s="2905">
        <v>28.675635151607917</v>
      </c>
      <c r="N12" s="2905" t="s">
        <v>2153</v>
      </c>
      <c r="O12" s="3109">
        <f>IF(SUM(M12:N12)=0,M12,SUM(M12:N12))</f>
        <v>28.675635151607917</v>
      </c>
      <c r="P12" s="2905" t="s">
        <v>2147</v>
      </c>
      <c r="Q12" s="2906">
        <v>-716.1461034422739</v>
      </c>
      <c r="R12" s="2906" t="s">
        <v>2153</v>
      </c>
      <c r="S12" s="3594">
        <f>IF(SUM(O12:R12)=0,Q12,SUM(O12:R12)*-44/12)</f>
        <v>2520.7250503991086</v>
      </c>
      <c r="U12" s="2398"/>
    </row>
    <row r="13" spans="2:21" ht="18" customHeight="1" x14ac:dyDescent="0.2">
      <c r="B13" s="485" t="s">
        <v>1054</v>
      </c>
      <c r="C13" s="504"/>
      <c r="D13" s="3589">
        <f>IF(SUM(D14,D16,D18,D20,D22)=0,"IE",SUM(D14,D16,D18,D20,D22))</f>
        <v>2298.7039410278121</v>
      </c>
      <c r="E13" s="3591">
        <f t="shared" ref="E13:F13" si="18">IF(SUM(E14,E16,E18,E20,E22)=0,"IE",SUM(E14,E16,E18,E20,E22))</f>
        <v>2295.7039410278121</v>
      </c>
      <c r="F13" s="3595">
        <f t="shared" si="18"/>
        <v>3</v>
      </c>
      <c r="G13" s="3558">
        <f t="shared" si="5"/>
        <v>0.13524403662917744</v>
      </c>
      <c r="H13" s="3078" t="str">
        <f t="shared" si="6"/>
        <v>NA</v>
      </c>
      <c r="I13" s="3078">
        <f t="shared" si="7"/>
        <v>0.13524403662917744</v>
      </c>
      <c r="J13" s="3078">
        <f t="shared" si="8"/>
        <v>-4.7321448429484325E-2</v>
      </c>
      <c r="K13" s="3573">
        <f t="shared" si="9"/>
        <v>-0.17800804680465224</v>
      </c>
      <c r="L13" s="3128">
        <f t="shared" si="10"/>
        <v>-12.475</v>
      </c>
      <c r="M13" s="3590">
        <f>IF(SUM(M14,M16,M18,M20,M22)=0,"IE",SUM(M14,M16,M18,M20,M22))</f>
        <v>310.88599999999997</v>
      </c>
      <c r="N13" s="3591" t="str">
        <f t="shared" ref="N13" si="19">IF(SUM(N14,N16,N18,N20,N22)=0,"IE",SUM(N14,N16,N18,N20,N22))</f>
        <v>IE</v>
      </c>
      <c r="O13" s="3592">
        <f t="shared" ref="O13" si="20">IF(SUM(O14,O16,O18,O20,O22)=0,"IE",SUM(O14,O16,O18,O20,O22))</f>
        <v>310.88599999999997</v>
      </c>
      <c r="P13" s="3592">
        <f t="shared" ref="P13" si="21">IF(SUM(P14,P16,P18,P20,P22)=0,"IE",SUM(P14,P16,P18,P20,P22))</f>
        <v>-108.77799999999999</v>
      </c>
      <c r="Q13" s="3592">
        <f t="shared" ref="Q13" si="22">IF(SUM(Q14,Q16,Q18,Q20,Q22)=0,"IE",SUM(Q14,Q16,Q18,Q20,Q22))</f>
        <v>-408.65377458410336</v>
      </c>
      <c r="R13" s="3592">
        <f t="shared" ref="R13" si="23">IF(SUM(R14,R16,R18,R20,R22)=0,"IE",SUM(R14,R16,R18,R20,R22))</f>
        <v>-37.424999999999997</v>
      </c>
      <c r="S13" s="3594">
        <f t="shared" ref="S13" si="24">IF(SUM(S14,S16,S18,S20,S22)=0,"IE",SUM(S14,S16,S18,S20,S22))</f>
        <v>894.55950680837907</v>
      </c>
      <c r="U13" s="503"/>
    </row>
    <row r="14" spans="2:21" ht="18" customHeight="1" x14ac:dyDescent="0.2">
      <c r="B14" s="487" t="s">
        <v>1055</v>
      </c>
      <c r="C14" s="504"/>
      <c r="D14" s="3589">
        <f>D15</f>
        <v>2286.0430000000001</v>
      </c>
      <c r="E14" s="3078">
        <f t="shared" ref="E14" si="25">E15</f>
        <v>2286.0430000000001</v>
      </c>
      <c r="F14" s="3078" t="str">
        <f t="shared" ref="F14" si="26">F15</f>
        <v>IE</v>
      </c>
      <c r="G14" s="3558">
        <f t="shared" si="5"/>
        <v>0.13599306749698056</v>
      </c>
      <c r="H14" s="3078" t="str">
        <f t="shared" si="6"/>
        <v>NA</v>
      </c>
      <c r="I14" s="3078">
        <f t="shared" si="7"/>
        <v>0.13599306749698056</v>
      </c>
      <c r="J14" s="3078">
        <f t="shared" si="8"/>
        <v>-4.7583531893319583E-2</v>
      </c>
      <c r="K14" s="3573">
        <f t="shared" si="9"/>
        <v>-0.16641419255893261</v>
      </c>
      <c r="L14" s="3128" t="str">
        <f t="shared" si="10"/>
        <v>NA</v>
      </c>
      <c r="M14" s="3590">
        <f t="shared" ref="M14" si="27">M15</f>
        <v>310.88599999999997</v>
      </c>
      <c r="N14" s="3591" t="str">
        <f t="shared" ref="N14" si="28">N15</f>
        <v>IE</v>
      </c>
      <c r="O14" s="3592">
        <f t="shared" ref="O14" si="29">O15</f>
        <v>310.88599999999997</v>
      </c>
      <c r="P14" s="3591">
        <f t="shared" ref="P14" si="30">P15</f>
        <v>-108.77799999999999</v>
      </c>
      <c r="Q14" s="3593">
        <f t="shared" ref="Q14" si="31">Q15</f>
        <v>-380.43</v>
      </c>
      <c r="R14" s="3593" t="str">
        <f t="shared" ref="R14" si="32">R15</f>
        <v>IE</v>
      </c>
      <c r="S14" s="3594">
        <f t="shared" ref="S14" si="33">S15</f>
        <v>653.84733333333349</v>
      </c>
      <c r="U14" s="503"/>
    </row>
    <row r="15" spans="2:21" ht="18" customHeight="1" x14ac:dyDescent="0.2">
      <c r="B15" s="501"/>
      <c r="C15" s="508" t="s">
        <v>278</v>
      </c>
      <c r="D15" s="3568">
        <f>IF(SUM(E15:F15)=0,E15,SUM(E15:F15))</f>
        <v>2286.0430000000001</v>
      </c>
      <c r="E15" s="3569">
        <v>2286.0430000000001</v>
      </c>
      <c r="F15" s="3554" t="s">
        <v>2153</v>
      </c>
      <c r="G15" s="3558">
        <f t="shared" si="5"/>
        <v>0.13599306749698056</v>
      </c>
      <c r="H15" s="3078" t="str">
        <f t="shared" si="6"/>
        <v>NA</v>
      </c>
      <c r="I15" s="3078">
        <f t="shared" si="7"/>
        <v>0.13599306749698056</v>
      </c>
      <c r="J15" s="3078">
        <f t="shared" si="8"/>
        <v>-4.7583531893319583E-2</v>
      </c>
      <c r="K15" s="3573">
        <f t="shared" si="9"/>
        <v>-0.16641419255893261</v>
      </c>
      <c r="L15" s="3128" t="str">
        <f t="shared" si="10"/>
        <v>NA</v>
      </c>
      <c r="M15" s="2905">
        <v>310.88599999999997</v>
      </c>
      <c r="N15" s="2905" t="s">
        <v>2153</v>
      </c>
      <c r="O15" s="3109">
        <f>IF(SUM(M15:N15)=0,M15,SUM(M15:N15))</f>
        <v>310.88599999999997</v>
      </c>
      <c r="P15" s="2905">
        <v>-108.77799999999999</v>
      </c>
      <c r="Q15" s="2906">
        <v>-380.43</v>
      </c>
      <c r="R15" s="2906" t="s">
        <v>2153</v>
      </c>
      <c r="S15" s="3594">
        <f>IF(SUM(O15:R15)=0,Q15,SUM(O15:R15)*-44/12)</f>
        <v>653.84733333333349</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521523.576139813</v>
      </c>
      <c r="E10" s="3583">
        <f t="shared" ref="E10:F10" si="0">IF(SUM(E11,E15)=0,"IE",SUM(E11,E15))</f>
        <v>521522.576139813</v>
      </c>
      <c r="F10" s="3584">
        <f t="shared" si="0"/>
        <v>1</v>
      </c>
      <c r="G10" s="3558">
        <f>IFERROR(IF(SUM($D10)=0,"NA",M10/$D10),"NA")</f>
        <v>5.4650274860895773E-3</v>
      </c>
      <c r="H10" s="3583">
        <f t="shared" ref="H10:J10" si="1">IFERROR(IF(SUM($D10)=0,"NA",N10/$D10),"NA")</f>
        <v>-1.3880576288478922E-2</v>
      </c>
      <c r="I10" s="3583">
        <f t="shared" si="1"/>
        <v>-8.4155488023893443E-3</v>
      </c>
      <c r="J10" s="3583">
        <f t="shared" si="1"/>
        <v>-3.0013093451818542E-3</v>
      </c>
      <c r="K10" s="3585">
        <f>IFERROR(IF(SUM(E10)=0,"NA",Q10/E10),"NA")</f>
        <v>-1.185672926606326E-2</v>
      </c>
      <c r="L10" s="3584">
        <f>IFERROR(IF(SUM(F10)=0,"NA",R10/F10),"NA")</f>
        <v>-8.7249999999999996</v>
      </c>
      <c r="M10" s="3586">
        <f>IF(SUM(M11,M15)=0,"IE",SUM(M11,M15))</f>
        <v>2850.1406782478084</v>
      </c>
      <c r="N10" s="3583">
        <f t="shared" ref="N10:S10" si="2">IF(SUM(N11,N15)=0,"IE",SUM(N11,N15))</f>
        <v>-7239.04778484902</v>
      </c>
      <c r="O10" s="3587">
        <f t="shared" si="2"/>
        <v>-4388.9071066012111</v>
      </c>
      <c r="P10" s="3583">
        <f t="shared" si="2"/>
        <v>-1565.2535828010809</v>
      </c>
      <c r="Q10" s="3585">
        <f t="shared" si="2"/>
        <v>-6183.5519914296256</v>
      </c>
      <c r="R10" s="3585">
        <f t="shared" si="2"/>
        <v>-8.7249999999999996</v>
      </c>
      <c r="S10" s="3588">
        <f t="shared" si="2"/>
        <v>44536.93816305037</v>
      </c>
      <c r="U10" s="2261"/>
    </row>
    <row r="11" spans="2:21" ht="18" customHeight="1" x14ac:dyDescent="0.2">
      <c r="B11" s="493" t="s">
        <v>988</v>
      </c>
      <c r="C11" s="483"/>
      <c r="D11" s="3599">
        <f>IF(SUM(D12:D14)=0,"IE",SUM(D12:D14))</f>
        <v>507988.05961114302</v>
      </c>
      <c r="E11" s="3564">
        <f t="shared" ref="E11:F11" si="3">IF(SUM(E12:E14)=0,"IE",SUM(E12:E14))</f>
        <v>507988.05961114302</v>
      </c>
      <c r="F11" s="3565" t="str">
        <f t="shared" si="3"/>
        <v>IE</v>
      </c>
      <c r="G11" s="3599">
        <f t="shared" ref="G11:G26" si="4">IFERROR(IF(SUM($D11)=0,"NA",M11/$D11),"NA")</f>
        <v>5.610645022699051E-3</v>
      </c>
      <c r="H11" s="3109" t="str">
        <f t="shared" ref="H11:H26" si="5">IFERROR(IF(SUM($D11)=0,"NA",N11/$D11),"NA")</f>
        <v>NA</v>
      </c>
      <c r="I11" s="3109">
        <f t="shared" ref="I11:I26" si="6">IFERROR(IF(SUM($D11)=0,"NA",O11/$D11),"NA")</f>
        <v>5.610645022699051E-3</v>
      </c>
      <c r="J11" s="3109">
        <f t="shared" ref="J11:J26" si="7">IFERROR(IF(SUM($D11)=0,"NA",P11/$D11),"NA")</f>
        <v>-3.2929744701309927E-4</v>
      </c>
      <c r="K11" s="3566">
        <f t="shared" ref="K11:K26" si="8">IFERROR(IF(SUM(E11)=0,"NA",Q11/E11),"NA")</f>
        <v>-6.2836602973826219E-3</v>
      </c>
      <c r="L11" s="3249" t="str">
        <f t="shared" ref="L11:L26" si="9">IFERROR(IF(SUM(F11)=0,"NA",R11/F11),"NA")</f>
        <v>NA</v>
      </c>
      <c r="M11" s="3109">
        <f>IF(SUM(M12:M14)=0,"IE",SUM(M12:M14))</f>
        <v>2850.1406782478084</v>
      </c>
      <c r="N11" s="3109" t="str">
        <f t="shared" ref="N11:O11" si="10">IF(SUM(N12:N14)=0,"IE",SUM(N12:N14))</f>
        <v>IE</v>
      </c>
      <c r="O11" s="3109">
        <f t="shared" si="10"/>
        <v>2850.1406782478084</v>
      </c>
      <c r="P11" s="3109">
        <f t="shared" ref="P11" si="11">IF(SUM(P12:P14)=0,"IE",SUM(P12:P14))</f>
        <v>-167.27917114308747</v>
      </c>
      <c r="Q11" s="3566">
        <f t="shared" ref="Q11" si="12">IF(SUM(Q12:Q14)=0,"IE",SUM(Q12:Q14))</f>
        <v>-3192.0244017229761</v>
      </c>
      <c r="R11" s="3566" t="str">
        <f t="shared" ref="R11" si="13">IF(SUM(R12:R14)=0,"IE",SUM(R12:R14))</f>
        <v>IE</v>
      </c>
      <c r="S11" s="3567">
        <f t="shared" ref="S11" si="14">IF(SUM(S12:S14)=0,"IE",SUM(S12:S14))</f>
        <v>1866.9306136002697</v>
      </c>
      <c r="U11" s="2397"/>
    </row>
    <row r="12" spans="2:21" ht="18" customHeight="1" x14ac:dyDescent="0.2">
      <c r="B12" s="499"/>
      <c r="C12" s="484" t="s">
        <v>2226</v>
      </c>
      <c r="D12" s="3600">
        <f>IF(SUM(E12:F12)=0,E12,SUM(E12:F12))</f>
        <v>70456.100045431231</v>
      </c>
      <c r="E12" s="3569">
        <v>70456.100045431231</v>
      </c>
      <c r="F12" s="3554" t="s">
        <v>2153</v>
      </c>
      <c r="G12" s="3558">
        <f t="shared" si="4"/>
        <v>1.1566222513938492E-2</v>
      </c>
      <c r="H12" s="3078" t="str">
        <f t="shared" si="5"/>
        <v>NA</v>
      </c>
      <c r="I12" s="3078">
        <f t="shared" si="6"/>
        <v>1.1566222513938492E-2</v>
      </c>
      <c r="J12" s="3078">
        <f t="shared" si="7"/>
        <v>2.3132445027877011E-3</v>
      </c>
      <c r="K12" s="3573">
        <f t="shared" si="8"/>
        <v>9.2529780111508045E-3</v>
      </c>
      <c r="L12" s="3128" t="str">
        <f t="shared" si="9"/>
        <v>NA</v>
      </c>
      <c r="M12" s="2905">
        <v>814.91093058976946</v>
      </c>
      <c r="N12" s="2905" t="s">
        <v>2153</v>
      </c>
      <c r="O12" s="3109">
        <f>IF(SUM(M12:N12)=0,M12,SUM(M12:N12))</f>
        <v>814.91093058976946</v>
      </c>
      <c r="P12" s="2905">
        <v>162.98218611795409</v>
      </c>
      <c r="Q12" s="2906">
        <v>651.92874447181634</v>
      </c>
      <c r="R12" s="2906" t="s">
        <v>2153</v>
      </c>
      <c r="S12" s="3570">
        <f>IF(SUM(O12:R12)=0,Q12,SUM(O12:R12)*-44/12)</f>
        <v>-5976.013490991646</v>
      </c>
      <c r="U12" s="2398"/>
    </row>
    <row r="13" spans="2:21" ht="18" customHeight="1" x14ac:dyDescent="0.2">
      <c r="B13" s="499"/>
      <c r="C13" s="484" t="s">
        <v>2227</v>
      </c>
      <c r="D13" s="3600">
        <f>IF(SUM(E13:F13)=0,E13,SUM(E13:F13))</f>
        <v>437531.95956571179</v>
      </c>
      <c r="E13" s="3569">
        <v>437531.95956571179</v>
      </c>
      <c r="F13" s="3554" t="s">
        <v>2153</v>
      </c>
      <c r="G13" s="3558" t="str">
        <f t="shared" si="4"/>
        <v>NA</v>
      </c>
      <c r="H13" s="3078" t="str">
        <f t="shared" si="5"/>
        <v>NA</v>
      </c>
      <c r="I13" s="3078" t="str">
        <f t="shared" si="6"/>
        <v>NA</v>
      </c>
      <c r="J13" s="3078" t="str">
        <f t="shared" si="7"/>
        <v>NA</v>
      </c>
      <c r="K13" s="3573">
        <f t="shared" si="8"/>
        <v>-8.7855368325784645E-3</v>
      </c>
      <c r="L13" s="3128" t="str">
        <f t="shared" si="9"/>
        <v>NA</v>
      </c>
      <c r="M13" s="2905" t="s">
        <v>2147</v>
      </c>
      <c r="N13" s="2905" t="s">
        <v>2147</v>
      </c>
      <c r="O13" s="3109" t="str">
        <f>IF(SUM(M13:N13)=0,M13,SUM(M13:N13))</f>
        <v>NA</v>
      </c>
      <c r="P13" s="2905" t="s">
        <v>2147</v>
      </c>
      <c r="Q13" s="2906">
        <v>-3843.9531461947927</v>
      </c>
      <c r="R13" s="2906" t="s">
        <v>2153</v>
      </c>
      <c r="S13" s="3570">
        <f>IF(SUM(O13:R13)=0,Q13,SUM(O13:R13)*-44/12)</f>
        <v>14094.494869380906</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v>2035.2297476580388</v>
      </c>
      <c r="N14" s="2905" t="s">
        <v>2153</v>
      </c>
      <c r="O14" s="3109">
        <f>IF(SUM(M14:N14)=0,M14,SUM(M14:N14))</f>
        <v>2035.2297476580388</v>
      </c>
      <c r="P14" s="2905">
        <v>-330.26135726104155</v>
      </c>
      <c r="Q14" s="2906" t="s">
        <v>2147</v>
      </c>
      <c r="R14" s="2906" t="s">
        <v>2147</v>
      </c>
      <c r="S14" s="3570">
        <f>IF(SUM(O14:R14)=0,Q14,SUM(O14:R14)*-44/12)</f>
        <v>-6251.5507647889899</v>
      </c>
      <c r="U14" s="2398"/>
    </row>
    <row r="15" spans="2:21" ht="18" customHeight="1" x14ac:dyDescent="0.2">
      <c r="B15" s="485" t="s">
        <v>1066</v>
      </c>
      <c r="C15" s="486"/>
      <c r="D15" s="3589">
        <f>IF(SUM(D16,D19,D21,D23,D25)=0,"IE",SUM(D16,D19,D21,D23,D25))</f>
        <v>13535.516528669978</v>
      </c>
      <c r="E15" s="3591">
        <f t="shared" ref="E15:F15" si="15">IF(SUM(E16,E19,E21,E23,E25)=0,"IE",SUM(E16,E19,E21,E23,E25))</f>
        <v>13534.516528669978</v>
      </c>
      <c r="F15" s="3595">
        <f t="shared" si="15"/>
        <v>1</v>
      </c>
      <c r="G15" s="3558" t="str">
        <f t="shared" si="4"/>
        <v>NA</v>
      </c>
      <c r="H15" s="3078">
        <f t="shared" si="5"/>
        <v>-0.53481873185376994</v>
      </c>
      <c r="I15" s="3078">
        <f t="shared" si="6"/>
        <v>-0.53481873185376994</v>
      </c>
      <c r="J15" s="3078">
        <f t="shared" si="7"/>
        <v>-0.10328194041925939</v>
      </c>
      <c r="K15" s="3573">
        <f t="shared" si="8"/>
        <v>-0.22102951245947633</v>
      </c>
      <c r="L15" s="3128">
        <f t="shared" si="9"/>
        <v>-8.7249999999999996</v>
      </c>
      <c r="M15" s="3590" t="str">
        <f>IF(SUM(M16,M19,M21,M23,M25)=0,"IE",SUM(M16,M19,M21,M23,M25))</f>
        <v>IE</v>
      </c>
      <c r="N15" s="3591">
        <f t="shared" ref="N15:S15" si="16">IF(SUM(N16,N19,N21,N23,N25)=0,"IE",SUM(N16,N19,N21,N23,N25))</f>
        <v>-7239.04778484902</v>
      </c>
      <c r="O15" s="3592">
        <f t="shared" si="16"/>
        <v>-7239.04778484902</v>
      </c>
      <c r="P15" s="3592">
        <f t="shared" si="16"/>
        <v>-1397.9744116579934</v>
      </c>
      <c r="Q15" s="3592">
        <f t="shared" si="16"/>
        <v>-2991.527589706649</v>
      </c>
      <c r="R15" s="3592">
        <f t="shared" si="16"/>
        <v>-8.7249999999999996</v>
      </c>
      <c r="S15" s="3594">
        <f t="shared" si="16"/>
        <v>42670.0075494501</v>
      </c>
      <c r="U15" s="2019"/>
    </row>
    <row r="16" spans="2:21" ht="18" customHeight="1" x14ac:dyDescent="0.2">
      <c r="B16" s="500" t="s">
        <v>1067</v>
      </c>
      <c r="C16" s="486"/>
      <c r="D16" s="3599">
        <f>IF(SUM(D17:D18)=0,"IE",SUM(D17:D18))</f>
        <v>13486.639096133431</v>
      </c>
      <c r="E16" s="3564">
        <f t="shared" ref="E16:F16" si="17">IF(SUM(E17:E18)=0,"IE",SUM(E17:E18))</f>
        <v>13486.639096133431</v>
      </c>
      <c r="F16" s="3565" t="str">
        <f t="shared" si="17"/>
        <v>IE</v>
      </c>
      <c r="G16" s="3558" t="str">
        <f t="shared" si="4"/>
        <v>NA</v>
      </c>
      <c r="H16" s="3078">
        <f t="shared" si="5"/>
        <v>-0.53675698839783059</v>
      </c>
      <c r="I16" s="3078">
        <f t="shared" si="6"/>
        <v>-0.53675698839783059</v>
      </c>
      <c r="J16" s="3078">
        <f t="shared" si="7"/>
        <v>-0.10365624835759026</v>
      </c>
      <c r="K16" s="3573">
        <f t="shared" si="8"/>
        <v>-0.21303556595581866</v>
      </c>
      <c r="L16" s="3128" t="str">
        <f t="shared" si="9"/>
        <v>NA</v>
      </c>
      <c r="M16" s="3506" t="str">
        <f>IF(SUM(M17:M18)=0,"IE",SUM(M17:M18))</f>
        <v>IE</v>
      </c>
      <c r="N16" s="3506">
        <f t="shared" ref="N16:O16" si="18">IF(SUM(N17:N18)=0,"IE",SUM(N17:N18))</f>
        <v>-7239.04778484902</v>
      </c>
      <c r="O16" s="3506">
        <f t="shared" si="18"/>
        <v>-7239.04778484902</v>
      </c>
      <c r="P16" s="3506">
        <f t="shared" ref="P16" si="19">IF(SUM(P17:P18)=0,"IE",SUM(P17:P18))</f>
        <v>-1397.9744116579934</v>
      </c>
      <c r="Q16" s="3601">
        <f t="shared" ref="Q16" si="20">IF(SUM(Q17:Q18)=0,"IE",SUM(Q17:Q18))</f>
        <v>-2873.1337926866559</v>
      </c>
      <c r="R16" s="3601" t="str">
        <f t="shared" ref="R16" si="21">IF(SUM(R17:R18)=0,"IE",SUM(R17:R18))</f>
        <v>IE</v>
      </c>
      <c r="S16" s="3287">
        <f t="shared" ref="S16" si="22">IF(SUM(S17:S18)=0,"IE",SUM(S17:S18))</f>
        <v>42203.905293710122</v>
      </c>
      <c r="U16" s="2400"/>
    </row>
    <row r="17" spans="2:21" ht="18" customHeight="1" x14ac:dyDescent="0.2">
      <c r="B17" s="500"/>
      <c r="C17" s="484" t="s">
        <v>2228</v>
      </c>
      <c r="D17" s="3600">
        <f>IF(SUM(E17:F17)=0,E17,SUM(E17:F17))</f>
        <v>13486.639096133431</v>
      </c>
      <c r="E17" s="3569">
        <v>13486.639096133431</v>
      </c>
      <c r="F17" s="3554" t="s">
        <v>2153</v>
      </c>
      <c r="G17" s="3558" t="str">
        <f t="shared" si="4"/>
        <v>NA</v>
      </c>
      <c r="H17" s="3078">
        <f t="shared" si="5"/>
        <v>-0.53627511844591325</v>
      </c>
      <c r="I17" s="3078">
        <f t="shared" si="6"/>
        <v>-0.53627511844591325</v>
      </c>
      <c r="J17" s="3078">
        <f t="shared" si="7"/>
        <v>-0.10353845130411768</v>
      </c>
      <c r="K17" s="3573">
        <f t="shared" si="8"/>
        <v>-0.21303556595581866</v>
      </c>
      <c r="L17" s="3128" t="str">
        <f t="shared" si="9"/>
        <v>NA</v>
      </c>
      <c r="M17" s="2905" t="s">
        <v>2153</v>
      </c>
      <c r="N17" s="2905">
        <v>-7232.5489787162405</v>
      </c>
      <c r="O17" s="3109">
        <f>IF(SUM(M17:N17)=0,M17,SUM(M17:N17))</f>
        <v>-7232.5489787162405</v>
      </c>
      <c r="P17" s="2905">
        <v>-1396.385725311221</v>
      </c>
      <c r="Q17" s="2906">
        <v>-2873.1337926866559</v>
      </c>
      <c r="R17" s="2906" t="s">
        <v>2153</v>
      </c>
      <c r="S17" s="3570">
        <f>IF(SUM(O17:R17)=0,Q17,SUM(O17:R17)*-44/12)</f>
        <v>42174.251154618432</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t="s">
        <v>2153</v>
      </c>
      <c r="N18" s="2905">
        <v>-6.4988061327792206</v>
      </c>
      <c r="O18" s="3109">
        <f>IF(SUM(M18:N18)=0,M18,SUM(M18:N18))</f>
        <v>-6.4988061327792206</v>
      </c>
      <c r="P18" s="2905">
        <v>-1.5886863467724348</v>
      </c>
      <c r="Q18" s="2906" t="s">
        <v>2147</v>
      </c>
      <c r="R18" s="2906" t="s">
        <v>2147</v>
      </c>
      <c r="S18" s="3570">
        <f>IF(SUM(O18:R18)=0,Q18,SUM(O18:R18)*-44/12)</f>
        <v>29.654139091689405</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13197.449672471999</v>
      </c>
      <c r="E10" s="3583">
        <f>IF(SUM(E11,E23)=0,"IE",SUM(E11,E23))</f>
        <v>13151.940821109667</v>
      </c>
      <c r="F10" s="3584">
        <f>IF(SUM(F11,F23)=0,"IE",SUM(F11,F23))</f>
        <v>45.508851362332507</v>
      </c>
      <c r="G10" s="3608" t="str">
        <f>IFERROR(IF(SUM($D10)=0,"NA",M10/$D10),"NA")</f>
        <v>NA</v>
      </c>
      <c r="H10" s="3609">
        <f t="shared" ref="H10:J10" si="0">IFERROR(IF(SUM($D10)=0,"NA",N10/$D10),"NA")</f>
        <v>-3.7872266891847387E-3</v>
      </c>
      <c r="I10" s="3610">
        <f t="shared" si="0"/>
        <v>-3.7872266891847387E-3</v>
      </c>
      <c r="J10" s="3609">
        <f t="shared" si="0"/>
        <v>-1.8998082963005921E-3</v>
      </c>
      <c r="K10" s="3609">
        <f>IFERROR(IF(SUM(E10)=0,"NA",Q10/E10),"NA")</f>
        <v>-7.2882677625211664E-4</v>
      </c>
      <c r="L10" s="3611" t="str">
        <f>IFERROR(IF(SUM(F10)=0,"NA",R10/F10),"NA")</f>
        <v>NA</v>
      </c>
      <c r="M10" s="3610" t="str">
        <f t="shared" ref="M10:S10" si="1">IF(SUM(M11,M23)=0,"IE",SUM(M11,M23))</f>
        <v>IE</v>
      </c>
      <c r="N10" s="3609">
        <f t="shared" si="1"/>
        <v>-49.981733628758342</v>
      </c>
      <c r="O10" s="3610">
        <f t="shared" si="1"/>
        <v>-49.981733628758342</v>
      </c>
      <c r="P10" s="3609">
        <f t="shared" si="1"/>
        <v>-25.072624377771838</v>
      </c>
      <c r="Q10" s="3612">
        <f t="shared" si="1"/>
        <v>-9.5854866301079742</v>
      </c>
      <c r="R10" s="3612" t="str">
        <f t="shared" si="1"/>
        <v>IE</v>
      </c>
      <c r="S10" s="3588">
        <f t="shared" si="1"/>
        <v>310.34609700100651</v>
      </c>
      <c r="U10" s="2401"/>
    </row>
    <row r="11" spans="1:23" ht="18" customHeight="1" x14ac:dyDescent="0.2">
      <c r="B11" s="501" t="s">
        <v>990</v>
      </c>
      <c r="C11" s="483"/>
      <c r="D11" s="3613">
        <f>IF(SUM(D12,D14,D17)=0,"IE",SUM(D12,D14,D17))</f>
        <v>13154.221672472</v>
      </c>
      <c r="E11" s="3614">
        <f t="shared" ref="E11:S11" si="2">IF(SUM(E12,E14,E17)=0,"IE",SUM(E12,E14,E17))</f>
        <v>13108.712821109668</v>
      </c>
      <c r="F11" s="3615">
        <f t="shared" si="2"/>
        <v>45.508851362332507</v>
      </c>
      <c r="G11" s="3616" t="str">
        <f t="shared" ref="G11:G56" si="3">IFERROR(IF(SUM($D11)=0,"NA",M11/$D11),"NA")</f>
        <v>NA</v>
      </c>
      <c r="H11" s="3617">
        <f t="shared" ref="H11:H56" si="4">IFERROR(IF(SUM($D11)=0,"NA",N11/$D11),"NA")</f>
        <v>-3.5211306896011968E-3</v>
      </c>
      <c r="I11" s="3618">
        <f t="shared" ref="I11:I56" si="5">IFERROR(IF(SUM($D11)=0,"NA",O11/$D11),"NA")</f>
        <v>-3.5211306896011968E-3</v>
      </c>
      <c r="J11" s="3617">
        <f t="shared" ref="J11:J56" si="6">IFERROR(IF(SUM($D11)=0,"NA",P11/$D11),"NA")</f>
        <v>-1.9060515325085045E-3</v>
      </c>
      <c r="K11" s="3617">
        <f t="shared" ref="K11:K56" si="7">IFERROR(IF(SUM(E11)=0,"NA",Q11/E11),"NA")</f>
        <v>-7.3123019482675274E-4</v>
      </c>
      <c r="L11" s="3619" t="str">
        <f t="shared" ref="L11:L56" si="8">IFERROR(IF(SUM(F11)=0,"NA",R11/F11),"NA")</f>
        <v>NA</v>
      </c>
      <c r="M11" s="3618" t="str">
        <f t="shared" si="2"/>
        <v>IE</v>
      </c>
      <c r="N11" s="3617">
        <f t="shared" si="2"/>
        <v>-46.31773362875834</v>
      </c>
      <c r="O11" s="3618">
        <f t="shared" si="2"/>
        <v>-46.31773362875834</v>
      </c>
      <c r="P11" s="3617">
        <f t="shared" si="2"/>
        <v>-25.072624377771838</v>
      </c>
      <c r="Q11" s="3620">
        <f t="shared" si="2"/>
        <v>-9.5854866301079742</v>
      </c>
      <c r="R11" s="3620" t="str">
        <f t="shared" si="2"/>
        <v>IE</v>
      </c>
      <c r="S11" s="3621">
        <f t="shared" si="2"/>
        <v>296.91143033433985</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879.38879347714055</v>
      </c>
      <c r="E14" s="3564">
        <f>IF(SUM(E15:E16)=0,"IE",SUM(E15:E16))</f>
        <v>879.38879347714055</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546.59870000000012</v>
      </c>
      <c r="E15" s="3569">
        <v>546.59870000000012</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12274.832878994859</v>
      </c>
      <c r="E17" s="3564">
        <f>IF(SUM(E18:E21)=0,"IE",SUM(E18:E21))</f>
        <v>12229.324027632527</v>
      </c>
      <c r="F17" s="3565">
        <f>IF(SUM(F18:F21)=0,"IE",SUM(F18:F21))</f>
        <v>45.508851362332507</v>
      </c>
      <c r="G17" s="3622" t="str">
        <f t="shared" si="3"/>
        <v>NA</v>
      </c>
      <c r="H17" s="3591">
        <f t="shared" si="4"/>
        <v>-3.7733901622415515E-3</v>
      </c>
      <c r="I17" s="3623">
        <f t="shared" si="5"/>
        <v>-3.7733901622415515E-3</v>
      </c>
      <c r="J17" s="3591">
        <f t="shared" si="6"/>
        <v>-2.0426041335908553E-3</v>
      </c>
      <c r="K17" s="3591">
        <f t="shared" si="7"/>
        <v>-7.838116488245203E-4</v>
      </c>
      <c r="L17" s="3595" t="str">
        <f t="shared" si="8"/>
        <v>NA</v>
      </c>
      <c r="M17" s="3564" t="str">
        <f t="shared" ref="M17:S17" si="16">IF(SUM(M18:M21)=0,"IE",SUM(M18:M21))</f>
        <v>IE</v>
      </c>
      <c r="N17" s="3617">
        <f t="shared" si="16"/>
        <v>-46.31773362875834</v>
      </c>
      <c r="O17" s="3618">
        <f t="shared" si="16"/>
        <v>-46.31773362875834</v>
      </c>
      <c r="P17" s="3617">
        <f t="shared" si="16"/>
        <v>-25.072624377771838</v>
      </c>
      <c r="Q17" s="3620">
        <f t="shared" si="16"/>
        <v>-9.5854866301079742</v>
      </c>
      <c r="R17" s="3620" t="str">
        <f t="shared" si="16"/>
        <v>IE</v>
      </c>
      <c r="S17" s="3634">
        <f t="shared" si="16"/>
        <v>296.91143033433985</v>
      </c>
      <c r="U17" s="2402"/>
    </row>
    <row r="18" spans="1:23" ht="18" customHeight="1" x14ac:dyDescent="0.2">
      <c r="A18" s="2502"/>
      <c r="B18" s="2682"/>
      <c r="C18" s="2503" t="s">
        <v>2231</v>
      </c>
      <c r="D18" s="3600">
        <f>IF(SUM(E18:F18)=0,E18,SUM(E18:F18))</f>
        <v>1716.6986404464242</v>
      </c>
      <c r="E18" s="3569">
        <v>1716.6986404464242</v>
      </c>
      <c r="F18" s="3635" t="s">
        <v>2153</v>
      </c>
      <c r="G18" s="3630" t="str">
        <f t="shared" si="3"/>
        <v>NA</v>
      </c>
      <c r="H18" s="3631">
        <f t="shared" si="4"/>
        <v>-6.9795932759165683E-3</v>
      </c>
      <c r="I18" s="3632">
        <f t="shared" si="5"/>
        <v>-6.9795932759165683E-3</v>
      </c>
      <c r="J18" s="3631">
        <f t="shared" si="6"/>
        <v>-1.3959186551833127E-3</v>
      </c>
      <c r="K18" s="3631">
        <f t="shared" si="7"/>
        <v>-5.5836746207332507E-3</v>
      </c>
      <c r="L18" s="3633" t="str">
        <f t="shared" si="8"/>
        <v>NA</v>
      </c>
      <c r="M18" s="3624" t="s">
        <v>2153</v>
      </c>
      <c r="N18" s="3625">
        <v>-11.981858287634976</v>
      </c>
      <c r="O18" s="3109">
        <f>IF(SUM(M18:N18)=0,M18,SUM(M18:N18))</f>
        <v>-11.981858287634976</v>
      </c>
      <c r="P18" s="3625">
        <v>-2.3963716575269935</v>
      </c>
      <c r="Q18" s="3626">
        <v>-9.5854866301079742</v>
      </c>
      <c r="R18" s="3636" t="s">
        <v>2153</v>
      </c>
      <c r="S18" s="3570">
        <f>IF(SUM(O18:R18)=0,Q18,SUM(O18:R18)*-44/12)</f>
        <v>87.866960775989796</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t="s">
        <v>2153</v>
      </c>
      <c r="N19" s="3625">
        <v>-34.335875341123362</v>
      </c>
      <c r="O19" s="3109">
        <f t="shared" ref="O19:O22" si="18">IF(SUM(M19:N19)=0,M19,SUM(M19:N19))</f>
        <v>-34.335875341123362</v>
      </c>
      <c r="P19" s="3625">
        <v>-22.676252720244843</v>
      </c>
      <c r="Q19" s="3628" t="s">
        <v>2147</v>
      </c>
      <c r="R19" s="3627" t="s">
        <v>2147</v>
      </c>
      <c r="S19" s="3570">
        <f t="shared" ref="S19:S22" si="19">IF(SUM(O19:R19)=0,Q19,SUM(O19:R19)*-44/12)</f>
        <v>209.04446955835007</v>
      </c>
      <c r="T19" s="2502"/>
      <c r="U19" s="2684"/>
      <c r="V19" s="2502"/>
      <c r="W19" s="2502"/>
    </row>
    <row r="20" spans="1:23" ht="18" customHeight="1" x14ac:dyDescent="0.2">
      <c r="A20" s="2502"/>
      <c r="B20" s="2682"/>
      <c r="C20" s="2683" t="s">
        <v>2234</v>
      </c>
      <c r="D20" s="3600">
        <f t="shared" si="17"/>
        <v>10512.625387186103</v>
      </c>
      <c r="E20" s="3607">
        <v>10512.625387186103</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45.508851362332507</v>
      </c>
      <c r="E21" s="3564" t="str">
        <f t="shared" ref="E21:F21" si="20">E22</f>
        <v>IE</v>
      </c>
      <c r="F21" s="3565">
        <f t="shared" si="20"/>
        <v>45.508851362332507</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45.508851362332507</v>
      </c>
      <c r="E22" s="3569" t="s">
        <v>2153</v>
      </c>
      <c r="F22" s="3554">
        <v>45.508851362332507</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43.228000000000002</v>
      </c>
      <c r="E23" s="3591">
        <f t="shared" ref="E23:F23" si="22">IF(SUM(E24,E35,E46)=0,"IE",SUM(E24,E35,E46))</f>
        <v>43.228000000000002</v>
      </c>
      <c r="F23" s="3595" t="str">
        <f t="shared" si="22"/>
        <v>IE</v>
      </c>
      <c r="G23" s="3622" t="str">
        <f t="shared" si="3"/>
        <v>NA</v>
      </c>
      <c r="H23" s="3591">
        <f t="shared" si="4"/>
        <v>-8.4759877856944568E-2</v>
      </c>
      <c r="I23" s="3623">
        <f t="shared" si="5"/>
        <v>-8.4759877856944568E-2</v>
      </c>
      <c r="J23" s="3591" t="str">
        <f t="shared" si="6"/>
        <v>NA</v>
      </c>
      <c r="K23" s="3591" t="str">
        <f t="shared" si="7"/>
        <v>NA</v>
      </c>
      <c r="L23" s="3595" t="str">
        <f t="shared" si="8"/>
        <v>NA</v>
      </c>
      <c r="M23" s="3591" t="str">
        <f t="shared" ref="M23" si="23">IF(SUM(M24,M35,M46)=0,"IE",SUM(M24,M35,M46))</f>
        <v>IE</v>
      </c>
      <c r="N23" s="3591">
        <f t="shared" ref="N23" si="24">IF(SUM(N24,N35,N46)=0,"IE",SUM(N24,N35,N46))</f>
        <v>-3.6640000000000001</v>
      </c>
      <c r="O23" s="3623">
        <f t="shared" ref="O23" si="25">IF(SUM(O24,O35,O46)=0,"IE",SUM(O24,O35,O46))</f>
        <v>-3.6640000000000001</v>
      </c>
      <c r="P23" s="3591" t="str">
        <f>IF(SUM(P24,P35,P46)=0,"NO",SUM(P24,P35,P46))</f>
        <v>NO</v>
      </c>
      <c r="Q23" s="3590" t="str">
        <f>IF(SUM(Q24,Q35,Q46)=0,"NO",SUM(Q24,Q35,Q46))</f>
        <v>NO</v>
      </c>
      <c r="R23" s="3590" t="str">
        <f>IF(SUM(R24,R35,R46)=0,"NO",SUM(R24,R35,R46))</f>
        <v>NO</v>
      </c>
      <c r="S23" s="3594">
        <f t="shared" ref="S23" si="26">IF(SUM(S24,S35,S46)=0,"IE",SUM(S24,S35,S46))</f>
        <v>13.434666666666667</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43.228000000000002</v>
      </c>
      <c r="E35" s="3591">
        <f>IF(SUM(E36,E38,E40,E42,E44)=0,"IE",SUM(E36,E38,E40,E42,E44))</f>
        <v>43.228000000000002</v>
      </c>
      <c r="F35" s="3595" t="str">
        <f>IF(SUM(F36,F38,F40,F42,F44)=0,"IE",SUM(F36,F38,F40,F42,F44))</f>
        <v>IE</v>
      </c>
      <c r="G35" s="3622" t="str">
        <f t="shared" si="3"/>
        <v>NA</v>
      </c>
      <c r="H35" s="3591">
        <f t="shared" si="4"/>
        <v>-8.4759877856944568E-2</v>
      </c>
      <c r="I35" s="3623">
        <f t="shared" si="5"/>
        <v>-8.4759877856944568E-2</v>
      </c>
      <c r="J35" s="3591" t="str">
        <f t="shared" si="6"/>
        <v>NA</v>
      </c>
      <c r="K35" s="3591" t="str">
        <f t="shared" si="7"/>
        <v>NA</v>
      </c>
      <c r="L35" s="3595" t="str">
        <f t="shared" si="8"/>
        <v>NA</v>
      </c>
      <c r="M35" s="3591" t="str">
        <f t="shared" ref="M35:S35" si="48">IF(SUM(M36,M38,M40,M42,M44)=0,"IE",SUM(M36,M38,M40,M42,M44))</f>
        <v>IE</v>
      </c>
      <c r="N35" s="3591">
        <f t="shared" si="48"/>
        <v>-3.6640000000000001</v>
      </c>
      <c r="O35" s="3623">
        <f t="shared" si="48"/>
        <v>-3.6640000000000001</v>
      </c>
      <c r="P35" s="3591" t="str">
        <f>IF(SUM(P36,P38,P40,P42,P44)=0,"NO",SUM(P36,P38,P40,P42,P44))</f>
        <v>NO</v>
      </c>
      <c r="Q35" s="3590" t="str">
        <f>IF(SUM(Q36,Q38,Q40,Q42,Q44)=0,"NO",SUM(Q36,Q38,Q40,Q42,Q44))</f>
        <v>NO</v>
      </c>
      <c r="R35" s="3590" t="str">
        <f>IF(SUM(R36,R38,R40,R42,R44)=0,"NO",SUM(R36,R38,R40,R42,R44))</f>
        <v>NO</v>
      </c>
      <c r="S35" s="3594">
        <f t="shared" si="48"/>
        <v>13.434666666666667</v>
      </c>
      <c r="U35" s="503"/>
    </row>
    <row r="36" spans="2:21" ht="18" customHeight="1" x14ac:dyDescent="0.2">
      <c r="B36" s="505" t="s">
        <v>1087</v>
      </c>
      <c r="C36" s="486"/>
      <c r="D36" s="3600">
        <f>D37</f>
        <v>43.228000000000002</v>
      </c>
      <c r="E36" s="3564">
        <f t="shared" ref="E36:F36" si="49">E37</f>
        <v>43.228000000000002</v>
      </c>
      <c r="F36" s="3565" t="str">
        <f t="shared" si="49"/>
        <v>IE</v>
      </c>
      <c r="G36" s="3558" t="str">
        <f t="shared" si="3"/>
        <v>NA</v>
      </c>
      <c r="H36" s="3078">
        <f t="shared" si="4"/>
        <v>-8.4759877856944568E-2</v>
      </c>
      <c r="I36" s="3078">
        <f t="shared" si="5"/>
        <v>-8.4759877856944568E-2</v>
      </c>
      <c r="J36" s="3078" t="str">
        <f t="shared" si="6"/>
        <v>NA</v>
      </c>
      <c r="K36" s="3573" t="str">
        <f t="shared" si="7"/>
        <v>NA</v>
      </c>
      <c r="L36" s="3128" t="str">
        <f t="shared" si="8"/>
        <v>NA</v>
      </c>
      <c r="M36" s="3505" t="str">
        <f t="shared" ref="M36:S36" si="50">M37</f>
        <v>IE</v>
      </c>
      <c r="N36" s="3506">
        <f t="shared" si="50"/>
        <v>-3.6640000000000001</v>
      </c>
      <c r="O36" s="3506">
        <f t="shared" si="50"/>
        <v>-3.6640000000000001</v>
      </c>
      <c r="P36" s="3506" t="str">
        <f t="shared" si="50"/>
        <v>NA</v>
      </c>
      <c r="Q36" s="3601" t="str">
        <f t="shared" si="50"/>
        <v>NA</v>
      </c>
      <c r="R36" s="3601" t="str">
        <f t="shared" si="50"/>
        <v>NA</v>
      </c>
      <c r="S36" s="3287">
        <f t="shared" si="50"/>
        <v>13.434666666666667</v>
      </c>
      <c r="U36" s="2402"/>
    </row>
    <row r="37" spans="2:21" ht="18" customHeight="1" x14ac:dyDescent="0.2">
      <c r="B37" s="1479"/>
      <c r="C37" s="885" t="s">
        <v>278</v>
      </c>
      <c r="D37" s="3600">
        <f>IF(SUM(E37:F37)=0,E37,SUM(E37:F37))</f>
        <v>43.228000000000002</v>
      </c>
      <c r="E37" s="3569">
        <v>43.228000000000002</v>
      </c>
      <c r="F37" s="3554" t="s">
        <v>2153</v>
      </c>
      <c r="G37" s="3622" t="str">
        <f t="shared" si="3"/>
        <v>NA</v>
      </c>
      <c r="H37" s="3591">
        <f t="shared" si="4"/>
        <v>-8.4759877856944568E-2</v>
      </c>
      <c r="I37" s="3623">
        <f t="shared" si="5"/>
        <v>-8.4759877856944568E-2</v>
      </c>
      <c r="J37" s="3591" t="str">
        <f t="shared" si="6"/>
        <v>NA</v>
      </c>
      <c r="K37" s="3591" t="str">
        <f t="shared" si="7"/>
        <v>NA</v>
      </c>
      <c r="L37" s="3595" t="str">
        <f t="shared" si="8"/>
        <v>NA</v>
      </c>
      <c r="M37" s="3624" t="s">
        <v>2153</v>
      </c>
      <c r="N37" s="3625">
        <v>-3.6640000000000001</v>
      </c>
      <c r="O37" s="3109">
        <f t="shared" ref="O37" si="51">IF(SUM(M37:N37)=0,M37,SUM(M37:N37))</f>
        <v>-3.6640000000000001</v>
      </c>
      <c r="P37" s="3625" t="s">
        <v>2147</v>
      </c>
      <c r="Q37" s="3626" t="s">
        <v>2147</v>
      </c>
      <c r="R37" s="3626" t="s">
        <v>2147</v>
      </c>
      <c r="S37" s="3570">
        <f t="shared" ref="S37" si="52">IF(SUM(O37:R37)=0,Q37,SUM(O37:R37)*-44/12)</f>
        <v>13.434666666666667</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1512.6504862192951</v>
      </c>
      <c r="E10" s="3583">
        <f t="shared" ref="E10:F10" si="0">IF(SUM(E11,E13)=0,"IE",SUM(E11,E13))</f>
        <v>1424.9903996830001</v>
      </c>
      <c r="F10" s="3584">
        <f t="shared" si="0"/>
        <v>87.660086536295111</v>
      </c>
      <c r="G10" s="3582">
        <f>IFERROR(IF(SUM($D10)=0,"NA",M10/$D10),"NA")</f>
        <v>9.1822909003164252E-4</v>
      </c>
      <c r="H10" s="3583">
        <f t="shared" ref="H10:J10" si="1">IFERROR(IF(SUM($D10)=0,"NA",N10/$D10),"NA")</f>
        <v>-0.60769394256777243</v>
      </c>
      <c r="I10" s="3583">
        <f t="shared" si="1"/>
        <v>-0.60677571347774073</v>
      </c>
      <c r="J10" s="3583">
        <f t="shared" si="1"/>
        <v>-0.19946220250556645</v>
      </c>
      <c r="K10" s="3585">
        <f>IFERROR(IF(SUM(E10)=0,"NA",Q10/E10),"NA")</f>
        <v>-0.14131241326341451</v>
      </c>
      <c r="L10" s="3584">
        <f>IFERROR(IF(SUM(F10)=0,"NA",R10/F10),"NA")</f>
        <v>0.99302793290028302</v>
      </c>
      <c r="M10" s="3586">
        <f>IF(SUM(M11,M13)=0,"IE",SUM(M11,M13))</f>
        <v>1.3889596794970649</v>
      </c>
      <c r="N10" s="3583">
        <f t="shared" ref="N10:S10" si="2">IF(SUM(N11,N13)=0,"IE",SUM(N11,N13))</f>
        <v>-919.2285376976613</v>
      </c>
      <c r="O10" s="3587">
        <f t="shared" si="2"/>
        <v>-917.83957801816427</v>
      </c>
      <c r="P10" s="3583">
        <f t="shared" si="2"/>
        <v>-301.71659760241658</v>
      </c>
      <c r="Q10" s="3585">
        <f t="shared" si="2"/>
        <v>-201.36883225640233</v>
      </c>
      <c r="R10" s="3585">
        <f t="shared" si="2"/>
        <v>87.048914530997067</v>
      </c>
      <c r="S10" s="3588">
        <f t="shared" si="2"/>
        <v>4890.8790089352815</v>
      </c>
      <c r="U10" s="2261"/>
    </row>
    <row r="11" spans="2:21" ht="18" customHeight="1" x14ac:dyDescent="0.2">
      <c r="B11" s="493" t="s">
        <v>993</v>
      </c>
      <c r="C11" s="2256"/>
      <c r="D11" s="3589">
        <f>D12</f>
        <v>1011.535399683</v>
      </c>
      <c r="E11" s="3078">
        <f t="shared" ref="E11:F11" si="3">E12</f>
        <v>1011.535399683</v>
      </c>
      <c r="F11" s="3078" t="str">
        <f t="shared" si="3"/>
        <v>IE</v>
      </c>
      <c r="G11" s="3558">
        <f t="shared" ref="G11:G24" si="4">IFERROR(IF(SUM($D11)=0,"NA",M11/$D11),"NA")</f>
        <v>1.3731201893006847E-3</v>
      </c>
      <c r="H11" s="3078" t="str">
        <f t="shared" ref="H11:H24" si="5">IFERROR(IF(SUM($D11)=0,"NA",N11/$D11),"NA")</f>
        <v>NA</v>
      </c>
      <c r="I11" s="3078">
        <f t="shared" ref="I11:I24" si="6">IFERROR(IF(SUM($D11)=0,"NA",O11/$D11),"NA")</f>
        <v>1.3731201893006847E-3</v>
      </c>
      <c r="J11" s="3078">
        <f t="shared" ref="J11:J24" si="7">IFERROR(IF(SUM($D11)=0,"NA",P11/$D11),"NA")</f>
        <v>2.7462403786013669E-4</v>
      </c>
      <c r="K11" s="3573">
        <f t="shared" ref="K11:K24" si="8">IFERROR(IF(SUM(E11)=0,"NA",Q11/E11),"NA")</f>
        <v>1.0984961514405468E-3</v>
      </c>
      <c r="L11" s="3128" t="str">
        <f t="shared" ref="L11:L24" si="9">IFERROR(IF(SUM(F11)=0,"NA",R11/F11),"NA")</f>
        <v>NA</v>
      </c>
      <c r="M11" s="3590">
        <f t="shared" ref="M11:S11" si="10">M12</f>
        <v>1.3889596794970649</v>
      </c>
      <c r="N11" s="3591" t="str">
        <f t="shared" si="10"/>
        <v>IE</v>
      </c>
      <c r="O11" s="3592">
        <f t="shared" si="10"/>
        <v>1.3889596794970649</v>
      </c>
      <c r="P11" s="3591">
        <f t="shared" si="10"/>
        <v>0.2777919358994127</v>
      </c>
      <c r="Q11" s="3593">
        <f t="shared" si="10"/>
        <v>1.1111677435976508</v>
      </c>
      <c r="R11" s="3593" t="str">
        <f t="shared" si="10"/>
        <v>IE</v>
      </c>
      <c r="S11" s="3594">
        <f t="shared" si="10"/>
        <v>-10.185704316311805</v>
      </c>
      <c r="U11" s="2397"/>
    </row>
    <row r="12" spans="2:21" ht="18" customHeight="1" x14ac:dyDescent="0.2">
      <c r="B12" s="501"/>
      <c r="C12" s="885" t="s">
        <v>278</v>
      </c>
      <c r="D12" s="3600">
        <f>IF(SUM(E12:F12)=0,E12,SUM(E12:F12))</f>
        <v>1011.535399683</v>
      </c>
      <c r="E12" s="3569">
        <v>1011.535399683</v>
      </c>
      <c r="F12" s="3554" t="s">
        <v>2153</v>
      </c>
      <c r="G12" s="3558">
        <f t="shared" si="4"/>
        <v>1.3731201893006847E-3</v>
      </c>
      <c r="H12" s="3078" t="str">
        <f t="shared" si="5"/>
        <v>NA</v>
      </c>
      <c r="I12" s="3078">
        <f t="shared" si="6"/>
        <v>1.3731201893006847E-3</v>
      </c>
      <c r="J12" s="3078">
        <f t="shared" si="7"/>
        <v>2.7462403786013669E-4</v>
      </c>
      <c r="K12" s="3573">
        <f t="shared" si="8"/>
        <v>1.0984961514405468E-3</v>
      </c>
      <c r="L12" s="3128" t="str">
        <f t="shared" si="9"/>
        <v>NA</v>
      </c>
      <c r="M12" s="2905">
        <v>1.3889596794970649</v>
      </c>
      <c r="N12" s="2905" t="s">
        <v>2153</v>
      </c>
      <c r="O12" s="3109">
        <f>IF(SUM(M12:N12)=0,M12,SUM(M12:N12))</f>
        <v>1.3889596794970649</v>
      </c>
      <c r="P12" s="2905">
        <v>0.2777919358994127</v>
      </c>
      <c r="Q12" s="2906">
        <v>1.1111677435976508</v>
      </c>
      <c r="R12" s="2906" t="s">
        <v>2153</v>
      </c>
      <c r="S12" s="3570">
        <f>IF(SUM(O12:R12)=0,Q12,SUM(O12:R12)*-44/12)</f>
        <v>-10.185704316311805</v>
      </c>
      <c r="U12" s="2398"/>
    </row>
    <row r="13" spans="2:21" ht="18" customHeight="1" x14ac:dyDescent="0.2">
      <c r="B13" s="493" t="s">
        <v>994</v>
      </c>
      <c r="C13" s="504"/>
      <c r="D13" s="3589">
        <f>IF(SUM(D14,D17,D19,D21,D23)=0,"IE",SUM(D14,D17,D19,D21,D23))</f>
        <v>501.11508653629511</v>
      </c>
      <c r="E13" s="3591">
        <f t="shared" ref="E13:S13" si="11">IF(SUM(E14,E17,E19,E21,E23)=0,"IE",SUM(E14,E17,E19,E21,E23))</f>
        <v>413.45499999999998</v>
      </c>
      <c r="F13" s="3595">
        <f t="shared" si="11"/>
        <v>87.660086536295111</v>
      </c>
      <c r="G13" s="3558" t="str">
        <f t="shared" si="4"/>
        <v>NA</v>
      </c>
      <c r="H13" s="3078">
        <f t="shared" si="5"/>
        <v>-1.8343661214659575</v>
      </c>
      <c r="I13" s="3078">
        <f t="shared" si="6"/>
        <v>-1.8343661214659575</v>
      </c>
      <c r="J13" s="3078">
        <f t="shared" si="7"/>
        <v>-0.60264477692280161</v>
      </c>
      <c r="K13" s="3573">
        <f t="shared" si="8"/>
        <v>-0.48972681428450499</v>
      </c>
      <c r="L13" s="3128">
        <f t="shared" si="9"/>
        <v>0.99302793290028302</v>
      </c>
      <c r="M13" s="3078" t="str">
        <f t="shared" si="11"/>
        <v>IE</v>
      </c>
      <c r="N13" s="3078">
        <f t="shared" si="11"/>
        <v>-919.2285376976613</v>
      </c>
      <c r="O13" s="3078">
        <f t="shared" si="11"/>
        <v>-919.2285376976613</v>
      </c>
      <c r="P13" s="3078">
        <f t="shared" si="11"/>
        <v>-301.994389538316</v>
      </c>
      <c r="Q13" s="3573">
        <f t="shared" si="11"/>
        <v>-202.48</v>
      </c>
      <c r="R13" s="3573">
        <f t="shared" si="11"/>
        <v>87.048914530997067</v>
      </c>
      <c r="S13" s="3570">
        <f t="shared" si="11"/>
        <v>4901.0647132515933</v>
      </c>
      <c r="U13" s="2019"/>
    </row>
    <row r="14" spans="2:21" ht="18" customHeight="1" x14ac:dyDescent="0.2">
      <c r="B14" s="495" t="s">
        <v>1101</v>
      </c>
      <c r="C14" s="504"/>
      <c r="D14" s="3599">
        <f>IF(SUM(D15:D16)=0,"IE",SUM(D15:D16))</f>
        <v>501.11508653629511</v>
      </c>
      <c r="E14" s="3564">
        <f t="shared" ref="E14:F14" si="12">IF(SUM(E15:E16)=0,"IE",SUM(E15:E16))</f>
        <v>413.45499999999998</v>
      </c>
      <c r="F14" s="3565">
        <f t="shared" si="12"/>
        <v>87.660086536295111</v>
      </c>
      <c r="G14" s="3558" t="str">
        <f t="shared" si="4"/>
        <v>NA</v>
      </c>
      <c r="H14" s="3078">
        <f t="shared" si="5"/>
        <v>-1.8343661214659575</v>
      </c>
      <c r="I14" s="3078">
        <f t="shared" si="6"/>
        <v>-1.8343661214659575</v>
      </c>
      <c r="J14" s="3078">
        <f t="shared" si="7"/>
        <v>-0.60264477692280161</v>
      </c>
      <c r="K14" s="3573">
        <f t="shared" si="8"/>
        <v>-0.48972681428450499</v>
      </c>
      <c r="L14" s="3128">
        <f t="shared" si="9"/>
        <v>0.99302793290028302</v>
      </c>
      <c r="M14" s="3506" t="str">
        <f>IF(SUM(M15:M16)=0,"IE",SUM(M15:M16))</f>
        <v>IE</v>
      </c>
      <c r="N14" s="3506">
        <f t="shared" ref="N14:S14" si="13">IF(SUM(N15:N16)=0,"IE",SUM(N15:N16))</f>
        <v>-919.2285376976613</v>
      </c>
      <c r="O14" s="3506">
        <f t="shared" si="13"/>
        <v>-919.2285376976613</v>
      </c>
      <c r="P14" s="3506">
        <f t="shared" si="13"/>
        <v>-301.994389538316</v>
      </c>
      <c r="Q14" s="3601">
        <f t="shared" si="13"/>
        <v>-202.48</v>
      </c>
      <c r="R14" s="3601">
        <f t="shared" si="13"/>
        <v>87.048914530997067</v>
      </c>
      <c r="S14" s="3287">
        <f t="shared" si="13"/>
        <v>4901.0647132515933</v>
      </c>
      <c r="U14" s="2019"/>
    </row>
    <row r="15" spans="2:21" ht="18" customHeight="1" x14ac:dyDescent="0.2">
      <c r="B15" s="496"/>
      <c r="C15" s="508" t="s">
        <v>2235</v>
      </c>
      <c r="D15" s="3600">
        <f>IF(SUM(E15:F15)=0,E15,SUM(E15:F15))</f>
        <v>87.660086536295111</v>
      </c>
      <c r="E15" s="3569" t="s">
        <v>2146</v>
      </c>
      <c r="F15" s="3554">
        <v>87.660086536295111</v>
      </c>
      <c r="G15" s="3558" t="str">
        <f t="shared" si="4"/>
        <v>NA</v>
      </c>
      <c r="H15" s="3078">
        <f t="shared" si="5"/>
        <v>-7.1721300142379851</v>
      </c>
      <c r="I15" s="3078">
        <f t="shared" si="6"/>
        <v>-7.1721300142379851</v>
      </c>
      <c r="J15" s="3078">
        <f t="shared" si="7"/>
        <v>-2.3401915015607302</v>
      </c>
      <c r="K15" s="3573" t="str">
        <f t="shared" si="8"/>
        <v>NA</v>
      </c>
      <c r="L15" s="3128">
        <f t="shared" si="9"/>
        <v>0.99302793290028302</v>
      </c>
      <c r="M15" s="2905" t="s">
        <v>2153</v>
      </c>
      <c r="N15" s="2905">
        <v>-628.70953769766129</v>
      </c>
      <c r="O15" s="3109">
        <f>IF(SUM(M15:N15)=0,M15,SUM(M15:N15))</f>
        <v>-628.70953769766129</v>
      </c>
      <c r="P15" s="2905">
        <v>-205.14138953831602</v>
      </c>
      <c r="Q15" s="2906" t="s">
        <v>2146</v>
      </c>
      <c r="R15" s="2906">
        <v>87.048914530997067</v>
      </c>
      <c r="S15" s="3570">
        <f>IF(SUM(O15:R15)=0,Q15,SUM(O15:R15)*-44/12)</f>
        <v>2738.2740465849274</v>
      </c>
      <c r="U15" s="2019"/>
    </row>
    <row r="16" spans="2:21" ht="18" customHeight="1" x14ac:dyDescent="0.2">
      <c r="B16" s="494"/>
      <c r="C16" s="508" t="s">
        <v>2236</v>
      </c>
      <c r="D16" s="3600">
        <f>IF(SUM(E16:F16)=0,E16,SUM(E16:F16))</f>
        <v>413.45499999999998</v>
      </c>
      <c r="E16" s="3569">
        <v>413.45499999999998</v>
      </c>
      <c r="F16" s="3554" t="s">
        <v>2153</v>
      </c>
      <c r="G16" s="3558" t="str">
        <f t="shared" si="4"/>
        <v>NA</v>
      </c>
      <c r="H16" s="3078">
        <f t="shared" si="5"/>
        <v>-0.70266171651086562</v>
      </c>
      <c r="I16" s="3078">
        <f t="shared" si="6"/>
        <v>-0.70266171651086562</v>
      </c>
      <c r="J16" s="3078">
        <f t="shared" si="7"/>
        <v>-0.23425282074228151</v>
      </c>
      <c r="K16" s="3573">
        <f t="shared" si="8"/>
        <v>-0.48972681428450499</v>
      </c>
      <c r="L16" s="3128" t="str">
        <f t="shared" si="9"/>
        <v>NA</v>
      </c>
      <c r="M16" s="2905" t="s">
        <v>2153</v>
      </c>
      <c r="N16" s="2905">
        <v>-290.51899999999995</v>
      </c>
      <c r="O16" s="3109">
        <f>IF(SUM(M16:N16)=0,M16,SUM(M16:N16))</f>
        <v>-290.51899999999995</v>
      </c>
      <c r="P16" s="2905">
        <v>-96.852999999999994</v>
      </c>
      <c r="Q16" s="2906">
        <v>-202.48</v>
      </c>
      <c r="R16" s="2906" t="s">
        <v>2153</v>
      </c>
      <c r="S16" s="3570">
        <f>IF(SUM(O16:R16)=0,Q16,SUM(O16:R16)*-44/12)</f>
        <v>2162.7906666666663</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82.930127533591545</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82.930127533591545</v>
      </c>
    </row>
    <row r="270" spans="2:10" ht="18" customHeight="1" x14ac:dyDescent="0.2">
      <c r="B270" s="2827" t="s">
        <v>1187</v>
      </c>
      <c r="C270" s="2828"/>
      <c r="D270" s="2808"/>
      <c r="E270" s="2809"/>
      <c r="F270" s="2810"/>
      <c r="G270" s="2811"/>
      <c r="H270" s="2819" t="s">
        <v>2154</v>
      </c>
      <c r="I270" s="2815" t="s">
        <v>2154</v>
      </c>
      <c r="J270" s="3741">
        <f>J277</f>
        <v>81.853710810674883</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767.46556201113674</v>
      </c>
      <c r="E277" s="2755" t="s">
        <v>2147</v>
      </c>
      <c r="F277" s="2753" t="s">
        <v>2147</v>
      </c>
      <c r="G277" s="3735">
        <f>IF(SUM(D277)=0,"NA",J277*1000/D277)</f>
        <v>106.65457169984012</v>
      </c>
      <c r="H277" s="2778" t="str">
        <f t="shared" ref="H277:J277" si="1">H302</f>
        <v>NE</v>
      </c>
      <c r="I277" s="2777" t="str">
        <f t="shared" si="1"/>
        <v>NE</v>
      </c>
      <c r="J277" s="3734">
        <f t="shared" si="1"/>
        <v>81.853710810674883</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440.68771361081127</v>
      </c>
      <c r="E281" s="2755" t="str">
        <f t="shared" si="2"/>
        <v>NA</v>
      </c>
      <c r="F281" s="2753" t="str">
        <f t="shared" si="2"/>
        <v>NA</v>
      </c>
      <c r="G281" s="3735">
        <f t="shared" si="2"/>
        <v>123.12133204153932</v>
      </c>
      <c r="H281" s="2780" t="str">
        <f t="shared" ref="H281" si="3">H306</f>
        <v>NA</v>
      </c>
      <c r="I281" s="2758" t="str">
        <f t="shared" ref="I281:J281" si="4">I306</f>
        <v>NA</v>
      </c>
      <c r="J281" s="3744">
        <f t="shared" si="4"/>
        <v>54.258058314103479</v>
      </c>
    </row>
    <row r="282" spans="2:10" ht="18" customHeight="1" outlineLevel="1" x14ac:dyDescent="0.2">
      <c r="B282" s="2847" t="str">
        <f>B307</f>
        <v>Other Constructed Water Bodies</v>
      </c>
      <c r="C282" s="2835" t="str">
        <f t="shared" si="2"/>
        <v>Other Constructed Water Bodies</v>
      </c>
      <c r="D282" s="3729">
        <f t="shared" si="2"/>
        <v>326.77784840032547</v>
      </c>
      <c r="E282" s="2755" t="str">
        <f t="shared" si="2"/>
        <v>NA</v>
      </c>
      <c r="F282" s="2753" t="str">
        <f t="shared" si="2"/>
        <v>NA</v>
      </c>
      <c r="G282" s="3735">
        <f t="shared" si="2"/>
        <v>84.447745254644147</v>
      </c>
      <c r="H282" s="2845" t="str">
        <f t="shared" ref="H282" si="5">H307</f>
        <v>NA</v>
      </c>
      <c r="I282" s="2846" t="str">
        <f t="shared" ref="I282:J282" si="6">I307</f>
        <v>NA</v>
      </c>
      <c r="J282" s="3744">
        <f t="shared" si="6"/>
        <v>27.595652496571407</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81.853710810674883</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767.46556201113674</v>
      </c>
      <c r="E302" s="2755" t="s">
        <v>2147</v>
      </c>
      <c r="F302" s="2753" t="s">
        <v>2147</v>
      </c>
      <c r="G302" s="3735">
        <f>IF(SUM(D302)=0,"NA",J302*1000/D302)</f>
        <v>106.65457169984012</v>
      </c>
      <c r="H302" s="2778" t="s">
        <v>2154</v>
      </c>
      <c r="I302" s="2777" t="s">
        <v>2154</v>
      </c>
      <c r="J302" s="3734">
        <f t="shared" ref="J302" si="7">IF(SUM(J306:J307)=0,"NO",SUM(J306:J307))</f>
        <v>81.853710810674883</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440.68771361081127</v>
      </c>
      <c r="E306" s="2755" t="s">
        <v>2147</v>
      </c>
      <c r="F306" s="2753" t="s">
        <v>2147</v>
      </c>
      <c r="G306" s="3735">
        <f>IF(SUM(D306)=0,"NA",J306*1000/D306)</f>
        <v>123.12133204153932</v>
      </c>
      <c r="H306" s="2780" t="s">
        <v>2147</v>
      </c>
      <c r="I306" s="2758" t="s">
        <v>2147</v>
      </c>
      <c r="J306" s="3744">
        <v>54.258058314103479</v>
      </c>
    </row>
    <row r="307" spans="2:10" ht="18" customHeight="1" outlineLevel="2" x14ac:dyDescent="0.2">
      <c r="B307" s="2847" t="s">
        <v>2245</v>
      </c>
      <c r="C307" s="2835" t="s">
        <v>2245</v>
      </c>
      <c r="D307" s="3732">
        <v>326.77784840032547</v>
      </c>
      <c r="E307" s="2755" t="s">
        <v>2147</v>
      </c>
      <c r="F307" s="2753" t="s">
        <v>2147</v>
      </c>
      <c r="G307" s="3735">
        <f>IF(SUM(D307)=0,"NA",J307*1000/D307)</f>
        <v>84.447745254644147</v>
      </c>
      <c r="H307" s="2780" t="s">
        <v>2147</v>
      </c>
      <c r="I307" s="2758" t="s">
        <v>2147</v>
      </c>
      <c r="J307" s="3744">
        <v>27.595652496571407</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1.0764167229166668</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4.7817100694444443</v>
      </c>
      <c r="E327" s="2776" t="str">
        <f t="shared" ref="E327:J327" si="8">E331</f>
        <v>NA</v>
      </c>
      <c r="F327" s="2777" t="str">
        <f t="shared" si="8"/>
        <v>NA</v>
      </c>
      <c r="G327" s="3737">
        <f t="shared" si="8"/>
        <v>225.1112483366706</v>
      </c>
      <c r="H327" s="2778" t="str">
        <f t="shared" si="8"/>
        <v>IE</v>
      </c>
      <c r="I327" s="2777" t="str">
        <f t="shared" si="8"/>
        <v>NA</v>
      </c>
      <c r="J327" s="3734">
        <f t="shared" si="8"/>
        <v>1.0764167229166668</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4.7817100694444443</v>
      </c>
      <c r="E331" s="2755" t="str">
        <f t="shared" si="9"/>
        <v>NA</v>
      </c>
      <c r="F331" s="2753" t="str">
        <f t="shared" si="9"/>
        <v>NA</v>
      </c>
      <c r="G331" s="3735">
        <f t="shared" si="9"/>
        <v>225.1112483366706</v>
      </c>
      <c r="H331" s="2765" t="str">
        <f t="shared" si="9"/>
        <v>IE</v>
      </c>
      <c r="I331" s="2758" t="str">
        <f t="shared" si="9"/>
        <v>NA</v>
      </c>
      <c r="J331" s="3744">
        <f t="shared" si="9"/>
        <v>1.0764167229166668</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1.0764167229166668</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4.7817100694444443</v>
      </c>
      <c r="E411" s="2776" t="str">
        <f t="shared" ref="E411:J411" si="10">E415</f>
        <v>NA</v>
      </c>
      <c r="F411" s="2777" t="str">
        <f t="shared" si="10"/>
        <v>NA</v>
      </c>
      <c r="G411" s="3737">
        <f t="shared" si="10"/>
        <v>225.1112483366706</v>
      </c>
      <c r="H411" s="2778" t="str">
        <f t="shared" si="10"/>
        <v>IE</v>
      </c>
      <c r="I411" s="2777" t="str">
        <f t="shared" si="10"/>
        <v>NA</v>
      </c>
      <c r="J411" s="3734">
        <f t="shared" si="10"/>
        <v>1.0764167229166668</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4.7817100694444443</v>
      </c>
      <c r="E415" s="2755" t="str">
        <f>E427</f>
        <v>NA</v>
      </c>
      <c r="F415" s="2753" t="str">
        <f>F427</f>
        <v>NA</v>
      </c>
      <c r="G415" s="3735">
        <f t="shared" ref="G415:J415" si="11">G427</f>
        <v>225.1112483366706</v>
      </c>
      <c r="H415" s="2780" t="str">
        <f t="shared" si="11"/>
        <v>IE</v>
      </c>
      <c r="I415" s="2758" t="str">
        <f t="shared" si="11"/>
        <v>NA</v>
      </c>
      <c r="J415" s="3744">
        <f t="shared" si="11"/>
        <v>1.0764167229166668</v>
      </c>
    </row>
    <row r="416" spans="2:10" ht="18" customHeight="1" outlineLevel="2" x14ac:dyDescent="0.2">
      <c r="B416" s="2842" t="s">
        <v>1199</v>
      </c>
      <c r="C416" s="2828"/>
      <c r="D416" s="3731"/>
      <c r="E416" s="2809"/>
      <c r="F416" s="2810"/>
      <c r="G416" s="3738"/>
      <c r="H416" s="2819" t="s">
        <v>2154</v>
      </c>
      <c r="I416" s="2815" t="s">
        <v>2154</v>
      </c>
      <c r="J416" s="3741">
        <f>J423</f>
        <v>1.0764167229166668</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4.7817100694444443</v>
      </c>
      <c r="E423" s="2776" t="str">
        <f t="shared" ref="E423:J423" si="12">E427</f>
        <v>NA</v>
      </c>
      <c r="F423" s="2777" t="str">
        <f t="shared" si="12"/>
        <v>NA</v>
      </c>
      <c r="G423" s="3737">
        <f t="shared" si="12"/>
        <v>225.1112483366706</v>
      </c>
      <c r="H423" s="2778" t="str">
        <f t="shared" si="12"/>
        <v>IE</v>
      </c>
      <c r="I423" s="2777" t="str">
        <f t="shared" si="12"/>
        <v>NA</v>
      </c>
      <c r="J423" s="3734">
        <f t="shared" si="12"/>
        <v>1.0764167229166668</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4.7817100694444443</v>
      </c>
      <c r="E427" s="2755" t="s">
        <v>2147</v>
      </c>
      <c r="F427" s="2753" t="s">
        <v>2147</v>
      </c>
      <c r="G427" s="3735">
        <f>IF(SUM(D427)=0,"NA",J427*1000/D427)</f>
        <v>225.1112483366706</v>
      </c>
      <c r="H427" s="2780" t="s">
        <v>2153</v>
      </c>
      <c r="I427" s="2758" t="s">
        <v>2147</v>
      </c>
      <c r="J427" s="3744">
        <v>1.0764167229166668</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657114.95144488814</v>
      </c>
      <c r="D10" s="4332">
        <f>IF(SUM(D11,D20,D28,D37,D46,D55)=0,"NO",SUM(D11,D20,D28,D37,D46,D55))</f>
        <v>132422.04037215348</v>
      </c>
      <c r="E10" s="4333">
        <f t="shared" ref="E10:E12" si="0">IF(SUM(C10)=0,"NA",G10/C10*1000/(44/28))</f>
        <v>3.0997369493211253E-3</v>
      </c>
      <c r="F10" s="4332">
        <f t="shared" ref="F10:F11" si="1">IF(SUM(D10)=0,"NA",H10/D10*1000/(44/28))</f>
        <v>7.4999999999999997E-3</v>
      </c>
      <c r="G10" s="4331">
        <f>IF(SUM(G11,G20,G28,G37,G46,G55)=0,"NO",SUM(G11,G20,G28,G37,G46,G55))</f>
        <v>3.200816920627978</v>
      </c>
      <c r="H10" s="4334">
        <f>IF(SUM(H11,H20,H28,H37,H46,H55)=0,"NO",SUM(H11,H20,H28,H37,H46,H55))</f>
        <v>1.560688332957523</v>
      </c>
      <c r="I10" s="4335">
        <f t="shared" ref="I10:I11" si="2">IF(SUM(G10:H10)=0,"NO",SUM(G10:H10))</f>
        <v>4.7615052535855007</v>
      </c>
    </row>
    <row r="11" spans="2:10" ht="18" customHeight="1" x14ac:dyDescent="0.2">
      <c r="B11" s="2848" t="s">
        <v>1901</v>
      </c>
      <c r="C11" s="4336">
        <f>IF(SUM(C12:C13)=0,"NO",SUM(C12:C13))</f>
        <v>131929.21933792863</v>
      </c>
      <c r="D11" s="4337">
        <f>IF(SUM(D12:D13)=0,"NO",SUM(D12:D13))</f>
        <v>49630.320987072904</v>
      </c>
      <c r="E11" s="4336">
        <f t="shared" si="0"/>
        <v>5.2145229646948892E-3</v>
      </c>
      <c r="F11" s="4337">
        <f t="shared" si="1"/>
        <v>7.4999999999999989E-3</v>
      </c>
      <c r="G11" s="4336">
        <f>IF(SUM(G12:G13)=0,"NO",SUM(G12:G13))</f>
        <v>1.081061054781554</v>
      </c>
      <c r="H11" s="4338">
        <f>IF(SUM(H12:H13)=0,"NO",SUM(H12:H13))</f>
        <v>0.58492878306193052</v>
      </c>
      <c r="I11" s="4337">
        <f t="shared" si="2"/>
        <v>1.6659898378434845</v>
      </c>
    </row>
    <row r="12" spans="2:10" ht="18" customHeight="1" x14ac:dyDescent="0.2">
      <c r="B12" s="914" t="s">
        <v>1228</v>
      </c>
      <c r="C12" s="4339">
        <f>Table4.A!E11</f>
        <v>120803.241774391</v>
      </c>
      <c r="D12" s="4340">
        <f>H12/F12*1000/(44/28)</f>
        <v>36539.211700820328</v>
      </c>
      <c r="E12" s="4341">
        <f t="shared" si="0"/>
        <v>3.5792434762141499E-3</v>
      </c>
      <c r="F12" s="4342">
        <v>7.4999999999999997E-3</v>
      </c>
      <c r="G12" s="4339">
        <v>0.67946090932737235</v>
      </c>
      <c r="H12" s="4343">
        <v>0.43064070933109666</v>
      </c>
      <c r="I12" s="4344">
        <f>IF(SUM(G12:H12)=0,"NO",SUM(G12:H12))</f>
        <v>1.1101016186584691</v>
      </c>
    </row>
    <row r="13" spans="2:10" ht="18" customHeight="1" x14ac:dyDescent="0.2">
      <c r="B13" s="914" t="s">
        <v>1902</v>
      </c>
      <c r="C13" s="4345">
        <f>IF(SUM(C15:C19)=0,"NO",SUM(C15:C19))</f>
        <v>11125.977563537625</v>
      </c>
      <c r="D13" s="4344">
        <f>IF(SUM(D15:D19)=0,"NO",SUM(D15:D19))</f>
        <v>13091.109286252575</v>
      </c>
      <c r="E13" s="4345">
        <f>IF(SUM(C13)=0,"NA",G13/C13*1000/(44/28))</f>
        <v>2.2970002183262447E-2</v>
      </c>
      <c r="F13" s="4344">
        <f>IF(SUM(D13)=0,"NA",H13/D13*1000/(44/28))</f>
        <v>7.4999999999999997E-3</v>
      </c>
      <c r="G13" s="4345">
        <f>IF(SUM(G15:G19)=0,"NO",SUM(G15:G19))</f>
        <v>0.40160014545418155</v>
      </c>
      <c r="H13" s="4346">
        <f>IF(SUM(H15:H19)=0,"NO",SUM(H15:H19))</f>
        <v>0.15428807373083392</v>
      </c>
      <c r="I13" s="4344">
        <f>IF(SUM(G13:H13)=0,"NO",SUM(G13:H13))</f>
        <v>0.55588821918501541</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73.159000000000006</v>
      </c>
      <c r="D15" s="4340">
        <f>H15/F15*1000/(44/28)</f>
        <v>153.34394490020756</v>
      </c>
      <c r="E15" s="4345">
        <f>IF(SUM(C15)=0,"NA",G15/C15*1000/(44/28))</f>
        <v>4.5846033980781582E-2</v>
      </c>
      <c r="F15" s="4342">
        <v>7.4999999999999997E-3</v>
      </c>
      <c r="G15" s="4350">
        <v>5.27065E-3</v>
      </c>
      <c r="H15" s="4351">
        <v>1.8072679220381604E-3</v>
      </c>
      <c r="I15" s="4344">
        <f>IF(SUM(G15:H15)=0,"NO",SUM(G15:H15))</f>
        <v>7.0779179220381606E-3</v>
      </c>
    </row>
    <row r="16" spans="2:10" ht="18" customHeight="1" x14ac:dyDescent="0.2">
      <c r="B16" s="528" t="s">
        <v>1230</v>
      </c>
      <c r="C16" s="4350">
        <f>Table4.A!E19</f>
        <v>10995.352563537625</v>
      </c>
      <c r="D16" s="4340">
        <f>H16/F16*1000/(44/28)</f>
        <v>12713.624072182853</v>
      </c>
      <c r="E16" s="4345">
        <f t="shared" ref="E16:E21" si="3">IF(SUM(C16)=0,"NA",G16/C16*1000/(44/28))</f>
        <v>2.2409619049036184E-2</v>
      </c>
      <c r="F16" s="4342">
        <v>7.4999999999999997E-3</v>
      </c>
      <c r="G16" s="4350">
        <v>0.38720261212084822</v>
      </c>
      <c r="H16" s="4351">
        <v>0.14983914085072647</v>
      </c>
      <c r="I16" s="4344">
        <f t="shared" ref="I16:I21" si="4">IF(SUM(G16:H16)=0,"NO",SUM(G16:H16))</f>
        <v>0.53704175297157475</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57.466000000000001</v>
      </c>
      <c r="D18" s="4340">
        <f>H18/F18*1000/(44/28)</f>
        <v>224.14126916951457</v>
      </c>
      <c r="E18" s="4345">
        <f t="shared" si="3"/>
        <v>0.10106874789730738</v>
      </c>
      <c r="F18" s="4342">
        <v>7.4999999999999997E-3</v>
      </c>
      <c r="G18" s="4350">
        <v>9.126883333333332E-3</v>
      </c>
      <c r="H18" s="4351">
        <v>2.6416649580692786E-3</v>
      </c>
      <c r="I18" s="4344">
        <f t="shared" si="4"/>
        <v>1.1768548291402611E-2</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2286.0430000000001</v>
      </c>
      <c r="D20" s="4360">
        <f>D21</f>
        <v>2040.6702436557903</v>
      </c>
      <c r="E20" s="4359">
        <f t="shared" si="3"/>
        <v>1.9414989131875469E-2</v>
      </c>
      <c r="F20" s="4360">
        <f t="shared" si="5"/>
        <v>7.4999999999999997E-3</v>
      </c>
      <c r="G20" s="4359">
        <f>G21</f>
        <v>6.9745500000000002E-2</v>
      </c>
      <c r="H20" s="4361">
        <f>H21</f>
        <v>2.4050756443086099E-2</v>
      </c>
      <c r="I20" s="4360">
        <f t="shared" si="4"/>
        <v>9.3796256443086104E-2</v>
      </c>
    </row>
    <row r="21" spans="2:9" ht="18" customHeight="1" x14ac:dyDescent="0.2">
      <c r="B21" s="914" t="s">
        <v>1904</v>
      </c>
      <c r="C21" s="4345">
        <f>IF(SUM(C23:C27)=0,"NO",SUM(C23:C27))</f>
        <v>2286.0430000000001</v>
      </c>
      <c r="D21" s="4344">
        <f>IF(SUM(D23:D27)=0,"NO",SUM(D23:D27))</f>
        <v>2040.6702436557903</v>
      </c>
      <c r="E21" s="4345">
        <f t="shared" si="3"/>
        <v>1.9414989131875469E-2</v>
      </c>
      <c r="F21" s="4344">
        <f t="shared" si="5"/>
        <v>7.4999999999999997E-3</v>
      </c>
      <c r="G21" s="4345">
        <f>IF(SUM(G23:G27)=0,"NO",SUM(G23:G27))</f>
        <v>6.9745500000000002E-2</v>
      </c>
      <c r="H21" s="4346">
        <f>IF(SUM(H23:H27)=0,"NO",SUM(H23:H27))</f>
        <v>2.4050756443086099E-2</v>
      </c>
      <c r="I21" s="4344">
        <f t="shared" si="4"/>
        <v>9.3796256443086104E-2</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2286.0430000000001</v>
      </c>
      <c r="D23" s="4340">
        <f>H23/F23*1000/(44/28)</f>
        <v>2040.6702436557903</v>
      </c>
      <c r="E23" s="4345">
        <f>IF(SUM(C23)=0,"NA",G23/C23*1000/(44/28))</f>
        <v>1.9414989131875469E-2</v>
      </c>
      <c r="F23" s="4342">
        <v>7.4999999999999997E-3</v>
      </c>
      <c r="G23" s="4350">
        <v>6.9745500000000002E-2</v>
      </c>
      <c r="H23" s="4351">
        <v>2.4050756443086099E-2</v>
      </c>
      <c r="I23" s="4344">
        <f>IF(SUM(G23:H23)=0,"NO",SUM(G23:H23))</f>
        <v>9.3796256443086104E-2</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521474.69870727643</v>
      </c>
      <c r="D28" s="4337">
        <f>IF(SUM(D29:D30)=0,"NO",SUM(D29:D30))</f>
        <v>79761.480686949202</v>
      </c>
      <c r="E28" s="4336">
        <f t="shared" si="6"/>
        <v>2.4562742633171958E-3</v>
      </c>
      <c r="F28" s="4337">
        <f t="shared" si="7"/>
        <v>7.5000000000000006E-3</v>
      </c>
      <c r="G28" s="4336">
        <f>IF(SUM(G29:G30)=0,"NO",SUM(G29:G30))</f>
        <v>2.0128190993519275</v>
      </c>
      <c r="H28" s="4338">
        <f>IF(SUM(H29:H30)=0,"NO",SUM(H29:H30))</f>
        <v>0.94004602238190138</v>
      </c>
      <c r="I28" s="4360">
        <f t="shared" si="8"/>
        <v>2.9528651217338289</v>
      </c>
    </row>
    <row r="29" spans="2:9" ht="18" customHeight="1" x14ac:dyDescent="0.2">
      <c r="B29" s="914" t="s">
        <v>1239</v>
      </c>
      <c r="C29" s="4339">
        <f>Table4.C!E11</f>
        <v>507988.05961114302</v>
      </c>
      <c r="D29" s="4340">
        <f>H29/F29*1000/(44/28)</f>
        <v>68103.555109482055</v>
      </c>
      <c r="E29" s="4341">
        <f t="shared" si="6"/>
        <v>1.8379784262038941E-3</v>
      </c>
      <c r="F29" s="4342">
        <v>7.4999999999999997E-3</v>
      </c>
      <c r="G29" s="4339">
        <v>1.4671974339541491</v>
      </c>
      <c r="H29" s="4343">
        <v>0.80264904236175283</v>
      </c>
      <c r="I29" s="4344">
        <f t="shared" si="8"/>
        <v>2.2698464763159021</v>
      </c>
    </row>
    <row r="30" spans="2:9" ht="18" customHeight="1" x14ac:dyDescent="0.2">
      <c r="B30" s="914" t="s">
        <v>1906</v>
      </c>
      <c r="C30" s="4345">
        <f>IF(SUM(C32:C36)=0,"NO",SUM(C32:C36))</f>
        <v>13486.639096133431</v>
      </c>
      <c r="D30" s="4344">
        <f>IF(SUM(D32:D36)=0,"NO",SUM(D32:D36))</f>
        <v>11657.925577467153</v>
      </c>
      <c r="E30" s="4345">
        <f>IF(SUM(C30)=0,"NA",G30/C30*1000/(44/28))</f>
        <v>2.5745019540921676E-2</v>
      </c>
      <c r="F30" s="4344">
        <f>IF(SUM(D30)=0,"NA",H30/D30*1000/(44/28))</f>
        <v>7.4999999999999997E-3</v>
      </c>
      <c r="G30" s="4345">
        <f>IF(SUM(G32:G36)=0,"NO",SUM(G32:G36))</f>
        <v>0.54562166539777823</v>
      </c>
      <c r="H30" s="4346">
        <f>IF(SUM(H32:H36)=0,"NO",SUM(H32:H36))</f>
        <v>0.13739698002014858</v>
      </c>
      <c r="I30" s="4344">
        <f t="shared" si="8"/>
        <v>0.68301864541792678</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13486.639096133431</v>
      </c>
      <c r="D32" s="4340">
        <f>H32/F32*1000/(44/28)</f>
        <v>11657.925577467153</v>
      </c>
      <c r="E32" s="4345">
        <f>IF(SUM(C32)=0,"NA",G32/C32*1000/(44/28))</f>
        <v>2.5745019540921676E-2</v>
      </c>
      <c r="F32" s="4342">
        <v>7.4999999999999997E-3</v>
      </c>
      <c r="G32" s="4350">
        <v>0.54562166539777823</v>
      </c>
      <c r="H32" s="4351">
        <v>0.13739698002014858</v>
      </c>
      <c r="I32" s="4344">
        <f t="shared" si="8"/>
        <v>0.68301864541792678</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1424.9903996830001</v>
      </c>
      <c r="D46" s="4337">
        <f>IF(SUM(D47:D48)=0,"NO",SUM(D47:D48))</f>
        <v>989.56845447557055</v>
      </c>
      <c r="E46" s="4336">
        <f t="shared" si="11"/>
        <v>1.6608651954898621E-2</v>
      </c>
      <c r="F46" s="4337">
        <f t="shared" si="12"/>
        <v>7.4999999999999989E-3</v>
      </c>
      <c r="G46" s="4336">
        <f>IF(SUM(G47:G48)=0,"NO",SUM(G47:G48))</f>
        <v>3.7191266494496444E-2</v>
      </c>
      <c r="H46" s="4338">
        <f>IF(SUM(H47:H48)=0,"NO",SUM(H47:H48))</f>
        <v>1.1662771070604936E-2</v>
      </c>
      <c r="I46" s="4337">
        <f t="shared" si="8"/>
        <v>4.8854037565101378E-2</v>
      </c>
    </row>
    <row r="47" spans="2:9" ht="18" customHeight="1" x14ac:dyDescent="0.2">
      <c r="B47" s="914" t="s">
        <v>1251</v>
      </c>
      <c r="C47" s="4339">
        <f>Table4.E!E11</f>
        <v>1011.535399683</v>
      </c>
      <c r="D47" s="4340">
        <f>H47/F47*1000/(44/28)</f>
        <v>3.0197879171789297</v>
      </c>
      <c r="E47" s="4341">
        <f t="shared" si="11"/>
        <v>4.3995416032011197E-5</v>
      </c>
      <c r="F47" s="4342">
        <v>7.4999999999999997E-3</v>
      </c>
      <c r="G47" s="4339">
        <v>6.9933161163109059E-5</v>
      </c>
      <c r="H47" s="4343">
        <v>3.5590357595323093E-5</v>
      </c>
      <c r="I47" s="4344">
        <f t="shared" si="8"/>
        <v>1.0552351875843215E-4</v>
      </c>
    </row>
    <row r="48" spans="2:9" ht="18" customHeight="1" x14ac:dyDescent="0.2">
      <c r="B48" s="914" t="s">
        <v>1910</v>
      </c>
      <c r="C48" s="4345">
        <f>IF(SUM(C50:C54)=0,"NO",SUM(C50:C54))</f>
        <v>413.45499999999998</v>
      </c>
      <c r="D48" s="4344">
        <f>IF(SUM(D50:D54)=0,"NO",SUM(D50:D54))</f>
        <v>986.54866655839157</v>
      </c>
      <c r="E48" s="4345">
        <f>IF(SUM(C48)=0,"NA",G48/C48*1000/(44/28))</f>
        <v>5.7134794999858907E-2</v>
      </c>
      <c r="F48" s="4344">
        <f>IF(SUM(D48)=0,"NA",H48/D48*1000/(44/28))</f>
        <v>7.4999999999999989E-3</v>
      </c>
      <c r="G48" s="4345">
        <f>IF(SUM(G50:G54)=0,"NO",SUM(G50:G54))</f>
        <v>3.7121333333333333E-2</v>
      </c>
      <c r="H48" s="4346">
        <f>IF(SUM(H50:H54)=0,"NO",SUM(H50:H54))</f>
        <v>1.1627180713009612E-2</v>
      </c>
      <c r="I48" s="4344">
        <f t="shared" si="8"/>
        <v>4.8748514046342943E-2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413.45499999999998</v>
      </c>
      <c r="D50" s="4340">
        <f>H50/F50*1000/(44/28)</f>
        <v>986.54866655839157</v>
      </c>
      <c r="E50" s="4345">
        <f>IF(SUM(C50)=0,"NA",G50/C50*1000/(44/28))</f>
        <v>5.7134794999858907E-2</v>
      </c>
      <c r="F50" s="4342">
        <v>7.4999999999999997E-3</v>
      </c>
      <c r="G50" s="4350">
        <v>3.7121333333333333E-2</v>
      </c>
      <c r="H50" s="4351">
        <v>1.1627180713009612E-2</v>
      </c>
      <c r="I50" s="4344">
        <f t="shared" si="8"/>
        <v>4.8748514046342943E-2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5352844.5408293642</v>
      </c>
      <c r="D10" s="3076" t="s">
        <v>1814</v>
      </c>
      <c r="E10" s="628"/>
      <c r="F10" s="628"/>
      <c r="G10" s="628"/>
      <c r="H10" s="1913">
        <f>IF(SUM(H11:H15)=0,"NO",SUM(H11:H15))</f>
        <v>374763.66058025236</v>
      </c>
      <c r="I10" s="1913">
        <f t="shared" ref="I10:K10" si="0">IF(SUM(I11:I16)=0,"NO",SUM(I11:I16))</f>
        <v>79.593072950773092</v>
      </c>
      <c r="J10" s="1913">
        <f t="shared" si="0"/>
        <v>12.197301920440971</v>
      </c>
      <c r="K10" s="3085" t="str">
        <f t="shared" si="0"/>
        <v>NO</v>
      </c>
    </row>
    <row r="11" spans="2:11" ht="18" customHeight="1" x14ac:dyDescent="0.2">
      <c r="B11" s="282" t="s">
        <v>132</v>
      </c>
      <c r="C11" s="3086">
        <f>IF(SUM(C18,'Table1.A(a)s2'!C11,'Table1.A(a)s3'!C11,'Table1.A(a)s4'!C11,'Table1.A(a)s4'!C94)=0,"NO",SUM(C18,'Table1.A(a)s2'!C11,'Table1.A(a)s3'!C11,'Table1.A(a)s4'!C11,'Table1.A(a)s4'!C94))</f>
        <v>1907363.252172376</v>
      </c>
      <c r="D11" s="3077" t="s">
        <v>2145</v>
      </c>
      <c r="E11" s="1913">
        <f>IFERROR(H11*1000/$C11,"NA")</f>
        <v>68.271269997321554</v>
      </c>
      <c r="F11" s="1913">
        <f t="shared" ref="F11:G16" si="1">IFERROR(I11*1000000/$C11,"NA")</f>
        <v>9.6119709476850073</v>
      </c>
      <c r="G11" s="1913">
        <f t="shared" si="1"/>
        <v>3.786405897279868</v>
      </c>
      <c r="H11" s="1913">
        <f>IF(SUM(H18,'Table1.A(a)s2'!H11,'Table1.A(a)s3'!H11,'Table1.A(a)s4'!H11,'Table1.A(a)s4'!H94)=0,"NO",SUM(H18,'Table1.A(a)s2'!H11,'Table1.A(a)s3'!H11,'Table1.A(a)s4'!H11,'Table1.A(a)s4'!H94))</f>
        <v>130218.11157202959</v>
      </c>
      <c r="I11" s="1913">
        <f>IF(SUM(I18,'Table1.A(a)s2'!I11,'Table1.A(a)s3'!I11,'Table1.A(a)s4'!I11,'Table1.A(a)s4'!I94)=0,"NO",SUM(I18,'Table1.A(a)s2'!I11,'Table1.A(a)s3'!I11,'Table1.A(a)s4'!I11,'Table1.A(a)s4'!I94))</f>
        <v>18.33352016656287</v>
      </c>
      <c r="J11" s="1913">
        <f>IF(SUM(J18,'Table1.A(a)s2'!J11,'Table1.A(a)s3'!J11,'Table1.A(a)s4'!J11,'Table1.A(a)s4'!J94)=0,"NO",SUM(J18,'Table1.A(a)s2'!J11,'Table1.A(a)s3'!J11,'Table1.A(a)s4'!J11,'Table1.A(a)s4'!J94))</f>
        <v>7.2220514662803925</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1988440.0409535067</v>
      </c>
      <c r="D12" s="3077" t="s">
        <v>1814</v>
      </c>
      <c r="E12" s="1913">
        <f t="shared" ref="E12:E16" si="2">IFERROR(H12*1000/$C12,"NA")</f>
        <v>90.434882744746133</v>
      </c>
      <c r="F12" s="1913">
        <f t="shared" si="1"/>
        <v>0.67900774699603061</v>
      </c>
      <c r="G12" s="1913">
        <f t="shared" si="1"/>
        <v>1.4317614866331787</v>
      </c>
      <c r="H12" s="1913">
        <f>IF(SUM(H19,'Table1.A(a)s2'!H12,'Table1.A(a)s3'!H12,'Table1.A(a)s4'!H12,'Table1.A(a)s4'!H95)=0,"NO",SUM(H19,'Table1.A(a)s2'!H12,'Table1.A(a)s3'!H12,'Table1.A(a)s4'!H12,'Table1.A(a)s4'!H95))</f>
        <v>179824.34194858858</v>
      </c>
      <c r="I12" s="1913">
        <f>IF(SUM(I19,'Table1.A(a)s2'!I12,'Table1.A(a)s3'!I12,'Table1.A(a)s4'!I12,'Table1.A(a)s4'!I95)=0,"NO",SUM(I19,'Table1.A(a)s2'!I12,'Table1.A(a)s3'!I12,'Table1.A(a)s4'!I12,'Table1.A(a)s4'!I95))</f>
        <v>1.3501661922445356</v>
      </c>
      <c r="J12" s="1913">
        <f>IF(SUM(J19,'Table1.A(a)s2'!J12,'Table1.A(a)s3'!J12,'Table1.A(a)s4'!J12,'Table1.A(a)s4'!J95)=0,"NO",SUM(J19,'Table1.A(a)s2'!J12,'Table1.A(a)s3'!J12,'Table1.A(a)s4'!J12,'Table1.A(a)s4'!J95))</f>
        <v>2.8469718691165316</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1258916.3313838872</v>
      </c>
      <c r="D13" s="3077" t="s">
        <v>2145</v>
      </c>
      <c r="E13" s="1913">
        <f t="shared" si="2"/>
        <v>51.228100627437271</v>
      </c>
      <c r="F13" s="1913">
        <f t="shared" si="1"/>
        <v>14.069573577267228</v>
      </c>
      <c r="G13" s="1913">
        <f t="shared" si="1"/>
        <v>1.0018074407698108</v>
      </c>
      <c r="H13" s="1913">
        <f>IF(SUM(H20,'Table1.A(a)s2'!H13,'Table1.A(a)s3'!H13,'Table1.A(a)s4'!H13,'Table1.A(a)s4'!H96)=0,"NO",SUM(H20,'Table1.A(a)s2'!H13,'Table1.A(a)s3'!H13,'Table1.A(a)s4'!H13,'Table1.A(a)s4'!H96))</f>
        <v>64491.892505657939</v>
      </c>
      <c r="I13" s="1913">
        <f>IF(SUM(I20,'Table1.A(a)s2'!I13,'Table1.A(a)s3'!I13,'Table1.A(a)s4'!I13,'Table1.A(a)s4'!I96)=0,"NO",SUM(I20,'Table1.A(a)s2'!I13,'Table1.A(a)s3'!I13,'Table1.A(a)s4'!I13,'Table1.A(a)s4'!I96))</f>
        <v>17.712415952028934</v>
      </c>
      <c r="J13" s="1913">
        <f>IF(SUM(J20,'Table1.A(a)s2'!J13,'Table1.A(a)s3'!J13,'Table1.A(a)s4'!J13,'Table1.A(a)s4'!J96)=0,"NO",SUM(J20,'Table1.A(a)s2'!J13,'Table1.A(a)s3'!J13,'Table1.A(a)s4'!J13,'Table1.A(a)s4'!J96))</f>
        <v>1.261191748087011</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3086.186385901613</v>
      </c>
      <c r="D14" s="3077" t="s">
        <v>2145</v>
      </c>
      <c r="E14" s="1913">
        <f t="shared" si="2"/>
        <v>74.303533650413428</v>
      </c>
      <c r="F14" s="1913">
        <f t="shared" si="1"/>
        <v>26.312979635221602</v>
      </c>
      <c r="G14" s="1913">
        <f t="shared" si="1"/>
        <v>0.89238621235796434</v>
      </c>
      <c r="H14" s="1913">
        <f>IF(SUM(H21,'Table1.A(a)s2'!H14,'Table1.A(a)s3'!H14,'Table1.A(a)s4'!H14,'Table1.A(a)s4'!H97)=0,"NO",SUM(H21,'Table1.A(a)s2'!H14,'Table1.A(a)s3'!H14,'Table1.A(a)s4'!H14,'Table1.A(a)s4'!H97))</f>
        <v>229.31455397628829</v>
      </c>
      <c r="I14" s="1913">
        <f>IF(SUM(I21,'Table1.A(a)s2'!I14,'Table1.A(a)s3'!I14,'Table1.A(a)s4'!I14,'Table1.A(a)s4'!I97)=0,"NO",SUM(I21,'Table1.A(a)s2'!I14,'Table1.A(a)s3'!I14,'Table1.A(a)s4'!I14,'Table1.A(a)s4'!I97))</f>
        <v>8.1206759522727295E-2</v>
      </c>
      <c r="J14" s="1913">
        <f>IF(SUM(J21,'Table1.A(a)s2'!J14,'Table1.A(a)s3'!J14,'Table1.A(a)s4'!J14,'Table1.A(a)s4'!J97)=0,"NO",SUM(J21,'Table1.A(a)s2'!J14,'Table1.A(a)s3'!J14,'Table1.A(a)s4'!J14,'Table1.A(a)s4'!J97))</f>
        <v>2.7540701795454553E-3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195038.72993369197</v>
      </c>
      <c r="D16" s="3079" t="s">
        <v>2145</v>
      </c>
      <c r="E16" s="2880">
        <f t="shared" si="2"/>
        <v>85.086407253069169</v>
      </c>
      <c r="F16" s="1913">
        <f t="shared" si="1"/>
        <v>215.93538829304458</v>
      </c>
      <c r="G16" s="1913">
        <f t="shared" si="1"/>
        <v>4.4315955455172436</v>
      </c>
      <c r="H16" s="2880">
        <f>IF(SUM(H23,'Table1.A(a)s2'!H16,'Table1.A(a)s3'!H15,'Table1.A(a)s4'!H16,'Table1.A(a)s4'!H99)=0,"NO",SUM(H23,'Table1.A(a)s2'!H16,'Table1.A(a)s3'!H15,'Table1.A(a)s4'!H16,'Table1.A(a)s4'!H99))</f>
        <v>16595.144805259486</v>
      </c>
      <c r="I16" s="2880">
        <f>IF(SUM(I23,'Table1.A(a)s2'!I16,'Table1.A(a)s3'!I15,'Table1.A(a)s4'!I16,'Table1.A(a)s4'!I99)=0,"NO",SUM(I23,'Table1.A(a)s2'!I16,'Table1.A(a)s3'!I15,'Table1.A(a)s4'!I16,'Table1.A(a)s4'!I99))</f>
        <v>42.115763880414029</v>
      </c>
      <c r="J16" s="2880">
        <f>IF(SUM(J23,'Table1.A(a)s2'!J16,'Table1.A(a)s3'!J15,'Table1.A(a)s4'!J16,'Table1.A(a)s4'!J99)=0,"NO",SUM(J23,'Table1.A(a)s2'!J16,'Table1.A(a)s3'!J15,'Table1.A(a)s4'!J16,'Table1.A(a)s4'!J99))</f>
        <v>0.86433276677749005</v>
      </c>
      <c r="K16" s="3066" t="str">
        <f>IF(SUM(K23,'Table1.A(a)s2'!K16,'Table1.A(a)s3'!K15,'Table1.A(a)s4'!K16,'Table1.A(a)s4'!K99)=0,"NO",SUM(K23,'Table1.A(a)s2'!K16,'Table1.A(a)s3'!K15,'Table1.A(a)s4'!K16,'Table1.A(a)s4'!K99))</f>
        <v>NO</v>
      </c>
    </row>
    <row r="17" spans="2:12" ht="18" customHeight="1" x14ac:dyDescent="0.2">
      <c r="B17" s="2184" t="s">
        <v>76</v>
      </c>
      <c r="C17" s="3067">
        <f>IF(SUM(C18:C23)=0,"NO",SUM(C18:C23))</f>
        <v>2823553.5112341018</v>
      </c>
      <c r="D17" s="3080" t="s">
        <v>1814</v>
      </c>
      <c r="E17" s="3081"/>
      <c r="F17" s="3081"/>
      <c r="G17" s="3081"/>
      <c r="H17" s="3067">
        <f>IF(SUM(H18:H22)=0,"NO",SUM(H18:H22))</f>
        <v>221066.87190972728</v>
      </c>
      <c r="I17" s="3067">
        <f t="shared" ref="I17" si="3">IF(SUM(I18:I23)=0,"NO",SUM(I18:I23))</f>
        <v>21.855790518752059</v>
      </c>
      <c r="J17" s="3067">
        <f t="shared" ref="J17" si="4">IF(SUM(J18:J23)=0,"NO",SUM(J18:J23))</f>
        <v>4.1252416381587036</v>
      </c>
      <c r="K17" s="3068" t="str">
        <f t="shared" ref="K17" si="5">IF(SUM(K18:K23)=0,"NO",SUM(K18:K23))</f>
        <v>NO</v>
      </c>
    </row>
    <row r="18" spans="2:12" ht="18" customHeight="1" x14ac:dyDescent="0.2">
      <c r="B18" s="282" t="s">
        <v>132</v>
      </c>
      <c r="C18" s="3086">
        <f>IF(SUM(C25,C54,C61)=0,"NO",SUM(C25,C54,C61))</f>
        <v>202194.2954218036</v>
      </c>
      <c r="D18" s="3077" t="s">
        <v>1814</v>
      </c>
      <c r="E18" s="1913">
        <f>IFERROR(H18*1000/$C18,"NA")</f>
        <v>67.016124361570718</v>
      </c>
      <c r="F18" s="1913">
        <f t="shared" ref="F18:G23" si="6">IFERROR(I18*1000000/$C18,"NA")</f>
        <v>2.6348092720998584</v>
      </c>
      <c r="G18" s="1913">
        <f t="shared" si="6"/>
        <v>1.7730227293457381</v>
      </c>
      <c r="H18" s="3086">
        <f>IF(SUM(H25,H54,H61)=0,"NO",SUM(H25,H54,H61))</f>
        <v>13550.278047187761</v>
      </c>
      <c r="I18" s="3086">
        <f>IF(SUM(I25,I54,I61)=0,"NO",SUM(I25,I54,I61))</f>
        <v>0.532743404343066</v>
      </c>
      <c r="J18" s="3086">
        <f>IF(SUM(J25,J54,J61)=0,"NO",SUM(J25,J54,J61))</f>
        <v>0.35849508152690474</v>
      </c>
      <c r="K18" s="3069" t="str">
        <f>IF(SUM(K25,K54,K61)=0,"NO",SUM(K25,K54,K61))</f>
        <v>NO</v>
      </c>
      <c r="L18" s="19"/>
    </row>
    <row r="19" spans="2:12" ht="18" customHeight="1" x14ac:dyDescent="0.2">
      <c r="B19" s="282" t="s">
        <v>133</v>
      </c>
      <c r="C19" s="3086">
        <f t="shared" ref="C19:C23" si="7">IF(SUM(C26,C55,C62)=0,"NO",SUM(C26,C55,C62))</f>
        <v>1880848.6819050817</v>
      </c>
      <c r="D19" s="3077" t="s">
        <v>1814</v>
      </c>
      <c r="E19" s="1913">
        <f t="shared" ref="E19:E23" si="8">IFERROR(H19*1000/$C19,"NA")</f>
        <v>90.97667909834216</v>
      </c>
      <c r="F19" s="1913">
        <f t="shared" si="6"/>
        <v>0.66362476964345607</v>
      </c>
      <c r="G19" s="1913">
        <f t="shared" si="6"/>
        <v>1.4734371887365134</v>
      </c>
      <c r="H19" s="3086">
        <f t="shared" ref="H19:K23" si="9">IF(SUM(H26,H55,H62)=0,"NO",SUM(H26,H55,H62))</f>
        <v>171113.36696621845</v>
      </c>
      <c r="I19" s="3086">
        <f t="shared" si="9"/>
        <v>1.248177773263458</v>
      </c>
      <c r="J19" s="3086">
        <f t="shared" si="9"/>
        <v>2.7713123943050006</v>
      </c>
      <c r="K19" s="3069" t="str">
        <f t="shared" si="9"/>
        <v>NO</v>
      </c>
      <c r="L19" s="19"/>
    </row>
    <row r="20" spans="2:12" ht="18" customHeight="1" x14ac:dyDescent="0.2">
      <c r="B20" s="282" t="s">
        <v>134</v>
      </c>
      <c r="C20" s="3086">
        <f t="shared" si="7"/>
        <v>712572.9318107164</v>
      </c>
      <c r="D20" s="3077" t="s">
        <v>1814</v>
      </c>
      <c r="E20" s="1913">
        <f t="shared" si="8"/>
        <v>51.085029176495482</v>
      </c>
      <c r="F20" s="1913">
        <f t="shared" si="6"/>
        <v>23.604381148945095</v>
      </c>
      <c r="G20" s="1913">
        <f t="shared" si="6"/>
        <v>1.252699155913449</v>
      </c>
      <c r="H20" s="3086">
        <f t="shared" si="9"/>
        <v>36401.809011931371</v>
      </c>
      <c r="I20" s="3086">
        <f t="shared" si="9"/>
        <v>16.819843078881412</v>
      </c>
      <c r="J20" s="3086">
        <f t="shared" si="9"/>
        <v>0.89263951020605614</v>
      </c>
      <c r="K20" s="3069" t="str">
        <f t="shared" si="9"/>
        <v>NO</v>
      </c>
      <c r="L20" s="19"/>
    </row>
    <row r="21" spans="2:12" ht="18" customHeight="1" x14ac:dyDescent="0.2">
      <c r="B21" s="282" t="s">
        <v>135</v>
      </c>
      <c r="C21" s="3086">
        <f t="shared" si="7"/>
        <v>551.22500000000002</v>
      </c>
      <c r="D21" s="3077" t="s">
        <v>1814</v>
      </c>
      <c r="E21" s="1913">
        <f t="shared" si="8"/>
        <v>2.572242531996916</v>
      </c>
      <c r="F21" s="1913">
        <f t="shared" si="6"/>
        <v>1.0281818181818179</v>
      </c>
      <c r="G21" s="1913">
        <f t="shared" si="6"/>
        <v>0.42463636363636365</v>
      </c>
      <c r="H21" s="3086">
        <f t="shared" si="9"/>
        <v>1.4178843897000002</v>
      </c>
      <c r="I21" s="3086">
        <f t="shared" si="9"/>
        <v>5.6675952272727261E-4</v>
      </c>
      <c r="J21" s="3086">
        <f t="shared" si="9"/>
        <v>2.3407017954545455E-4</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27386.377096500008</v>
      </c>
      <c r="D23" s="3077" t="s">
        <v>1814</v>
      </c>
      <c r="E23" s="1913">
        <f t="shared" si="8"/>
        <v>71.695311194520144</v>
      </c>
      <c r="F23" s="1913">
        <f t="shared" si="6"/>
        <v>118.83497737849088</v>
      </c>
      <c r="G23" s="1913">
        <f t="shared" si="6"/>
        <v>3.7449488692793547</v>
      </c>
      <c r="H23" s="3086">
        <f t="shared" si="9"/>
        <v>1963.474828424047</v>
      </c>
      <c r="I23" s="3086">
        <f t="shared" si="9"/>
        <v>3.2544595027413994</v>
      </c>
      <c r="J23" s="3086">
        <f t="shared" si="9"/>
        <v>0.10256058194119572</v>
      </c>
      <c r="K23" s="3069" t="str">
        <f t="shared" si="9"/>
        <v>NO</v>
      </c>
      <c r="L23" s="19"/>
    </row>
    <row r="24" spans="2:12" ht="18" customHeight="1" x14ac:dyDescent="0.2">
      <c r="B24" s="1237" t="s">
        <v>138</v>
      </c>
      <c r="C24" s="3086">
        <f>IF(SUM(C25:C30)=0,"NO",SUM(C25:C30))</f>
        <v>2433855.8216687003</v>
      </c>
      <c r="D24" s="3077" t="s">
        <v>1814</v>
      </c>
      <c r="E24" s="628"/>
      <c r="F24" s="628"/>
      <c r="G24" s="628"/>
      <c r="H24" s="3086">
        <f>IF(SUM(H25:H29)=0,"NO",SUM(H25:H29))</f>
        <v>197716.6769849378</v>
      </c>
      <c r="I24" s="3086">
        <f t="shared" ref="I24" si="10">IF(SUM(I25:I30)=0,"NO",SUM(I25:I30))</f>
        <v>13.227608096213451</v>
      </c>
      <c r="J24" s="3086">
        <f t="shared" ref="J24" si="11">IF(SUM(J25:J30)=0,"NO",SUM(J25:J30))</f>
        <v>3.5887610110556842</v>
      </c>
      <c r="K24" s="3069" t="str">
        <f t="shared" ref="K24" si="12">IF(SUM(K25:K30)=0,"NO",SUM(K25:K30))</f>
        <v>NO</v>
      </c>
      <c r="L24" s="19"/>
    </row>
    <row r="25" spans="2:12" ht="18" customHeight="1" x14ac:dyDescent="0.2">
      <c r="B25" s="160" t="s">
        <v>132</v>
      </c>
      <c r="C25" s="3074">
        <f>IF(SUM(C33,C40,C47)=0,"NO",SUM(C33,C40,C47))</f>
        <v>37222.733698100696</v>
      </c>
      <c r="D25" s="3082" t="s">
        <v>1814</v>
      </c>
      <c r="E25" s="3086">
        <f>IFERROR(H25*1000/$C25,"NA")</f>
        <v>69.310714790643445</v>
      </c>
      <c r="F25" s="1913">
        <f t="shared" ref="F25:G30" si="13">IFERROR(I25*1000000/$C25,"NA")</f>
        <v>3.3976601962919077</v>
      </c>
      <c r="G25" s="1913">
        <f t="shared" si="13"/>
        <v>0.39287528711413439</v>
      </c>
      <c r="H25" s="3086">
        <f>IF(SUM(H33,H40,H47)=0,"NO",SUM(H33,H40,H47))</f>
        <v>2579.9342790771298</v>
      </c>
      <c r="I25" s="3086">
        <f>IF(SUM(I33,I40,I47)=0,"NO",SUM(I33,I40,I47))</f>
        <v>0.12647020068321022</v>
      </c>
      <c r="J25" s="3086">
        <f>IF(SUM(J33,J40,J47)=0,"NO",SUM(J33,J40,J47))</f>
        <v>1.4623892188814276E-2</v>
      </c>
      <c r="K25" s="3069" t="str">
        <f>IF(SUM(K33,K40,K47)=0,"NO",SUM(K33,K40,K47))</f>
        <v>NO</v>
      </c>
      <c r="L25" s="19"/>
    </row>
    <row r="26" spans="2:12" ht="18" customHeight="1" x14ac:dyDescent="0.2">
      <c r="B26" s="160" t="s">
        <v>133</v>
      </c>
      <c r="C26" s="3086">
        <f t="shared" ref="C26:C30" si="14">IF(SUM(C34,C41,C48)=0,"NO",SUM(C34,C41,C48))</f>
        <v>1855913.7258074</v>
      </c>
      <c r="D26" s="3082" t="s">
        <v>1814</v>
      </c>
      <c r="E26" s="3086">
        <f t="shared" ref="E26:E30" si="15">IFERROR(H26*1000/$C26,"NA")</f>
        <v>91.01394197438411</v>
      </c>
      <c r="F26" s="1913">
        <f t="shared" si="13"/>
        <v>0.65962662372163916</v>
      </c>
      <c r="G26" s="1913">
        <f t="shared" si="13"/>
        <v>1.4824053797042509</v>
      </c>
      <c r="H26" s="3086">
        <f t="shared" ref="H26:K30" si="16">IF(SUM(H34,H41,H48)=0,"NO",SUM(H34,H41,H48))</f>
        <v>168914.02415009771</v>
      </c>
      <c r="I26" s="3086">
        <f t="shared" si="16"/>
        <v>1.2242101048729832</v>
      </c>
      <c r="J26" s="3086">
        <f t="shared" si="16"/>
        <v>2.7512164914038499</v>
      </c>
      <c r="K26" s="3069" t="str">
        <f t="shared" si="16"/>
        <v>NO</v>
      </c>
      <c r="L26" s="19"/>
    </row>
    <row r="27" spans="2:12" ht="18" customHeight="1" x14ac:dyDescent="0.2">
      <c r="B27" s="160" t="s">
        <v>134</v>
      </c>
      <c r="C27" s="3086">
        <f t="shared" si="14"/>
        <v>514583.3230039</v>
      </c>
      <c r="D27" s="3082" t="s">
        <v>1814</v>
      </c>
      <c r="E27" s="3086">
        <f t="shared" si="15"/>
        <v>50.959130200113833</v>
      </c>
      <c r="F27" s="1913">
        <f t="shared" si="13"/>
        <v>16.764955439332589</v>
      </c>
      <c r="G27" s="1913">
        <f t="shared" si="13"/>
        <v>1.4086086211741</v>
      </c>
      <c r="H27" s="3086">
        <f t="shared" si="16"/>
        <v>26222.718555762971</v>
      </c>
      <c r="I27" s="3086">
        <f t="shared" si="16"/>
        <v>8.6269664799840715</v>
      </c>
      <c r="J27" s="3086">
        <f t="shared" si="16"/>
        <v>0.72484650509571014</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26136.039159300006</v>
      </c>
      <c r="D30" s="3082" t="s">
        <v>1814</v>
      </c>
      <c r="E30" s="3086">
        <f t="shared" si="15"/>
        <v>71.866846963613682</v>
      </c>
      <c r="F30" s="1913">
        <f t="shared" si="13"/>
        <v>124.34788955069152</v>
      </c>
      <c r="G30" s="1913">
        <f t="shared" si="13"/>
        <v>3.7524477894123538</v>
      </c>
      <c r="H30" s="3086">
        <f t="shared" si="16"/>
        <v>1878.314726496428</v>
      </c>
      <c r="I30" s="3086">
        <f t="shared" si="16"/>
        <v>3.2499613106731857</v>
      </c>
      <c r="J30" s="3086">
        <f t="shared" si="16"/>
        <v>9.8074122367310015E-2</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2433855.8216687003</v>
      </c>
      <c r="D32" s="3077" t="s">
        <v>1814</v>
      </c>
      <c r="E32" s="1914"/>
      <c r="F32" s="1914"/>
      <c r="G32" s="1914"/>
      <c r="H32" s="3086">
        <f>IF(SUM(H33:H37)=0,"NO",SUM(H33:H37))</f>
        <v>197716.6769849378</v>
      </c>
      <c r="I32" s="3086">
        <f t="shared" ref="I32" si="17">IF(SUM(I33:I38)=0,"NO",SUM(I33:I38))</f>
        <v>13.227608096213451</v>
      </c>
      <c r="J32" s="3086">
        <f t="shared" ref="J32" si="18">IF(SUM(J33:J38)=0,"NO",SUM(J33:J38))</f>
        <v>3.5887610110556842</v>
      </c>
      <c r="K32" s="3069" t="str">
        <f t="shared" ref="K32" si="19">IF(SUM(K33:K38)=0,"NO",SUM(K33:K38))</f>
        <v>NO</v>
      </c>
      <c r="L32" s="19"/>
    </row>
    <row r="33" spans="2:12" ht="18" customHeight="1" x14ac:dyDescent="0.2">
      <c r="B33" s="160" t="s">
        <v>132</v>
      </c>
      <c r="C33" s="3033">
        <v>37222.733698100696</v>
      </c>
      <c r="D33" s="3077" t="s">
        <v>1814</v>
      </c>
      <c r="E33" s="1913">
        <f>IFERROR(H33*1000/$C33,"NA")</f>
        <v>69.310714790643445</v>
      </c>
      <c r="F33" s="1913">
        <f t="shared" ref="F33:G38" si="20">IFERROR(I33*1000000/$C33,"NA")</f>
        <v>3.3976601962919077</v>
      </c>
      <c r="G33" s="1913">
        <f t="shared" si="20"/>
        <v>0.39287528711413439</v>
      </c>
      <c r="H33" s="3033">
        <v>2579.9342790771298</v>
      </c>
      <c r="I33" s="3033">
        <v>0.12647020068321022</v>
      </c>
      <c r="J33" s="3033">
        <v>1.4623892188814276E-2</v>
      </c>
      <c r="K33" s="3072" t="s">
        <v>2146</v>
      </c>
      <c r="L33" s="19"/>
    </row>
    <row r="34" spans="2:12" ht="18" customHeight="1" x14ac:dyDescent="0.2">
      <c r="B34" s="160" t="s">
        <v>133</v>
      </c>
      <c r="C34" s="3033">
        <v>1855913.7258074</v>
      </c>
      <c r="D34" s="3077" t="s">
        <v>1814</v>
      </c>
      <c r="E34" s="1913">
        <f t="shared" ref="E34:E38" si="21">IFERROR(H34*1000/$C34,"NA")</f>
        <v>91.01394197438411</v>
      </c>
      <c r="F34" s="1913">
        <f t="shared" si="20"/>
        <v>0.65962662372163916</v>
      </c>
      <c r="G34" s="1913">
        <f t="shared" si="20"/>
        <v>1.4824053797042509</v>
      </c>
      <c r="H34" s="3033">
        <v>168914.02415009771</v>
      </c>
      <c r="I34" s="3033">
        <v>1.2242101048729832</v>
      </c>
      <c r="J34" s="3033">
        <v>2.7512164914038499</v>
      </c>
      <c r="K34" s="3072" t="s">
        <v>2146</v>
      </c>
      <c r="L34" s="19"/>
    </row>
    <row r="35" spans="2:12" ht="18" customHeight="1" x14ac:dyDescent="0.2">
      <c r="B35" s="160" t="s">
        <v>134</v>
      </c>
      <c r="C35" s="3033">
        <v>514583.3230039</v>
      </c>
      <c r="D35" s="3077" t="s">
        <v>1814</v>
      </c>
      <c r="E35" s="1913">
        <f t="shared" si="21"/>
        <v>50.959130200113833</v>
      </c>
      <c r="F35" s="1913">
        <f t="shared" si="20"/>
        <v>16.764955439332589</v>
      </c>
      <c r="G35" s="1913">
        <f t="shared" si="20"/>
        <v>1.4086086211741</v>
      </c>
      <c r="H35" s="3033">
        <v>26222.718555762971</v>
      </c>
      <c r="I35" s="3033">
        <v>8.6269664799840715</v>
      </c>
      <c r="J35" s="3033">
        <v>0.72484650509571014</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26136.039159300006</v>
      </c>
      <c r="D38" s="3077" t="s">
        <v>1814</v>
      </c>
      <c r="E38" s="1913">
        <f t="shared" si="21"/>
        <v>71.866846963613682</v>
      </c>
      <c r="F38" s="1913">
        <f t="shared" si="20"/>
        <v>124.34788955069152</v>
      </c>
      <c r="G38" s="1913">
        <f t="shared" si="20"/>
        <v>3.7524477894123538</v>
      </c>
      <c r="H38" s="3033">
        <v>1878.314726496428</v>
      </c>
      <c r="I38" s="3033">
        <v>3.2499613106731857</v>
      </c>
      <c r="J38" s="3033">
        <v>9.8074122367310015E-2</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86308.312099253089</v>
      </c>
      <c r="D53" s="3077" t="s">
        <v>1814</v>
      </c>
      <c r="E53" s="628"/>
      <c r="F53" s="628"/>
      <c r="G53" s="628"/>
      <c r="H53" s="3086">
        <f>IF(SUM(H54:H58)=0,"NO",SUM(H54:H58))</f>
        <v>5141.3832924566168</v>
      </c>
      <c r="I53" s="3086">
        <f t="shared" ref="I53:K53" si="28">IF(SUM(I54:I59)=0,"NO",SUM(I54:I59))</f>
        <v>8.3711125773320766E-2</v>
      </c>
      <c r="J53" s="3086">
        <f t="shared" si="28"/>
        <v>1.6755475215255809E-2</v>
      </c>
      <c r="K53" s="3069" t="str">
        <f t="shared" si="28"/>
        <v>NO</v>
      </c>
      <c r="L53" s="19"/>
    </row>
    <row r="54" spans="2:12" ht="18" customHeight="1" x14ac:dyDescent="0.2">
      <c r="B54" s="160" t="s">
        <v>132</v>
      </c>
      <c r="C54" s="3033">
        <v>68750.434825658551</v>
      </c>
      <c r="D54" s="3077" t="s">
        <v>1814</v>
      </c>
      <c r="E54" s="1913">
        <f>IFERROR(H54*1000/$C54,"NA")</f>
        <v>62.045000893006922</v>
      </c>
      <c r="F54" s="1913">
        <f t="shared" ref="F54:G59" si="29">IFERROR(I54*1000000/$C54,"NA")</f>
        <v>0.95502575018243419</v>
      </c>
      <c r="G54" s="1913">
        <f t="shared" si="29"/>
        <v>0.13526841074105159</v>
      </c>
      <c r="H54" s="3033">
        <v>4265.6207901525995</v>
      </c>
      <c r="I54" s="3033">
        <v>6.5658435594743103E-2</v>
      </c>
      <c r="J54" s="3033">
        <v>9.2997620566230774E-3</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17006.652273594533</v>
      </c>
      <c r="D56" s="3077" t="s">
        <v>1814</v>
      </c>
      <c r="E56" s="1913">
        <f t="shared" si="30"/>
        <v>51.411918339265007</v>
      </c>
      <c r="F56" s="1913">
        <f t="shared" si="29"/>
        <v>1.0281818181818181</v>
      </c>
      <c r="G56" s="1913">
        <f t="shared" si="29"/>
        <v>0.42463636363636365</v>
      </c>
      <c r="H56" s="3033">
        <v>874.34461791431761</v>
      </c>
      <c r="I56" s="3033">
        <v>1.7485930655850378E-2</v>
      </c>
      <c r="J56" s="3033">
        <v>7.2216429790872786E-3</v>
      </c>
      <c r="K56" s="3072" t="s">
        <v>2146</v>
      </c>
    </row>
    <row r="57" spans="2:12" ht="18" customHeight="1" x14ac:dyDescent="0.2">
      <c r="B57" s="282" t="s">
        <v>135</v>
      </c>
      <c r="C57" s="3033">
        <v>551.22500000000002</v>
      </c>
      <c r="D57" s="3077" t="s">
        <v>1814</v>
      </c>
      <c r="E57" s="1913">
        <f t="shared" si="30"/>
        <v>2.572242531996916</v>
      </c>
      <c r="F57" s="1913">
        <f t="shared" si="29"/>
        <v>1.0281818181818179</v>
      </c>
      <c r="G57" s="1913">
        <f t="shared" si="29"/>
        <v>0.42463636363636365</v>
      </c>
      <c r="H57" s="3033">
        <v>1.4178843897000002</v>
      </c>
      <c r="I57" s="3033">
        <v>5.6675952272727261E-4</v>
      </c>
      <c r="J57" s="3033">
        <v>2.3407017954545455E-4</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303389.37746614811</v>
      </c>
      <c r="D60" s="3077" t="s">
        <v>1814</v>
      </c>
      <c r="E60" s="628"/>
      <c r="F60" s="628"/>
      <c r="G60" s="628"/>
      <c r="H60" s="3086">
        <f>IF(SUM(H61:H65)=0,"NO",SUM(H61:H65))</f>
        <v>18208.81163233285</v>
      </c>
      <c r="I60" s="3086">
        <f t="shared" ref="I60:K60" si="31">IF(SUM(I61:I66)=0,"NO",SUM(I61:I66))</f>
        <v>8.5444712967652929</v>
      </c>
      <c r="J60" s="3086">
        <f t="shared" si="31"/>
        <v>0.51972515188776236</v>
      </c>
      <c r="K60" s="3069" t="str">
        <f t="shared" si="31"/>
        <v>NO</v>
      </c>
      <c r="L60" s="19"/>
    </row>
    <row r="61" spans="2:12" ht="18" customHeight="1" x14ac:dyDescent="0.2">
      <c r="B61" s="160" t="s">
        <v>132</v>
      </c>
      <c r="C61" s="3074">
        <f>IF(SUM(C69,C76,C83)=0,"NO",SUM(C69,C76,C83))</f>
        <v>96221.126898044371</v>
      </c>
      <c r="D61" s="3077" t="s">
        <v>1814</v>
      </c>
      <c r="E61" s="1913">
        <f>IFERROR(H61*1000/$C61,"NA")</f>
        <v>69.680362245833365</v>
      </c>
      <c r="F61" s="1913">
        <f t="shared" ref="F61:G66" si="32">IFERROR(I61*1000000/$C61,"NA")</f>
        <v>3.5399166383285769</v>
      </c>
      <c r="G61" s="1913">
        <f t="shared" si="32"/>
        <v>3.477109841334308</v>
      </c>
      <c r="H61" s="3074">
        <f>IF(SUM(H69,H76,H83)=0,"NO",SUM(H69,H76,H83))</f>
        <v>6704.7229779580321</v>
      </c>
      <c r="I61" s="3074">
        <f>IF(SUM(I69,I76,I83)=0,"NO",SUM(I69,I76,I83))</f>
        <v>0.34061476806511265</v>
      </c>
      <c r="J61" s="3074">
        <f>IF(SUM(J69,J76,J83)=0,"NO",SUM(J69,J76,J83))</f>
        <v>0.33457142728146738</v>
      </c>
      <c r="K61" s="3088" t="str">
        <f>IF(SUM(K69,K76,K83)=0,"NO",SUM(K69,K76,K83))</f>
        <v>NO</v>
      </c>
    </row>
    <row r="62" spans="2:12" ht="18" customHeight="1" x14ac:dyDescent="0.2">
      <c r="B62" s="160" t="s">
        <v>133</v>
      </c>
      <c r="C62" s="3074">
        <f t="shared" ref="C62:C66" si="33">IF(SUM(C70,C77,C84)=0,"NO",SUM(C70,C77,C84))</f>
        <v>24934.956097681868</v>
      </c>
      <c r="D62" s="3077" t="s">
        <v>1814</v>
      </c>
      <c r="E62" s="1913">
        <f t="shared" ref="E62:E66" si="34">IFERROR(H62*1000/$C62,"NA")</f>
        <v>88.203195847022315</v>
      </c>
      <c r="F62" s="1913">
        <f t="shared" si="32"/>
        <v>0.9612075632530559</v>
      </c>
      <c r="G62" s="1913">
        <f t="shared" si="32"/>
        <v>0.8059329570272934</v>
      </c>
      <c r="H62" s="3074">
        <f t="shared" ref="H62:K66" si="35">IF(SUM(H70,H77,H84)=0,"NO",SUM(H70,H77,H84))</f>
        <v>2199.3428161207371</v>
      </c>
      <c r="I62" s="3074">
        <f t="shared" si="35"/>
        <v>2.3967668390474716E-2</v>
      </c>
      <c r="J62" s="3074">
        <f t="shared" si="35"/>
        <v>2.009590290115049E-2</v>
      </c>
      <c r="K62" s="3088" t="str">
        <f t="shared" si="35"/>
        <v>NO</v>
      </c>
    </row>
    <row r="63" spans="2:12" ht="18" customHeight="1" x14ac:dyDescent="0.2">
      <c r="B63" s="160" t="s">
        <v>134</v>
      </c>
      <c r="C63" s="3074">
        <f t="shared" si="33"/>
        <v>180982.95653322194</v>
      </c>
      <c r="D63" s="3077" t="s">
        <v>1814</v>
      </c>
      <c r="E63" s="1913">
        <f t="shared" si="34"/>
        <v>51.412276694386222</v>
      </c>
      <c r="F63" s="1913">
        <f t="shared" si="32"/>
        <v>45.172157781281385</v>
      </c>
      <c r="G63" s="1913">
        <f t="shared" si="32"/>
        <v>0.88721814035446833</v>
      </c>
      <c r="H63" s="3074">
        <f t="shared" si="35"/>
        <v>9304.7458382540808</v>
      </c>
      <c r="I63" s="3074">
        <f t="shared" si="35"/>
        <v>8.1753906682414925</v>
      </c>
      <c r="J63" s="3074">
        <f t="shared" si="35"/>
        <v>0.16057136213125875</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f t="shared" si="33"/>
        <v>1250.3379372000002</v>
      </c>
      <c r="D66" s="3077" t="s">
        <v>1814</v>
      </c>
      <c r="E66" s="1913">
        <f t="shared" si="34"/>
        <v>68.109668109668092</v>
      </c>
      <c r="F66" s="1913">
        <f t="shared" si="32"/>
        <v>3.5975810493976881</v>
      </c>
      <c r="G66" s="1913">
        <f t="shared" si="32"/>
        <v>3.5881975907510708</v>
      </c>
      <c r="H66" s="3074">
        <f t="shared" si="35"/>
        <v>85.160101927619039</v>
      </c>
      <c r="I66" s="3074">
        <f t="shared" si="35"/>
        <v>4.4981920682137166E-3</v>
      </c>
      <c r="J66" s="3074">
        <f t="shared" si="35"/>
        <v>4.4864595738857045E-3</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24939.223279681868</v>
      </c>
      <c r="D68" s="3077" t="s">
        <v>1814</v>
      </c>
      <c r="E68" s="628"/>
      <c r="F68" s="628"/>
      <c r="G68" s="628"/>
      <c r="H68" s="3086">
        <f>IF(SUM(H69:H73)=0,"NO",SUM(H69:H73))</f>
        <v>2199.6431331208937</v>
      </c>
      <c r="I68" s="3086">
        <f t="shared" ref="I68:K68" si="36">IF(SUM(I69:I74)=0,"NO",SUM(I69:I74))</f>
        <v>2.3981640830075687E-2</v>
      </c>
      <c r="J68" s="3086">
        <f t="shared" si="36"/>
        <v>2.0109408417067622E-2</v>
      </c>
      <c r="K68" s="3069" t="str">
        <f t="shared" si="36"/>
        <v>NO</v>
      </c>
    </row>
    <row r="69" spans="2:11" ht="18" customHeight="1" x14ac:dyDescent="0.2">
      <c r="B69" s="282" t="s">
        <v>132</v>
      </c>
      <c r="C69" s="3033">
        <v>4.2621044000000001</v>
      </c>
      <c r="D69" s="3076" t="s">
        <v>1814</v>
      </c>
      <c r="E69" s="1913">
        <f>IFERROR(H69*1000/$C69,"NA")</f>
        <v>70.400891869284109</v>
      </c>
      <c r="F69" s="1913">
        <f t="shared" ref="F69:G74" si="37">IFERROR(I69*1000000/$C69,"NA")</f>
        <v>3.2759425210160318</v>
      </c>
      <c r="G69" s="1913">
        <f t="shared" si="37"/>
        <v>3.167689455079965</v>
      </c>
      <c r="H69" s="3033">
        <v>0.30005595100000004</v>
      </c>
      <c r="I69" s="3033">
        <v>1.3962409032969521E-5</v>
      </c>
      <c r="J69" s="3033">
        <v>1.3501023164329922E-5</v>
      </c>
      <c r="K69" s="3072" t="s">
        <v>2146</v>
      </c>
    </row>
    <row r="70" spans="2:11" ht="18" customHeight="1" x14ac:dyDescent="0.2">
      <c r="B70" s="282" t="s">
        <v>133</v>
      </c>
      <c r="C70" s="3033">
        <v>24934.956097681868</v>
      </c>
      <c r="D70" s="3076" t="s">
        <v>1814</v>
      </c>
      <c r="E70" s="1913">
        <f t="shared" ref="E70:E74" si="38">IFERROR(H70*1000/$C70,"NA")</f>
        <v>88.203195847022315</v>
      </c>
      <c r="F70" s="1913">
        <f t="shared" si="37"/>
        <v>0.9612075632530559</v>
      </c>
      <c r="G70" s="1913">
        <f t="shared" si="37"/>
        <v>0.8059329570272934</v>
      </c>
      <c r="H70" s="3033">
        <v>2199.3428161207371</v>
      </c>
      <c r="I70" s="3033">
        <v>2.3967668390474716E-2</v>
      </c>
      <c r="J70" s="3033">
        <v>2.009590290115049E-2</v>
      </c>
      <c r="K70" s="3072" t="s">
        <v>2146</v>
      </c>
    </row>
    <row r="71" spans="2:11" ht="18" customHeight="1" x14ac:dyDescent="0.2">
      <c r="B71" s="160" t="s">
        <v>134</v>
      </c>
      <c r="C71" s="3033">
        <v>5.0776000000000016E-3</v>
      </c>
      <c r="D71" s="3076" t="s">
        <v>1814</v>
      </c>
      <c r="E71" s="1913">
        <f t="shared" si="38"/>
        <v>51.411918339264986</v>
      </c>
      <c r="F71" s="1913">
        <f t="shared" si="37"/>
        <v>1.9754545454545451</v>
      </c>
      <c r="G71" s="1913">
        <f t="shared" si="37"/>
        <v>0.88481818181818161</v>
      </c>
      <c r="H71" s="3033">
        <v>2.6104915655945199E-4</v>
      </c>
      <c r="I71" s="3033">
        <v>1.0030568000000002E-8</v>
      </c>
      <c r="J71" s="3033">
        <v>4.4927528000000007E-9</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167871.23330349999</v>
      </c>
      <c r="D75" s="3077" t="s">
        <v>1814</v>
      </c>
      <c r="E75" s="628"/>
      <c r="F75" s="628"/>
      <c r="G75" s="628"/>
      <c r="H75" s="3086">
        <f>IF(SUM(H76:H80)=0,"NO",SUM(H76:H80))</f>
        <v>8700.5167030068988</v>
      </c>
      <c r="I75" s="3086">
        <f t="shared" ref="I75:K75" si="39">IF(SUM(I76:I81)=0,"NO",SUM(I76:I81))</f>
        <v>8.1260978729483782</v>
      </c>
      <c r="J75" s="3086">
        <f t="shared" si="39"/>
        <v>0.15155229073793861</v>
      </c>
      <c r="K75" s="3069" t="str">
        <f t="shared" si="39"/>
        <v>NO</v>
      </c>
    </row>
    <row r="76" spans="2:11" ht="18" customHeight="1" x14ac:dyDescent="0.2">
      <c r="B76" s="282" t="s">
        <v>132</v>
      </c>
      <c r="C76" s="3033">
        <v>4791.9574704000006</v>
      </c>
      <c r="D76" s="3076" t="s">
        <v>1814</v>
      </c>
      <c r="E76" s="1913">
        <f>IFERROR(H76*1000/$C76,"NA")</f>
        <v>66.006072258126338</v>
      </c>
      <c r="F76" s="1913">
        <f t="shared" ref="F76:G81" si="40">IFERROR(I76*1000000/$C76,"NA")</f>
        <v>2.4816977068380877</v>
      </c>
      <c r="G76" s="1913">
        <f t="shared" si="40"/>
        <v>1.5143670301530407</v>
      </c>
      <c r="H76" s="3033">
        <v>316.29829104909072</v>
      </c>
      <c r="I76" s="3033">
        <v>1.1892189865557325E-2</v>
      </c>
      <c r="J76" s="3033">
        <v>7.256782403069326E-3</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163079.27583309999</v>
      </c>
      <c r="D78" s="3076" t="s">
        <v>1814</v>
      </c>
      <c r="E78" s="1913">
        <f t="shared" si="41"/>
        <v>51.411918339265</v>
      </c>
      <c r="F78" s="1913">
        <f t="shared" si="40"/>
        <v>49.756203794939168</v>
      </c>
      <c r="G78" s="1913">
        <f t="shared" si="40"/>
        <v>0.88481818181818173</v>
      </c>
      <c r="H78" s="3033">
        <v>8384.2184119578087</v>
      </c>
      <c r="I78" s="3033">
        <v>8.1142056830828206</v>
      </c>
      <c r="J78" s="3033">
        <v>0.14429550833486929</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110578.92088296631</v>
      </c>
      <c r="D82" s="3077" t="s">
        <v>1814</v>
      </c>
      <c r="E82" s="628"/>
      <c r="F82" s="628"/>
      <c r="G82" s="628"/>
      <c r="H82" s="3086">
        <f>IF(SUM(H83:H87)=0,"NO",SUM(H83:H87))</f>
        <v>7308.6517962050566</v>
      </c>
      <c r="I82" s="3086">
        <f t="shared" ref="I82:K82" si="42">IF(SUM(I83:I88)=0,"NO",SUM(I83:I88))</f>
        <v>0.39439178298683997</v>
      </c>
      <c r="J82" s="3086">
        <f t="shared" si="42"/>
        <v>0.34806345273275607</v>
      </c>
      <c r="K82" s="3069" t="str">
        <f t="shared" si="42"/>
        <v>NO</v>
      </c>
    </row>
    <row r="83" spans="2:11" ht="18" customHeight="1" x14ac:dyDescent="0.2">
      <c r="B83" s="282" t="s">
        <v>132</v>
      </c>
      <c r="C83" s="3033">
        <v>91424.907323244377</v>
      </c>
      <c r="D83" s="3076" t="s">
        <v>1814</v>
      </c>
      <c r="E83" s="1913">
        <f>IFERROR(H83*1000/$C83,"NA")</f>
        <v>69.872913388601148</v>
      </c>
      <c r="F83" s="1913">
        <f t="shared" ref="F83:G88" si="43">IFERROR(I83*1000000/$C83,"NA")</f>
        <v>3.59539457478837</v>
      </c>
      <c r="G83" s="1913">
        <f t="shared" si="43"/>
        <v>3.5799997335301521</v>
      </c>
      <c r="H83" s="3033">
        <v>6388.124630957941</v>
      </c>
      <c r="I83" s="3033">
        <v>0.32870861579052235</v>
      </c>
      <c r="J83" s="3033">
        <v>0.32730114385523373</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17903.675622521932</v>
      </c>
      <c r="D85" s="3076" t="s">
        <v>1814</v>
      </c>
      <c r="E85" s="1913">
        <f t="shared" si="44"/>
        <v>51.415540845095407</v>
      </c>
      <c r="F85" s="1913">
        <f t="shared" si="43"/>
        <v>3.4174532882586544</v>
      </c>
      <c r="G85" s="1913">
        <f t="shared" si="43"/>
        <v>0.90907865216025474</v>
      </c>
      <c r="H85" s="3033">
        <v>920.52716524711536</v>
      </c>
      <c r="I85" s="3033">
        <v>6.1184975128103891E-2</v>
      </c>
      <c r="J85" s="3033">
        <v>1.6275849303636649E-2</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v>1250.3379372000002</v>
      </c>
      <c r="D88" s="3084" t="s">
        <v>1814</v>
      </c>
      <c r="E88" s="2880">
        <f t="shared" si="44"/>
        <v>68.109668109668092</v>
      </c>
      <c r="F88" s="2880">
        <f t="shared" si="43"/>
        <v>3.5975810493976881</v>
      </c>
      <c r="G88" s="2880">
        <f t="shared" si="43"/>
        <v>3.5881975907510708</v>
      </c>
      <c r="H88" s="3040">
        <v>85.160101927619039</v>
      </c>
      <c r="I88" s="3040">
        <v>4.4981920682137166E-3</v>
      </c>
      <c r="J88" s="3040">
        <v>4.4864595738857045E-3</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68915406.980331719</v>
      </c>
      <c r="G10" s="3657" t="s">
        <v>2147</v>
      </c>
      <c r="H10" s="3658">
        <f t="shared" ref="H10:H13" si="0">IF(SUM($F10)=0,"NA",K10*1000/$F10)</f>
        <v>8.5973906196701172E-3</v>
      </c>
      <c r="I10" s="3659">
        <f t="shared" ref="I10:I13" si="1">IF(SUM($F10)=0,"NA",L10*1000/$F10)</f>
        <v>1.9760888795543894E-4</v>
      </c>
      <c r="J10" s="3499" t="str">
        <f>IF(SUM(J11,J25,J36,J48,J59,J70,J76)=0,"IE",SUM(J11,J25,J36,J48,J59,J70,J76))</f>
        <v>IE</v>
      </c>
      <c r="K10" s="3500">
        <f>IF(SUM(K11,K25,K36,K48,K59,K70,K76)=0,"NO",SUM(K11,K25,K36,K48,K59,K70,K76))</f>
        <v>592.49267352345248</v>
      </c>
      <c r="L10" s="3501">
        <f>IF(SUM(L11,L25,L36,L48,L59,L70,L76)=0,"NO",SUM(L11,L25,L36,L48,L59,L70,L76))</f>
        <v>13.618296936379846</v>
      </c>
    </row>
    <row r="11" spans="2:13" ht="18" customHeight="1" x14ac:dyDescent="0.2">
      <c r="B11" s="933" t="s">
        <v>1985</v>
      </c>
      <c r="C11" s="934"/>
      <c r="D11" s="2850"/>
      <c r="E11" s="2854" t="s">
        <v>2250</v>
      </c>
      <c r="F11" s="3679">
        <f>IF(SUM(F12,F19)=0,"NO",SUM(F12,F19))</f>
        <v>9779182.2579643223</v>
      </c>
      <c r="G11" s="3660" t="s">
        <v>2147</v>
      </c>
      <c r="H11" s="3661">
        <f t="shared" si="0"/>
        <v>3.0145173918723504E-2</v>
      </c>
      <c r="I11" s="3662">
        <f t="shared" si="1"/>
        <v>4.8432151047760123E-4</v>
      </c>
      <c r="J11" s="3502" t="str">
        <f>IF(SUM(J12,J19)=0,"IE",SUM(J12,J19))</f>
        <v>IE</v>
      </c>
      <c r="K11" s="3503">
        <f>IF(SUM(K12,K19)=0,"NO",SUM(K12,K19))</f>
        <v>294.79514994922971</v>
      </c>
      <c r="L11" s="3504">
        <f>IF(SUM(L12,L19)=0,"NO",SUM(L12,L19))</f>
        <v>4.7362683224130393</v>
      </c>
      <c r="M11" s="482"/>
    </row>
    <row r="12" spans="2:13" ht="18" customHeight="1" x14ac:dyDescent="0.2">
      <c r="B12" s="903" t="s">
        <v>1912</v>
      </c>
      <c r="C12" s="476"/>
      <c r="D12" s="298"/>
      <c r="E12" s="2852" t="s">
        <v>2250</v>
      </c>
      <c r="F12" s="3680">
        <f>IF(SUM(F13,F17)=0,"NO",SUM(F13,F17))</f>
        <v>9739508.9636507798</v>
      </c>
      <c r="G12" s="3663" t="str">
        <f>IFERROR(IF(SUM($F12)=0,"NA",J12*1000/$F12),"NA")</f>
        <v>NA</v>
      </c>
      <c r="H12" s="3664">
        <f t="shared" si="0"/>
        <v>2.9882751322293982E-2</v>
      </c>
      <c r="I12" s="3665">
        <f t="shared" si="1"/>
        <v>4.8026758256046492E-4</v>
      </c>
      <c r="J12" s="3505" t="str">
        <f>IF(SUM(J13,J17)=0,"IE",SUM(J13,J17))</f>
        <v>IE</v>
      </c>
      <c r="K12" s="3506">
        <f>IF(SUM(K13,K17)=0,"NO",SUM(K13,K17))</f>
        <v>291.04332436202947</v>
      </c>
      <c r="L12" s="3507">
        <f>IF(SUM(L13,L17)=0,"NO",SUM(L13,L17))</f>
        <v>4.6775704252985388</v>
      </c>
    </row>
    <row r="13" spans="2:13" ht="18" customHeight="1" x14ac:dyDescent="0.2">
      <c r="B13" s="923" t="s">
        <v>1270</v>
      </c>
      <c r="C13" s="476"/>
      <c r="D13" s="298"/>
      <c r="E13" s="2852" t="s">
        <v>2250</v>
      </c>
      <c r="F13" s="3681">
        <f>IF(SUM(F14:F16)=0,"NO",SUM(F14:F16))</f>
        <v>9286461.5245271176</v>
      </c>
      <c r="G13" s="3666" t="str">
        <f t="shared" ref="G13:G76" si="2">IFERROR(IF(SUM($F13)=0,"NA",J13*1000/$F13),"NA")</f>
        <v>NA</v>
      </c>
      <c r="H13" s="3667">
        <f t="shared" si="0"/>
        <v>2.1372994328020613E-2</v>
      </c>
      <c r="I13" s="3668">
        <f t="shared" si="1"/>
        <v>4.0386599309399712E-4</v>
      </c>
      <c r="J13" s="3505" t="str">
        <f>IF(SUM(J14:J16)=0,"IE",SUM(J14:J16))</f>
        <v>IE</v>
      </c>
      <c r="K13" s="3505">
        <f>IF(SUM(K14:K16)=0,"NO",SUM(K14:K16))</f>
        <v>198.47948949109974</v>
      </c>
      <c r="L13" s="3508">
        <f>IF(SUM(L14:L16)=0,"NO",SUM(L14:L16))</f>
        <v>3.7504860059323386</v>
      </c>
      <c r="M13" s="482"/>
    </row>
    <row r="14" spans="2:13" ht="24" x14ac:dyDescent="0.2">
      <c r="B14" s="923"/>
      <c r="C14" s="4367" t="s">
        <v>2247</v>
      </c>
      <c r="D14" s="542" t="s">
        <v>940</v>
      </c>
      <c r="E14" s="2851" t="s">
        <v>2250</v>
      </c>
      <c r="F14" s="3654">
        <v>315127.0262086243</v>
      </c>
      <c r="G14" s="3666" t="str">
        <f t="shared" si="2"/>
        <v>NA</v>
      </c>
      <c r="H14" s="3667">
        <f>IF(SUM($F14)=0,"NA",K14*1000/$F14)</f>
        <v>0.12363775163359572</v>
      </c>
      <c r="I14" s="3668">
        <f>IF(SUM($F14)=0,"NA",L14*1000/$F14)</f>
        <v>1.3530029036905534E-3</v>
      </c>
      <c r="J14" s="3509" t="s">
        <v>2153</v>
      </c>
      <c r="K14" s="3510">
        <v>38.961596999415505</v>
      </c>
      <c r="L14" s="3511">
        <v>0.42636778149163779</v>
      </c>
      <c r="M14" s="482"/>
    </row>
    <row r="15" spans="2:13" ht="18" customHeight="1" x14ac:dyDescent="0.2">
      <c r="B15" s="923"/>
      <c r="C15" s="4367" t="s">
        <v>2248</v>
      </c>
      <c r="D15" s="542" t="s">
        <v>940</v>
      </c>
      <c r="E15" s="543" t="s">
        <v>2250</v>
      </c>
      <c r="F15" s="3655">
        <v>110755.0264966065</v>
      </c>
      <c r="G15" s="3666" t="str">
        <f t="shared" si="2"/>
        <v>NA</v>
      </c>
      <c r="H15" s="3667">
        <f t="shared" ref="H15:H77" si="3">IF(SUM($F15)=0,"NA",K15*1000/$F15)</f>
        <v>6.4240450793660225E-2</v>
      </c>
      <c r="I15" s="3668">
        <f t="shared" ref="I15:I77" si="4">IF(SUM($F15)=0,"NA",L15*1000/$F15)</f>
        <v>1.1875561111994687E-3</v>
      </c>
      <c r="J15" s="3509" t="s">
        <v>2153</v>
      </c>
      <c r="K15" s="3510">
        <v>7.1149528298057847</v>
      </c>
      <c r="L15" s="3512">
        <v>0.13152780856210414</v>
      </c>
      <c r="M15" s="482"/>
    </row>
    <row r="16" spans="2:13" ht="18" customHeight="1" x14ac:dyDescent="0.2">
      <c r="B16" s="923"/>
      <c r="C16" s="4367" t="s">
        <v>2263</v>
      </c>
      <c r="D16" s="542" t="s">
        <v>940</v>
      </c>
      <c r="E16" s="543" t="s">
        <v>2250</v>
      </c>
      <c r="F16" s="3655">
        <v>8860579.4718218874</v>
      </c>
      <c r="G16" s="3666" t="str">
        <f t="shared" si="2"/>
        <v>NA</v>
      </c>
      <c r="H16" s="3667">
        <f t="shared" si="3"/>
        <v>1.7200109783625895E-2</v>
      </c>
      <c r="I16" s="3668">
        <f t="shared" si="4"/>
        <v>3.6031395305821293E-4</v>
      </c>
      <c r="J16" s="3509" t="s">
        <v>2153</v>
      </c>
      <c r="K16" s="3510">
        <v>152.40293966187843</v>
      </c>
      <c r="L16" s="3512">
        <v>3.1925904158785965</v>
      </c>
      <c r="M16" s="482"/>
    </row>
    <row r="17" spans="2:13" ht="18" customHeight="1" x14ac:dyDescent="0.2">
      <c r="B17" s="923" t="s">
        <v>1271</v>
      </c>
      <c r="C17" s="4368"/>
      <c r="D17" s="298"/>
      <c r="E17" s="5" t="s">
        <v>2250</v>
      </c>
      <c r="F17" s="3681">
        <f>F18</f>
        <v>453047.43912366242</v>
      </c>
      <c r="G17" s="3666" t="str">
        <f t="shared" si="2"/>
        <v>NA</v>
      </c>
      <c r="H17" s="3667">
        <f t="shared" si="3"/>
        <v>0.20431378014182697</v>
      </c>
      <c r="I17" s="3668">
        <f t="shared" si="4"/>
        <v>2.0463296761139976E-3</v>
      </c>
      <c r="J17" s="3505" t="str">
        <f>J18</f>
        <v>IE</v>
      </c>
      <c r="K17" s="3505">
        <f>K18</f>
        <v>92.563834870929696</v>
      </c>
      <c r="L17" s="3508">
        <f>L18</f>
        <v>0.92708441936620012</v>
      </c>
      <c r="M17" s="482"/>
    </row>
    <row r="18" spans="2:13" ht="18" customHeight="1" x14ac:dyDescent="0.2">
      <c r="B18" s="923"/>
      <c r="C18" s="4367" t="s">
        <v>2249</v>
      </c>
      <c r="D18" s="542" t="s">
        <v>940</v>
      </c>
      <c r="E18" s="543" t="s">
        <v>2250</v>
      </c>
      <c r="F18" s="3654">
        <v>453047.43912366242</v>
      </c>
      <c r="G18" s="3666" t="str">
        <f t="shared" si="2"/>
        <v>NA</v>
      </c>
      <c r="H18" s="3667">
        <f t="shared" si="3"/>
        <v>0.20431378014182697</v>
      </c>
      <c r="I18" s="3668">
        <f t="shared" si="4"/>
        <v>2.0463296761139976E-3</v>
      </c>
      <c r="J18" s="3509" t="s">
        <v>2153</v>
      </c>
      <c r="K18" s="3510">
        <v>92.563834870929696</v>
      </c>
      <c r="L18" s="3511">
        <v>0.92708441936620012</v>
      </c>
      <c r="M18" s="482"/>
    </row>
    <row r="19" spans="2:13" ht="18" customHeight="1" x14ac:dyDescent="0.2">
      <c r="B19" s="903" t="s">
        <v>1272</v>
      </c>
      <c r="C19" s="4368"/>
      <c r="D19" s="298"/>
      <c r="E19" s="5" t="s">
        <v>2250</v>
      </c>
      <c r="F19" s="3682">
        <f>IF(SUM(F20,F23)=0,"NO",SUM(F20,F23))</f>
        <v>39673.294313541883</v>
      </c>
      <c r="G19" s="3663" t="s">
        <v>2147</v>
      </c>
      <c r="H19" s="3664">
        <f t="shared" si="3"/>
        <v>9.4568037570794503E-2</v>
      </c>
      <c r="I19" s="3665">
        <f t="shared" si="4"/>
        <v>1.479531713464611E-3</v>
      </c>
      <c r="J19" s="3505" t="str">
        <f>IF(SUM(J20,J23)=0,"IE",SUM(J20,J23))</f>
        <v>IE</v>
      </c>
      <c r="K19" s="3506">
        <f>IF(SUM(K20,K23)=0,"NO",SUM(K20,K23))</f>
        <v>3.7518255872002166</v>
      </c>
      <c r="L19" s="3507">
        <f>IF(SUM(L20,L23)=0,"NO",SUM(L20,L23))</f>
        <v>5.8697897114500436E-2</v>
      </c>
    </row>
    <row r="20" spans="2:13" ht="18" customHeight="1" x14ac:dyDescent="0.2">
      <c r="B20" s="923" t="s">
        <v>1273</v>
      </c>
      <c r="C20" s="4368"/>
      <c r="D20" s="298"/>
      <c r="E20" s="5" t="s">
        <v>2250</v>
      </c>
      <c r="F20" s="3681">
        <f>IF(SUM(F21:F22)=0,"NO",SUM(F21:F22))</f>
        <v>32918.305351096838</v>
      </c>
      <c r="G20" s="3666" t="str">
        <f t="shared" si="2"/>
        <v>NA</v>
      </c>
      <c r="H20" s="3667">
        <f t="shared" si="3"/>
        <v>7.6213098902658302E-2</v>
      </c>
      <c r="I20" s="3668">
        <f t="shared" si="4"/>
        <v>1.4152214230100156E-3</v>
      </c>
      <c r="J20" s="3505" t="str">
        <f>IF(SUM(J21:J22)=0,"IE",SUM(J21:J22))</f>
        <v>IE</v>
      </c>
      <c r="K20" s="3505">
        <f>IF(SUM(K21:K22)=0,"NO",SUM(K21:K22))</f>
        <v>2.5088060614310495</v>
      </c>
      <c r="L20" s="3508">
        <f>IF(SUM(L21:L22)=0,"NO",SUM(L21:L22))</f>
        <v>4.6586690942057481E-2</v>
      </c>
      <c r="M20" s="482"/>
    </row>
    <row r="21" spans="2:13" ht="18" customHeight="1" x14ac:dyDescent="0.2">
      <c r="B21" s="923"/>
      <c r="C21" s="4367" t="s">
        <v>2248</v>
      </c>
      <c r="D21" s="542" t="s">
        <v>940</v>
      </c>
      <c r="E21" s="543" t="s">
        <v>2250</v>
      </c>
      <c r="F21" s="3654">
        <v>29508.95931993112</v>
      </c>
      <c r="G21" s="3666" t="str">
        <f t="shared" si="2"/>
        <v>NA</v>
      </c>
      <c r="H21" s="3667">
        <f t="shared" si="3"/>
        <v>8.2833310519994499E-2</v>
      </c>
      <c r="I21" s="3668">
        <f t="shared" si="4"/>
        <v>1.5312657819737869E-3</v>
      </c>
      <c r="J21" s="3509" t="s">
        <v>2153</v>
      </c>
      <c r="K21" s="3510">
        <v>2.4443247904697398</v>
      </c>
      <c r="L21" s="3511">
        <v>4.5186059668266991E-2</v>
      </c>
      <c r="M21" s="482"/>
    </row>
    <row r="22" spans="2:13" ht="18" customHeight="1" x14ac:dyDescent="0.2">
      <c r="B22" s="923"/>
      <c r="C22" s="4367" t="s">
        <v>2263</v>
      </c>
      <c r="D22" s="542" t="s">
        <v>940</v>
      </c>
      <c r="E22" s="543" t="s">
        <v>2250</v>
      </c>
      <c r="F22" s="3655">
        <v>3409.3460311657172</v>
      </c>
      <c r="G22" s="3666" t="str">
        <f t="shared" si="2"/>
        <v>NA</v>
      </c>
      <c r="H22" s="3667">
        <f t="shared" si="3"/>
        <v>1.8913090772209578E-2</v>
      </c>
      <c r="I22" s="3668">
        <f t="shared" si="4"/>
        <v>4.1082109618295013E-4</v>
      </c>
      <c r="J22" s="3509" t="s">
        <v>2153</v>
      </c>
      <c r="K22" s="3510">
        <v>6.4481270961309678E-2</v>
      </c>
      <c r="L22" s="3512">
        <v>1.4006312737904906E-3</v>
      </c>
      <c r="M22" s="482"/>
    </row>
    <row r="23" spans="2:13" ht="18" customHeight="1" x14ac:dyDescent="0.2">
      <c r="B23" s="923" t="s">
        <v>1274</v>
      </c>
      <c r="C23" s="4368"/>
      <c r="D23" s="298"/>
      <c r="E23" s="5" t="s">
        <v>2250</v>
      </c>
      <c r="F23" s="3681">
        <f>F24</f>
        <v>6754.988962445047</v>
      </c>
      <c r="G23" s="3666" t="str">
        <f t="shared" si="2"/>
        <v>NA</v>
      </c>
      <c r="H23" s="3667">
        <f t="shared" si="3"/>
        <v>0.18401503432201641</v>
      </c>
      <c r="I23" s="3668">
        <f t="shared" si="4"/>
        <v>1.7929276035499495E-3</v>
      </c>
      <c r="J23" s="3505" t="str">
        <f>J24</f>
        <v>IE</v>
      </c>
      <c r="K23" s="3505">
        <f>K24</f>
        <v>1.2430195257691674</v>
      </c>
      <c r="L23" s="3508">
        <f>L24</f>
        <v>1.2111206172442959E-2</v>
      </c>
      <c r="M23" s="482"/>
    </row>
    <row r="24" spans="2:13" ht="18" customHeight="1" thickBot="1" x14ac:dyDescent="0.25">
      <c r="B24" s="938"/>
      <c r="C24" s="4369" t="s">
        <v>2251</v>
      </c>
      <c r="D24" s="939" t="s">
        <v>940</v>
      </c>
      <c r="E24" s="940" t="s">
        <v>2250</v>
      </c>
      <c r="F24" s="3656">
        <v>6754.988962445047</v>
      </c>
      <c r="G24" s="3669" t="str">
        <f t="shared" si="2"/>
        <v>NA</v>
      </c>
      <c r="H24" s="3670">
        <f t="shared" si="3"/>
        <v>0.18401503432201641</v>
      </c>
      <c r="I24" s="3671">
        <f t="shared" si="4"/>
        <v>1.7929276035499495E-3</v>
      </c>
      <c r="J24" s="3513" t="s">
        <v>2153</v>
      </c>
      <c r="K24" s="3514">
        <v>1.2430195257691674</v>
      </c>
      <c r="L24" s="3515">
        <v>1.2111206172442959E-2</v>
      </c>
      <c r="M24" s="482"/>
    </row>
    <row r="25" spans="2:13" ht="18" customHeight="1" x14ac:dyDescent="0.2">
      <c r="B25" s="933" t="s">
        <v>1986</v>
      </c>
      <c r="C25" s="4370"/>
      <c r="D25" s="2850"/>
      <c r="E25" s="935" t="s">
        <v>2250</v>
      </c>
      <c r="F25" s="3683">
        <f>IF(SUM(F26,F31)=0,"IE",SUM(F26,F31))</f>
        <v>17356</v>
      </c>
      <c r="G25" s="3660" t="str">
        <f t="shared" si="2"/>
        <v>NA</v>
      </c>
      <c r="H25" s="3661">
        <f t="shared" si="3"/>
        <v>7.6791011753860314E-2</v>
      </c>
      <c r="I25" s="3662">
        <f t="shared" si="4"/>
        <v>1.4195671756165016E-3</v>
      </c>
      <c r="J25" s="3502" t="str">
        <f>IF(SUM(J26,J31)=0,"IE",SUM(J26,J31))</f>
        <v>IE</v>
      </c>
      <c r="K25" s="3503">
        <f>IF(SUM(K26,K31)=0,"IE",SUM(K26,K31))</f>
        <v>1.3327847999999998</v>
      </c>
      <c r="L25" s="3504">
        <f>IF(SUM(L26,L31)=0,"IE",SUM(L26,L31))</f>
        <v>2.4638007900000002E-2</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17356</v>
      </c>
      <c r="G31" s="3663" t="str">
        <f t="shared" si="2"/>
        <v>NA</v>
      </c>
      <c r="H31" s="3664">
        <f t="shared" si="3"/>
        <v>7.6791011753860314E-2</v>
      </c>
      <c r="I31" s="3665">
        <f t="shared" si="4"/>
        <v>1.4195671756165016E-3</v>
      </c>
      <c r="J31" s="3505" t="str">
        <f>IF(SUM(J32,J34)=0,"IE",SUM(J32,J34))</f>
        <v>IE</v>
      </c>
      <c r="K31" s="3505">
        <f t="shared" ref="K31:L31" si="6">IF(SUM(K32,K34)=0,"IE",SUM(K32,K34))</f>
        <v>1.3327847999999998</v>
      </c>
      <c r="L31" s="3508">
        <f t="shared" si="6"/>
        <v>2.4638007900000002E-2</v>
      </c>
    </row>
    <row r="32" spans="2:13" ht="18" customHeight="1" x14ac:dyDescent="0.2">
      <c r="B32" s="923" t="s">
        <v>1278</v>
      </c>
      <c r="C32" s="4368"/>
      <c r="D32" s="298"/>
      <c r="E32" s="5" t="s">
        <v>2250</v>
      </c>
      <c r="F32" s="3681">
        <f>F33</f>
        <v>17356</v>
      </c>
      <c r="G32" s="3663" t="str">
        <f t="shared" si="2"/>
        <v>NA</v>
      </c>
      <c r="H32" s="3664">
        <f t="shared" si="3"/>
        <v>7.6791011753860314E-2</v>
      </c>
      <c r="I32" s="3665">
        <f t="shared" si="4"/>
        <v>1.4195671756165016E-3</v>
      </c>
      <c r="J32" s="3505" t="str">
        <f>J33</f>
        <v>IE</v>
      </c>
      <c r="K32" s="3505">
        <f>K33</f>
        <v>1.3327847999999998</v>
      </c>
      <c r="L32" s="3508">
        <f>L33</f>
        <v>2.4638007900000002E-2</v>
      </c>
      <c r="M32" s="482"/>
    </row>
    <row r="33" spans="2:13" ht="18" customHeight="1" x14ac:dyDescent="0.2">
      <c r="B33" s="923"/>
      <c r="C33" s="4367" t="s">
        <v>2252</v>
      </c>
      <c r="D33" s="542" t="s">
        <v>940</v>
      </c>
      <c r="E33" s="543" t="s">
        <v>2250</v>
      </c>
      <c r="F33" s="3654">
        <v>17356</v>
      </c>
      <c r="G33" s="3666" t="str">
        <f t="shared" si="2"/>
        <v>NA</v>
      </c>
      <c r="H33" s="3667">
        <f t="shared" si="3"/>
        <v>7.6791011753860314E-2</v>
      </c>
      <c r="I33" s="3668">
        <f t="shared" si="4"/>
        <v>1.4195671756165016E-3</v>
      </c>
      <c r="J33" s="3509" t="s">
        <v>2153</v>
      </c>
      <c r="K33" s="3510">
        <v>1.3327847999999998</v>
      </c>
      <c r="L33" s="3511">
        <v>2.4638007900000002E-2</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58235847.062381715</v>
      </c>
      <c r="G36" s="3660" t="str">
        <f t="shared" si="2"/>
        <v>NA</v>
      </c>
      <c r="H36" s="3661">
        <f t="shared" ref="H36" si="7">IF(SUM($F36)=0,"NA",K36*1000/$F36)</f>
        <v>4.7399880863956533E-3</v>
      </c>
      <c r="I36" s="3662">
        <f t="shared" ref="I36" si="8">IF(SUM($F36)=0,"NA",L36*1000/$F36)</f>
        <v>1.4523097833486073E-4</v>
      </c>
      <c r="J36" s="3502" t="str">
        <f>IF(SUM(J37,J42)=0,"IE",SUM(J37,J42))</f>
        <v>IE</v>
      </c>
      <c r="K36" s="3503">
        <f>IF(SUM(K37,K42)=0,"NO",SUM(K37,K42))</f>
        <v>276.03722127684864</v>
      </c>
      <c r="L36" s="3504">
        <f>IF(SUM(L37,L42)=0,"NO",SUM(L37,L42))</f>
        <v>8.4576490430290221</v>
      </c>
      <c r="M36" s="482"/>
    </row>
    <row r="37" spans="2:13" ht="18" customHeight="1" x14ac:dyDescent="0.2">
      <c r="B37" s="903" t="s">
        <v>1876</v>
      </c>
      <c r="C37" s="4368"/>
      <c r="D37" s="298"/>
      <c r="E37" s="5" t="s">
        <v>2250</v>
      </c>
      <c r="F37" s="3680">
        <f>IF(SUM(F38,F40)=0,"NO",SUM(F38,F40))</f>
        <v>57763350.528546371</v>
      </c>
      <c r="G37" s="3666" t="str">
        <f t="shared" si="2"/>
        <v>NA</v>
      </c>
      <c r="H37" s="3664">
        <f t="shared" si="3"/>
        <v>4.0838858360080586E-3</v>
      </c>
      <c r="I37" s="3665">
        <f t="shared" si="4"/>
        <v>1.3345418291841365E-4</v>
      </c>
      <c r="J37" s="3505" t="str">
        <f>IF(SUM(J38,J40)=0,"IE",SUM(J38,J40))</f>
        <v>IE</v>
      </c>
      <c r="K37" s="3506">
        <f>IF(SUM(K38,K40)=0,"NO",SUM(K38,K40))</f>
        <v>235.89892906389912</v>
      </c>
      <c r="L37" s="3507">
        <f>IF(SUM(L38,L40)=0,"NO",SUM(L38,L40))</f>
        <v>7.7087607474170738</v>
      </c>
    </row>
    <row r="38" spans="2:13" ht="18" customHeight="1" x14ac:dyDescent="0.2">
      <c r="B38" s="923" t="s">
        <v>1280</v>
      </c>
      <c r="C38" s="4368"/>
      <c r="D38" s="298"/>
      <c r="E38" s="5" t="s">
        <v>2250</v>
      </c>
      <c r="F38" s="3681">
        <f>F39</f>
        <v>57763350.528546371</v>
      </c>
      <c r="G38" s="3666" t="str">
        <f t="shared" si="2"/>
        <v>NA</v>
      </c>
      <c r="H38" s="3667">
        <f t="shared" si="3"/>
        <v>4.0838858360080586E-3</v>
      </c>
      <c r="I38" s="3668">
        <f t="shared" si="4"/>
        <v>1.3345418291841365E-4</v>
      </c>
      <c r="J38" s="3505" t="str">
        <f>J39</f>
        <v>IE</v>
      </c>
      <c r="K38" s="3505">
        <f>K39</f>
        <v>235.89892906389912</v>
      </c>
      <c r="L38" s="3508">
        <f>L39</f>
        <v>7.7087607474170738</v>
      </c>
      <c r="M38" s="482"/>
    </row>
    <row r="39" spans="2:13" ht="18" customHeight="1" x14ac:dyDescent="0.2">
      <c r="B39" s="923"/>
      <c r="C39" s="4367" t="s">
        <v>2263</v>
      </c>
      <c r="D39" s="542" t="s">
        <v>940</v>
      </c>
      <c r="E39" s="543" t="s">
        <v>2250</v>
      </c>
      <c r="F39" s="3655">
        <v>57763350.528546371</v>
      </c>
      <c r="G39" s="3666" t="str">
        <f t="shared" si="2"/>
        <v>NA</v>
      </c>
      <c r="H39" s="3667">
        <f t="shared" ref="H39:H40" si="9">IF(SUM($F39)=0,"NA",K39*1000/$F39)</f>
        <v>4.0838858360080586E-3</v>
      </c>
      <c r="I39" s="3668">
        <f t="shared" ref="I39:I40" si="10">IF(SUM($F39)=0,"NA",L39*1000/$F39)</f>
        <v>1.3345418291841365E-4</v>
      </c>
      <c r="J39" s="3509" t="s">
        <v>2153</v>
      </c>
      <c r="K39" s="3510">
        <v>235.89892906389912</v>
      </c>
      <c r="L39" s="3512">
        <v>7.7087607474170738</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472496.53383534634</v>
      </c>
      <c r="G42" s="3663" t="str">
        <f t="shared" si="2"/>
        <v>NA</v>
      </c>
      <c r="H42" s="3664">
        <f t="shared" si="11"/>
        <v>8.494938975983421E-2</v>
      </c>
      <c r="I42" s="3665">
        <f t="shared" si="12"/>
        <v>1.5849604007315693E-3</v>
      </c>
      <c r="J42" s="3505" t="str">
        <f>IF(SUM(J43,J46)=0,"IE",SUM(J43,J46))</f>
        <v>IE</v>
      </c>
      <c r="K42" s="3506">
        <f>IF(SUM(K43,K46)=0,"NO",SUM(K43,K46))</f>
        <v>40.13829221294953</v>
      </c>
      <c r="L42" s="3507">
        <f>IF(SUM(L43,L46)=0,"NO",SUM(L43,L46))</f>
        <v>0.74888829561194803</v>
      </c>
    </row>
    <row r="43" spans="2:13" ht="18" customHeight="1" x14ac:dyDescent="0.2">
      <c r="B43" s="923" t="s">
        <v>1283</v>
      </c>
      <c r="C43" s="4368"/>
      <c r="D43" s="298"/>
      <c r="E43" s="5" t="s">
        <v>2250</v>
      </c>
      <c r="F43" s="3681">
        <f>IF(SUM(F44:F45)=0,"NO",SUM(F44:F45))</f>
        <v>472496.53383534634</v>
      </c>
      <c r="G43" s="3666" t="str">
        <f t="shared" si="2"/>
        <v>NA</v>
      </c>
      <c r="H43" s="3667">
        <f t="shared" ref="H43" si="13">IF(SUM($F43)=0,"NA",K43*1000/$F43)</f>
        <v>8.494938975983421E-2</v>
      </c>
      <c r="I43" s="3668">
        <f t="shared" ref="I43" si="14">IF(SUM($F43)=0,"NA",L43*1000/$F43)</f>
        <v>1.5849604007315693E-3</v>
      </c>
      <c r="J43" s="3505" t="str">
        <f>IF(SUM(J44:J45)=0,"IE",SUM(J44:J45))</f>
        <v>IE</v>
      </c>
      <c r="K43" s="3505">
        <f>IF(SUM(K44:K45)=0,"NO",SUM(K44:K45))</f>
        <v>40.13829221294953</v>
      </c>
      <c r="L43" s="3508">
        <f>IF(SUM(L44:L45)=0,"NO",SUM(L44:L45))</f>
        <v>0.74888829561194803</v>
      </c>
      <c r="M43" s="482"/>
    </row>
    <row r="44" spans="2:13" ht="18" customHeight="1" x14ac:dyDescent="0.2">
      <c r="B44" s="923"/>
      <c r="C44" s="4367" t="s">
        <v>2252</v>
      </c>
      <c r="D44" s="542" t="s">
        <v>940</v>
      </c>
      <c r="E44" s="543" t="s">
        <v>2250</v>
      </c>
      <c r="F44" s="3655">
        <v>366736.0184755295</v>
      </c>
      <c r="G44" s="3666" t="str">
        <f t="shared" si="2"/>
        <v>NA</v>
      </c>
      <c r="H44" s="3667">
        <f t="shared" ref="H44:H46" si="15">IF(SUM($F44)=0,"NA",K44*1000/$F44)</f>
        <v>0.10635311510848935</v>
      </c>
      <c r="I44" s="3668">
        <f t="shared" ref="I44:I46" si="16">IF(SUM($F44)=0,"NA",L44*1000/$F44)</f>
        <v>1.966055502908323E-3</v>
      </c>
      <c r="J44" s="3509" t="s">
        <v>2153</v>
      </c>
      <c r="K44" s="3510">
        <v>39.003517987357064</v>
      </c>
      <c r="L44" s="3512">
        <v>0.72102336723850324</v>
      </c>
      <c r="M44" s="482"/>
    </row>
    <row r="45" spans="2:13" ht="18" customHeight="1" x14ac:dyDescent="0.2">
      <c r="B45" s="923"/>
      <c r="C45" s="4367" t="s">
        <v>2263</v>
      </c>
      <c r="D45" s="542" t="s">
        <v>940</v>
      </c>
      <c r="E45" s="543" t="s">
        <v>2250</v>
      </c>
      <c r="F45" s="3655">
        <v>105760.51535981683</v>
      </c>
      <c r="G45" s="3666" t="str">
        <f t="shared" si="2"/>
        <v>NA</v>
      </c>
      <c r="H45" s="3667">
        <f t="shared" si="15"/>
        <v>1.0729658622896758E-2</v>
      </c>
      <c r="I45" s="3668">
        <f t="shared" si="16"/>
        <v>2.6347194204418467E-4</v>
      </c>
      <c r="J45" s="3509" t="s">
        <v>2153</v>
      </c>
      <c r="K45" s="3510">
        <v>1.1347742255924635</v>
      </c>
      <c r="L45" s="3512">
        <v>2.7864928373444758E-2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870591.65998567117</v>
      </c>
      <c r="G48" s="3660" t="str">
        <f t="shared" si="2"/>
        <v>NA</v>
      </c>
      <c r="H48" s="3661">
        <f t="shared" si="17"/>
        <v>2.118589546065448E-2</v>
      </c>
      <c r="I48" s="3662">
        <f t="shared" si="18"/>
        <v>4.1917186266612015E-4</v>
      </c>
      <c r="J48" s="3502" t="str">
        <f>IF(SUM(J49,J54)=0,"IE",SUM(J49,J54))</f>
        <v>IE</v>
      </c>
      <c r="K48" s="3503">
        <f>IF(SUM(K49,K54)=0,"NO",SUM(K49,K54))</f>
        <v>18.444263897374078</v>
      </c>
      <c r="L48" s="3504">
        <f>IF(SUM(L49,L54)=0,"NO",SUM(L49,L54))</f>
        <v>0.36492752773778336</v>
      </c>
      <c r="M48" s="482"/>
    </row>
    <row r="49" spans="2:13" ht="18" customHeight="1" x14ac:dyDescent="0.2">
      <c r="B49" s="903" t="s">
        <v>1285</v>
      </c>
      <c r="C49" s="4368"/>
      <c r="D49" s="298"/>
      <c r="E49" s="5" t="s">
        <v>2250</v>
      </c>
      <c r="F49" s="3680">
        <f>IF(SUM(F50,F52)=0,"NO",SUM(F50,F52))</f>
        <v>870591.65998567117</v>
      </c>
      <c r="G49" s="3663" t="str">
        <f t="shared" si="2"/>
        <v>NA</v>
      </c>
      <c r="H49" s="3664">
        <f t="shared" si="17"/>
        <v>2.118589546065448E-2</v>
      </c>
      <c r="I49" s="3665">
        <f t="shared" si="18"/>
        <v>4.1917186266612015E-4</v>
      </c>
      <c r="J49" s="3505" t="str">
        <f>IF(SUM(J50,J52)=0,"IE",SUM(J50,J52))</f>
        <v>IE</v>
      </c>
      <c r="K49" s="3506">
        <f>IF(SUM(K50,K52)=0,"NO",SUM(K50,K52))</f>
        <v>18.444263897374078</v>
      </c>
      <c r="L49" s="3507">
        <f>IF(SUM(L50,L52)=0,"NO",SUM(L50,L52))</f>
        <v>0.36492752773778336</v>
      </c>
    </row>
    <row r="50" spans="2:13" ht="18" customHeight="1" x14ac:dyDescent="0.2">
      <c r="B50" s="923" t="s">
        <v>1286</v>
      </c>
      <c r="C50" s="4368"/>
      <c r="D50" s="298"/>
      <c r="E50" s="5" t="s">
        <v>2250</v>
      </c>
      <c r="F50" s="3681">
        <f>F51</f>
        <v>870591.65998567117</v>
      </c>
      <c r="G50" s="3666" t="str">
        <f t="shared" si="2"/>
        <v>NA</v>
      </c>
      <c r="H50" s="3667">
        <f t="shared" si="17"/>
        <v>2.118589546065448E-2</v>
      </c>
      <c r="I50" s="3668">
        <f t="shared" si="18"/>
        <v>4.1917186266612015E-4</v>
      </c>
      <c r="J50" s="3505" t="str">
        <f>J51</f>
        <v>IE</v>
      </c>
      <c r="K50" s="3505">
        <f>K51</f>
        <v>18.444263897374078</v>
      </c>
      <c r="L50" s="3508">
        <f>L51</f>
        <v>0.36492752773778336</v>
      </c>
      <c r="M50" s="482"/>
    </row>
    <row r="51" spans="2:13" ht="18" customHeight="1" x14ac:dyDescent="0.2">
      <c r="B51" s="923"/>
      <c r="C51" s="4367" t="s">
        <v>2263</v>
      </c>
      <c r="D51" s="542" t="s">
        <v>940</v>
      </c>
      <c r="E51" s="543" t="s">
        <v>2250</v>
      </c>
      <c r="F51" s="3655">
        <v>870591.65998567117</v>
      </c>
      <c r="G51" s="3666" t="str">
        <f t="shared" si="2"/>
        <v>NA</v>
      </c>
      <c r="H51" s="3667">
        <f t="shared" si="17"/>
        <v>2.118589546065448E-2</v>
      </c>
      <c r="I51" s="3668">
        <f t="shared" si="18"/>
        <v>4.1917186266612015E-4</v>
      </c>
      <c r="J51" s="3509" t="s">
        <v>2153</v>
      </c>
      <c r="K51" s="3510">
        <v>18.444263897374078</v>
      </c>
      <c r="L51" s="3512">
        <v>0.36492752773778336</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12430</v>
      </c>
      <c r="G59" s="3660" t="str">
        <f t="shared" si="2"/>
        <v>NA</v>
      </c>
      <c r="H59" s="3661">
        <f t="shared" si="3"/>
        <v>0.15150873692679004</v>
      </c>
      <c r="I59" s="3662">
        <f t="shared" si="4"/>
        <v>2.8008073451327433E-3</v>
      </c>
      <c r="J59" s="3502" t="str">
        <f>IF(SUM(J60,J65)=0,"IE",SUM(J60,J65))</f>
        <v>IE</v>
      </c>
      <c r="K59" s="3503">
        <f>IF(SUM(K60,K65)=0,"NO",SUM(K60,K65))</f>
        <v>1.8832536000000002</v>
      </c>
      <c r="L59" s="3504">
        <f>IF(SUM(L60,L65)=0,"NO",SUM(L60,L65))</f>
        <v>3.4814035299999997E-2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12430</v>
      </c>
      <c r="G65" s="3663" t="str">
        <f t="shared" si="2"/>
        <v>NA</v>
      </c>
      <c r="H65" s="3664">
        <f t="shared" si="3"/>
        <v>0.15150873692679004</v>
      </c>
      <c r="I65" s="3665">
        <f t="shared" si="4"/>
        <v>2.8008073451327433E-3</v>
      </c>
      <c r="J65" s="3505" t="str">
        <f>IF(SUM(J66,J68)=0,"IE",SUM(J66,J68))</f>
        <v>IE</v>
      </c>
      <c r="K65" s="3506">
        <f>IF(SUM(K66,K68)=0,"NO",SUM(K66,K68))</f>
        <v>1.8832536000000002</v>
      </c>
      <c r="L65" s="3507">
        <f>IF(SUM(L66,L68)=0,"NO",SUM(L66,L68))</f>
        <v>3.4814035299999997E-2</v>
      </c>
    </row>
    <row r="66" spans="2:13" ht="18" customHeight="1" x14ac:dyDescent="0.2">
      <c r="B66" s="923" t="s">
        <v>1294</v>
      </c>
      <c r="C66" s="4368"/>
      <c r="D66" s="298"/>
      <c r="E66" s="5" t="s">
        <v>2250</v>
      </c>
      <c r="F66" s="3681">
        <f>F67</f>
        <v>12430</v>
      </c>
      <c r="G66" s="3666" t="str">
        <f t="shared" si="2"/>
        <v>NA</v>
      </c>
      <c r="H66" s="3667">
        <f t="shared" si="3"/>
        <v>0.15150873692679004</v>
      </c>
      <c r="I66" s="3668">
        <f t="shared" si="4"/>
        <v>2.8008073451327433E-3</v>
      </c>
      <c r="J66" s="3505" t="str">
        <f>J67</f>
        <v>IE</v>
      </c>
      <c r="K66" s="3505">
        <f>K67</f>
        <v>1.8832536000000002</v>
      </c>
      <c r="L66" s="3508">
        <f>L67</f>
        <v>3.4814035299999997E-2</v>
      </c>
      <c r="M66" s="482"/>
    </row>
    <row r="67" spans="2:13" ht="18" customHeight="1" x14ac:dyDescent="0.2">
      <c r="B67" s="923"/>
      <c r="C67" s="4367" t="s">
        <v>2252</v>
      </c>
      <c r="D67" s="542" t="s">
        <v>940</v>
      </c>
      <c r="E67" s="543" t="s">
        <v>2250</v>
      </c>
      <c r="F67" s="3655">
        <v>12430</v>
      </c>
      <c r="G67" s="3666" t="str">
        <f t="shared" si="2"/>
        <v>NA</v>
      </c>
      <c r="H67" s="3667">
        <f t="shared" ref="H67:H68" si="23">IF(SUM($F67)=0,"NA",K67*1000/$F67)</f>
        <v>0.15150873692679004</v>
      </c>
      <c r="I67" s="3668">
        <f t="shared" ref="I67:I68" si="24">IF(SUM($F67)=0,"NA",L67*1000/$F67)</f>
        <v>2.8008073451327433E-3</v>
      </c>
      <c r="J67" s="3509" t="s">
        <v>2153</v>
      </c>
      <c r="K67" s="3510">
        <v>1.8832536000000002</v>
      </c>
      <c r="L67" s="3512">
        <v>3.4814035299999997E-2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4326.6517439613708</v>
      </c>
      <c r="D10" s="3521">
        <f>IF(SUM(D11,D16:D17)=0,"NO",SUM(D11,D16:D17))</f>
        <v>-3231.8477032806049</v>
      </c>
      <c r="E10" s="3522"/>
      <c r="F10" s="3523">
        <f>IF(SUM(F11,F16:F17)=0,"NO",SUM(F11,F16:F17))</f>
        <v>1094.8040406807663</v>
      </c>
      <c r="G10" s="3524">
        <f>IF(SUM(G11,G16:G17)=0,"NO",SUM(G11,G16:G17))</f>
        <v>-4014.2814824961429</v>
      </c>
      <c r="H10" s="226"/>
      <c r="I10" s="2"/>
      <c r="J10" s="2"/>
    </row>
    <row r="11" spans="1:10" ht="18" customHeight="1" x14ac:dyDescent="0.2">
      <c r="B11" s="606" t="s">
        <v>1314</v>
      </c>
      <c r="C11" s="3525">
        <f>IF(SUM(C13:C15)=0,"NO",SUM(C13:C15))</f>
        <v>1522.0833970317603</v>
      </c>
      <c r="D11" s="3526">
        <f>IF(SUM(D13:D15)=0,"NO",SUM(D13:D15))</f>
        <v>-760.50742903319292</v>
      </c>
      <c r="E11" s="3527"/>
      <c r="F11" s="3528">
        <f>IF(SUM(F13:F15)=0,"NO",SUM(F13:F15))</f>
        <v>761.57596799856753</v>
      </c>
      <c r="G11" s="3529">
        <f>IF(SUM(G13:G15)=0,"NO",SUM(G13:G15))</f>
        <v>-2792.4452159947477</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1039.791211861638</v>
      </c>
      <c r="D13" s="3534">
        <f>F13-C13</f>
        <v>-464.60874343804733</v>
      </c>
      <c r="E13" s="3535" t="s">
        <v>2147</v>
      </c>
      <c r="F13" s="3536">
        <f>G13/(-44/12)</f>
        <v>575.18246842359065</v>
      </c>
      <c r="G13" s="3537">
        <v>-2109.0023842198325</v>
      </c>
      <c r="H13" s="226"/>
      <c r="I13" s="2"/>
      <c r="J13" s="2"/>
    </row>
    <row r="14" spans="1:10" ht="18" customHeight="1" x14ac:dyDescent="0.2">
      <c r="B14" s="1193" t="s">
        <v>1316</v>
      </c>
      <c r="C14" s="3538">
        <v>482.29218517012248</v>
      </c>
      <c r="D14" s="3539">
        <f>F14-C14</f>
        <v>-295.89868559514559</v>
      </c>
      <c r="E14" s="3235" t="s">
        <v>2147</v>
      </c>
      <c r="F14" s="3540">
        <f>G14/(-44/12)</f>
        <v>186.39349957497689</v>
      </c>
      <c r="G14" s="3537">
        <v>-683.44283177491525</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1909.4302272573727</v>
      </c>
      <c r="D16" s="3539">
        <f>F16-C16</f>
        <v>-1940.6246589098375</v>
      </c>
      <c r="E16" s="3235" t="s">
        <v>2147</v>
      </c>
      <c r="F16" s="3540">
        <f>G16/(-44/12)</f>
        <v>-31.1944316524648</v>
      </c>
      <c r="G16" s="3537">
        <v>114.37958272570427</v>
      </c>
      <c r="H16" s="226"/>
      <c r="I16" s="2"/>
      <c r="J16" s="2"/>
    </row>
    <row r="17" spans="2:10" ht="18" customHeight="1" x14ac:dyDescent="0.2">
      <c r="B17" s="1197" t="s">
        <v>1320</v>
      </c>
      <c r="C17" s="3542">
        <f>C18</f>
        <v>895.13811967223774</v>
      </c>
      <c r="D17" s="3543">
        <f t="shared" ref="D17:F17" si="0">D18</f>
        <v>-530.71561533757426</v>
      </c>
      <c r="E17" s="3544"/>
      <c r="F17" s="3226">
        <f t="shared" si="0"/>
        <v>364.42250433466353</v>
      </c>
      <c r="G17" s="3537">
        <f>-F17*44/12</f>
        <v>-1336.2158492270996</v>
      </c>
      <c r="H17" s="226"/>
      <c r="I17" s="2"/>
      <c r="J17" s="2"/>
    </row>
    <row r="18" spans="2:10" ht="18" customHeight="1" thickBot="1" x14ac:dyDescent="0.25">
      <c r="B18" s="561" t="s">
        <v>2254</v>
      </c>
      <c r="C18" s="3545">
        <v>895.13811967223774</v>
      </c>
      <c r="D18" s="3546">
        <f>F18-C18</f>
        <v>-530.71561533757426</v>
      </c>
      <c r="E18" s="3238" t="s">
        <v>2147</v>
      </c>
      <c r="F18" s="3547">
        <f>G18/(-44/12)</f>
        <v>364.42250433466353</v>
      </c>
      <c r="G18" s="3548">
        <v>-1336.2158492270996</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30.629801780740696</v>
      </c>
      <c r="D10" s="4371">
        <f t="shared" ref="D10:I10" si="0">IF(SUM(D11,D15,D18,D21)=0,"NO",SUM(D11,D15,D18,D21))</f>
        <v>496.11823830946025</v>
      </c>
      <c r="E10" s="4371">
        <f t="shared" si="0"/>
        <v>1.2812867753564194</v>
      </c>
      <c r="F10" s="4371" t="str">
        <f t="shared" si="0"/>
        <v>NO</v>
      </c>
      <c r="G10" s="4371" t="str">
        <f t="shared" si="0"/>
        <v>NO</v>
      </c>
      <c r="H10" s="4371">
        <f t="shared" si="0"/>
        <v>240.47773021044753</v>
      </c>
      <c r="I10" s="4372" t="str">
        <f t="shared" si="0"/>
        <v>NO</v>
      </c>
      <c r="J10" s="4373">
        <f>IF(SUM(C10:E10)=0,"NO",SUM(C10,IFERROR(28*D10,0),IFERROR(265*E10,0)))</f>
        <v>14261.481469915079</v>
      </c>
    </row>
    <row r="11" spans="1:10" ht="18" customHeight="1" x14ac:dyDescent="0.2">
      <c r="B11" s="1504" t="s">
        <v>1371</v>
      </c>
      <c r="C11" s="4374"/>
      <c r="D11" s="2883">
        <f>IF(SUM(D12:D14)=0,"NO",SUM(D12:D14))</f>
        <v>398.53660758000001</v>
      </c>
      <c r="E11" s="4374"/>
      <c r="F11" s="2883" t="str">
        <f>IF(SUM(F12:F14)=0,"NO",SUM(F12:F14))</f>
        <v>NO</v>
      </c>
      <c r="G11" s="2883" t="str">
        <f t="shared" ref="G11:H11" si="1">IF(SUM(G12:G14)=0,"NO",SUM(G12:G14))</f>
        <v>NO</v>
      </c>
      <c r="H11" s="2883">
        <f t="shared" si="1"/>
        <v>2.9817597403051725</v>
      </c>
      <c r="I11" s="2153"/>
      <c r="J11" s="2872">
        <f t="shared" ref="J11:J18" si="2">IF(SUM(C11:E11)=0,"NO",SUM(C11,IFERROR(28*D11,0),IFERROR(265*E11,0)))</f>
        <v>11159.025012239999</v>
      </c>
    </row>
    <row r="12" spans="1:10" ht="18" customHeight="1" x14ac:dyDescent="0.2">
      <c r="B12" s="1270" t="s">
        <v>1372</v>
      </c>
      <c r="C12" s="4375"/>
      <c r="D12" s="4376">
        <f>IF(SUM(Table5.A!F10:H10)=0,"NO",SUM(Table5.A!F10))</f>
        <v>398.53660758000001</v>
      </c>
      <c r="E12" s="4375"/>
      <c r="F12" s="4377" t="s">
        <v>2147</v>
      </c>
      <c r="G12" s="4377" t="s">
        <v>2147</v>
      </c>
      <c r="H12" s="4377">
        <v>2.9817597403051725</v>
      </c>
      <c r="I12" s="4378"/>
      <c r="J12" s="4379">
        <f t="shared" si="2"/>
        <v>11159.025012239999</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4.0213965150000002</v>
      </c>
      <c r="E15" s="2881">
        <f t="shared" ref="E15" si="3">IF(SUM(E16:E17)=0,"NO",SUM(E16:E17))</f>
        <v>0.51473875392000001</v>
      </c>
      <c r="F15" s="2881" t="s">
        <v>2256</v>
      </c>
      <c r="G15" s="2881" t="s">
        <v>2256</v>
      </c>
      <c r="H15" s="2881" t="s">
        <v>2256</v>
      </c>
      <c r="I15" s="4386"/>
      <c r="J15" s="2873">
        <f t="shared" si="2"/>
        <v>249.00487220880001</v>
      </c>
    </row>
    <row r="16" spans="1:10" ht="18" customHeight="1" x14ac:dyDescent="0.2">
      <c r="B16" s="1883" t="s">
        <v>1376</v>
      </c>
      <c r="C16" s="4387"/>
      <c r="D16" s="4376">
        <f>Table5.B!F10</f>
        <v>4.0213965150000002</v>
      </c>
      <c r="E16" s="4376">
        <f>Table5.B!G10</f>
        <v>0.51473875392000001</v>
      </c>
      <c r="F16" s="4388" t="s">
        <v>2147</v>
      </c>
      <c r="G16" s="4388" t="s">
        <v>2147</v>
      </c>
      <c r="H16" s="4388" t="s">
        <v>2147</v>
      </c>
      <c r="I16" s="4378"/>
      <c r="J16" s="4379">
        <f t="shared" si="2"/>
        <v>249.00487220880001</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30.629801780740696</v>
      </c>
      <c r="D18" s="2871" t="str">
        <f>IF(SUM(D19:D20)=0,"NO,NE",SUM(D19:D20))</f>
        <v>NO,NE</v>
      </c>
      <c r="E18" s="2871" t="str">
        <f>IF(SUM(E19:E20)=0,"NO,NE",SUM(E19:E20))</f>
        <v>NO,NE</v>
      </c>
      <c r="F18" s="2871" t="s">
        <v>2147</v>
      </c>
      <c r="G18" s="2871" t="s">
        <v>2147</v>
      </c>
      <c r="H18" s="2871" t="s">
        <v>2147</v>
      </c>
      <c r="I18" s="2871" t="s">
        <v>2147</v>
      </c>
      <c r="J18" s="2874">
        <f t="shared" si="2"/>
        <v>30.629801780740696</v>
      </c>
    </row>
    <row r="19" spans="2:12" ht="18" customHeight="1" x14ac:dyDescent="0.2">
      <c r="B19" s="1270" t="s">
        <v>1379</v>
      </c>
      <c r="C19" s="4376">
        <f>Table5.C!G10</f>
        <v>30.629801780740696</v>
      </c>
      <c r="D19" s="4376" t="str">
        <f>Table5.C!H10</f>
        <v>NO,NE</v>
      </c>
      <c r="E19" s="4376" t="str">
        <f>Table5.C!I10</f>
        <v>NO,NE</v>
      </c>
      <c r="F19" s="4391" t="s">
        <v>2147</v>
      </c>
      <c r="G19" s="4391" t="s">
        <v>2147</v>
      </c>
      <c r="H19" s="4391" t="s">
        <v>2147</v>
      </c>
      <c r="I19" s="4391" t="s">
        <v>2147</v>
      </c>
      <c r="J19" s="4379">
        <f>IF(SUM(C19:E19)=0,"NO",SUM(C19,IFERROR(28*D19,0),IFERROR(265*E19,0)))</f>
        <v>30.629801780740696</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93.560234214460223</v>
      </c>
      <c r="E21" s="2871">
        <f t="shared" ref="E21:H21" si="5">IF(SUM(E22:E24)=0,"NO",SUM(E22:E24))</f>
        <v>0.76654802143641942</v>
      </c>
      <c r="F21" s="2871" t="str">
        <f t="shared" si="5"/>
        <v>NO</v>
      </c>
      <c r="G21" s="2871" t="str">
        <f t="shared" si="5"/>
        <v>NO</v>
      </c>
      <c r="H21" s="2871">
        <f t="shared" si="5"/>
        <v>237.49597047014237</v>
      </c>
      <c r="I21" s="4393"/>
      <c r="J21" s="2874">
        <f t="shared" si="4"/>
        <v>2822.8217836855374</v>
      </c>
    </row>
    <row r="22" spans="2:12" ht="18" customHeight="1" x14ac:dyDescent="0.2">
      <c r="B22" s="1270" t="s">
        <v>1382</v>
      </c>
      <c r="C22" s="4394"/>
      <c r="D22" s="4376">
        <f>IF(SUM(Table5.D!H10)=0,"NO",SUM(Table5.D!H10))</f>
        <v>50.640278042504839</v>
      </c>
      <c r="E22" s="4376">
        <f>IF(SUM(Table5.D!I10:J10)=0,"NO",SUM(Table5.D!I10:J10))</f>
        <v>0.76654802143641942</v>
      </c>
      <c r="F22" s="4377" t="s">
        <v>2147</v>
      </c>
      <c r="G22" s="4377" t="s">
        <v>2147</v>
      </c>
      <c r="H22" s="4377">
        <v>7.4828027476602896</v>
      </c>
      <c r="I22" s="4378"/>
      <c r="J22" s="4379">
        <f t="shared" si="4"/>
        <v>1621.0630108707865</v>
      </c>
    </row>
    <row r="23" spans="2:12" ht="18" customHeight="1" x14ac:dyDescent="0.2">
      <c r="B23" s="1270" t="s">
        <v>1383</v>
      </c>
      <c r="C23" s="4394"/>
      <c r="D23" s="4376">
        <f>IF(SUM(Table5.D!H11)=0,"NO",SUM(Table5.D!H11))</f>
        <v>42.919956171955391</v>
      </c>
      <c r="E23" s="4376" t="str">
        <f>IF(SUM(Table5.D!I11:J11)=0,"IE",SUM(Table5.D!I11:J11))</f>
        <v>IE</v>
      </c>
      <c r="F23" s="4377" t="s">
        <v>2147</v>
      </c>
      <c r="G23" s="4377" t="s">
        <v>2147</v>
      </c>
      <c r="H23" s="4377">
        <v>230.01316772248208</v>
      </c>
      <c r="I23" s="4378"/>
      <c r="J23" s="4379">
        <f t="shared" si="4"/>
        <v>1201.758772814751</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-287558.61443071772</v>
      </c>
      <c r="D28" s="4404"/>
      <c r="E28" s="4404"/>
      <c r="F28" s="4404"/>
      <c r="G28" s="4404"/>
      <c r="H28" s="4404"/>
      <c r="I28" s="4405"/>
      <c r="J28" s="4406"/>
      <c r="K28"/>
      <c r="L28"/>
    </row>
    <row r="29" spans="2:12" ht="18" customHeight="1" x14ac:dyDescent="0.2">
      <c r="B29" s="2487" t="s">
        <v>2081</v>
      </c>
      <c r="C29" s="4407">
        <v>-3946.186810965291</v>
      </c>
      <c r="D29" s="4408"/>
      <c r="E29" s="4408"/>
      <c r="F29" s="4408"/>
      <c r="G29" s="4408"/>
      <c r="H29" s="4408"/>
      <c r="I29" s="4406"/>
      <c r="J29" s="4406"/>
      <c r="K29"/>
      <c r="L29"/>
    </row>
    <row r="30" spans="2:12" ht="29.25" customHeight="1" thickBot="1" x14ac:dyDescent="0.25">
      <c r="B30" s="2488" t="s">
        <v>2082</v>
      </c>
      <c r="C30" s="4409">
        <v>-1336.2158492270996</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18699.570219516056</v>
      </c>
      <c r="D10" s="3752"/>
      <c r="E10" s="3751">
        <f>IF(SUM(C10)=0,"NA",(F10-SUM(G10:H10))/C10)</f>
        <v>3.5877648507654458E-2</v>
      </c>
      <c r="F10" s="3753">
        <f>F11</f>
        <v>398.53660758000001</v>
      </c>
      <c r="G10" s="3753">
        <f>G11</f>
        <v>-6.96</v>
      </c>
      <c r="H10" s="3754">
        <f>H11</f>
        <v>-265.39999999999998</v>
      </c>
      <c r="I10" s="44"/>
    </row>
    <row r="11" spans="1:13" ht="18" customHeight="1" x14ac:dyDescent="0.2">
      <c r="B11" s="1750" t="s">
        <v>1395</v>
      </c>
      <c r="C11" s="3755">
        <f>IF(SUM(C13:C16)=0,"NO",SUM(C13:C16))</f>
        <v>18699.570219516056</v>
      </c>
      <c r="D11" s="3755">
        <v>1</v>
      </c>
      <c r="E11" s="3755">
        <f>IF(SUM(C11)=0,"NA",(F11-SUM(G11:H11))/C11)</f>
        <v>3.5877648507654458E-2</v>
      </c>
      <c r="F11" s="3755">
        <f>IF(SUM(F13:F16)=0,"NO",SUM(F13:F16))</f>
        <v>398.53660758000001</v>
      </c>
      <c r="G11" s="3756">
        <v>-6.96</v>
      </c>
      <c r="H11" s="3757">
        <v>-265.39999999999998</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11118.298341065833</v>
      </c>
      <c r="D13" s="3762">
        <v>1</v>
      </c>
      <c r="E13" s="3755" t="s">
        <v>2153</v>
      </c>
      <c r="F13" s="3762">
        <v>15.38041568</v>
      </c>
      <c r="G13" s="3763"/>
      <c r="H13" s="3764"/>
      <c r="I13" s="44"/>
    </row>
    <row r="14" spans="1:13" ht="18" customHeight="1" x14ac:dyDescent="0.2">
      <c r="B14" s="1751" t="s">
        <v>1398</v>
      </c>
      <c r="C14" s="3762">
        <v>1947.0677349890461</v>
      </c>
      <c r="D14" s="3762">
        <v>1</v>
      </c>
      <c r="E14" s="3755" t="s">
        <v>2153</v>
      </c>
      <c r="F14" s="3762">
        <v>164.35349629999999</v>
      </c>
      <c r="G14" s="3763"/>
      <c r="H14" s="3764"/>
      <c r="I14" s="44"/>
    </row>
    <row r="15" spans="1:13" ht="18" customHeight="1" x14ac:dyDescent="0.2">
      <c r="B15" s="1751" t="s">
        <v>1399</v>
      </c>
      <c r="C15" s="3762">
        <v>5634.2041434611765</v>
      </c>
      <c r="D15" s="3762">
        <v>1</v>
      </c>
      <c r="E15" s="3755" t="s">
        <v>2153</v>
      </c>
      <c r="F15" s="3762">
        <v>218.80269559999999</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5361.8620199999996</v>
      </c>
      <c r="D10" s="1913">
        <f>IF(SUM($C10)=0,"NA",F10*1000/$C10)</f>
        <v>0.75000000000000011</v>
      </c>
      <c r="E10" s="1913">
        <f>IF(SUM($C10)=0,"NA",G10*1000/$C10)</f>
        <v>9.6000000000000016E-2</v>
      </c>
      <c r="F10" s="1909">
        <f>IF(SUM(F11:F12)=0,"NO",SUM(F11:F12))</f>
        <v>4.0213965150000002</v>
      </c>
      <c r="G10" s="1909">
        <f>IF(SUM(G11:G12)=0,"NO",SUM(G11:G12))</f>
        <v>0.51473875392000001</v>
      </c>
      <c r="H10" s="1910"/>
      <c r="I10" s="1911"/>
    </row>
    <row r="11" spans="1:9" ht="18" customHeight="1" x14ac:dyDescent="0.2">
      <c r="B11" s="1526" t="s">
        <v>1411</v>
      </c>
      <c r="C11" s="1912">
        <v>5361.8620199999996</v>
      </c>
      <c r="D11" s="1913">
        <f>IF(SUM($C11)=0,"NA",F11*1000/$C11)</f>
        <v>0.75000000000000011</v>
      </c>
      <c r="E11" s="1913">
        <f>IF(SUM($C11)=0,"NA",G11*1000/$C11)</f>
        <v>9.6000000000000016E-2</v>
      </c>
      <c r="F11" s="1912">
        <v>4.0213965150000002</v>
      </c>
      <c r="G11" s="1912">
        <v>0.51473875392000001</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15.240685691017116</v>
      </c>
      <c r="D10" s="2887">
        <f>IF(SUM(G10)=0,"NA",G10*1000/$C10)</f>
        <v>2009.7390892848048</v>
      </c>
      <c r="E10" s="2887" t="str">
        <f t="shared" ref="E10:E20" si="0">IF(SUM(H10)=0,"NA",H10*1000/$C10)</f>
        <v>NA</v>
      </c>
      <c r="F10" s="2887" t="str">
        <f t="shared" ref="F10:F20" si="1">IF(SUM(I10)=0,"NA",I10*1000/$C10)</f>
        <v>NA</v>
      </c>
      <c r="G10" s="2887">
        <f>IF(SUM(G11,G21)=0,"NO",SUM(G11,G21))</f>
        <v>30.629801780740696</v>
      </c>
      <c r="H10" s="2887" t="str">
        <f>IF(SUM(H11,H21)=0,"NO,NE",SUM(H11,H21))</f>
        <v>NO,NE</v>
      </c>
      <c r="I10" s="2888" t="str">
        <f>IF(SUM(I11,I21)=0,"NO,NE",SUM(I11,I21))</f>
        <v>NO,NE</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15.240685691017116</v>
      </c>
      <c r="D21" s="116">
        <f>IF(SUM(G21)=0,"NA",G21*1000/$C21)</f>
        <v>2009.7390892848048</v>
      </c>
      <c r="E21" s="116" t="str">
        <f t="shared" ref="E21:F21" si="3">IF(SUM(H21)=0,"NA",H21*1000/$C21)</f>
        <v>NA</v>
      </c>
      <c r="F21" s="116" t="str">
        <f t="shared" si="3"/>
        <v>NA</v>
      </c>
      <c r="G21" s="2889">
        <f>IF(SUM(G22:G23)=0,"NO",SUM(G22:G23))</f>
        <v>30.629801780740696</v>
      </c>
      <c r="H21" s="116" t="str">
        <f>IF(SUM(H22:H23)=0,"NO,NE",SUM(H22:H23))</f>
        <v>NO,NE</v>
      </c>
      <c r="I21" s="2890" t="str">
        <f>IF(SUM(I22:I23)=0,"NO,NE",SUM(I22:I23))</f>
        <v>NO,NE</v>
      </c>
    </row>
    <row r="22" spans="2:9" ht="18" customHeight="1" x14ac:dyDescent="0.2">
      <c r="B22" s="1526" t="s">
        <v>1434</v>
      </c>
      <c r="C22" s="143" t="s">
        <v>2146</v>
      </c>
      <c r="D22" s="116" t="str">
        <f t="shared" ref="D22:D38" si="4">IF(SUM(G22)=0,"NA",G22*1000/$C22)</f>
        <v>NA</v>
      </c>
      <c r="E22" s="116" t="str">
        <f t="shared" ref="E22:E38" si="5">IF(SUM(H22)=0,"NA",H22*1000/$C22)</f>
        <v>NA</v>
      </c>
      <c r="F22" s="116" t="str">
        <f t="shared" ref="F22:F38" si="6">IF(SUM(I22)=0,"NA",I22*1000/$C22)</f>
        <v>NA</v>
      </c>
      <c r="G22" s="143" t="s">
        <v>2146</v>
      </c>
      <c r="H22" s="143" t="s">
        <v>2146</v>
      </c>
      <c r="I22" s="140" t="s">
        <v>2146</v>
      </c>
    </row>
    <row r="23" spans="2:9" ht="18" customHeight="1" x14ac:dyDescent="0.2">
      <c r="B23" s="1526" t="s">
        <v>1435</v>
      </c>
      <c r="C23" s="2889">
        <f>IF(SUM(C25:C29)=0,"NO",SUM(C25:C29))</f>
        <v>15.240685691017116</v>
      </c>
      <c r="D23" s="116">
        <f t="shared" si="4"/>
        <v>2009.7390892848048</v>
      </c>
      <c r="E23" s="151" t="str">
        <f t="shared" si="5"/>
        <v>NA</v>
      </c>
      <c r="F23" s="151" t="str">
        <f t="shared" si="6"/>
        <v>NA</v>
      </c>
      <c r="G23" s="151">
        <f>IF(SUM(G25:G30)=0,"NO",SUM(G25:G30))</f>
        <v>30.629801780740696</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15.240685691017116</v>
      </c>
      <c r="D27" s="116">
        <f t="shared" si="4"/>
        <v>879.99999999901149</v>
      </c>
      <c r="E27" s="116" t="str">
        <f t="shared" si="5"/>
        <v>NA</v>
      </c>
      <c r="F27" s="116" t="str">
        <f t="shared" si="6"/>
        <v>NA</v>
      </c>
      <c r="G27" s="2897">
        <v>13.411803408079997</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5.6143205858421501</v>
      </c>
      <c r="D30" s="116">
        <f t="shared" si="4"/>
        <v>3066.7999999999988</v>
      </c>
      <c r="E30" s="153" t="str">
        <f t="shared" si="5"/>
        <v>NA</v>
      </c>
      <c r="F30" s="153" t="str">
        <f t="shared" si="6"/>
        <v>NA</v>
      </c>
      <c r="G30" s="1541">
        <f>G31</f>
        <v>17.217998372660698</v>
      </c>
      <c r="H30" s="1541" t="str">
        <f>H31</f>
        <v>NE</v>
      </c>
      <c r="I30" s="2894" t="str">
        <f>I31</f>
        <v>NE</v>
      </c>
    </row>
    <row r="31" spans="2:9" ht="18" customHeight="1" x14ac:dyDescent="0.2">
      <c r="B31" s="2891" t="s">
        <v>2257</v>
      </c>
      <c r="C31" s="162">
        <v>5.6143205858421501</v>
      </c>
      <c r="D31" s="116">
        <f t="shared" si="4"/>
        <v>3066.7999999999988</v>
      </c>
      <c r="E31" s="153" t="str">
        <f t="shared" si="5"/>
        <v>NA</v>
      </c>
      <c r="F31" s="153" t="str">
        <f t="shared" si="6"/>
        <v>NA</v>
      </c>
      <c r="G31" s="161">
        <v>17.217998372660698</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22710.351999999999</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33.083498013291077</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1342.7629836569499</v>
      </c>
      <c r="D10" s="3435">
        <v>984.84147778001204</v>
      </c>
      <c r="E10" s="3435">
        <v>131.80066612201401</v>
      </c>
      <c r="F10" s="3436">
        <f>(SUM(H10)-SUM(K10:L10))/C10</f>
        <v>7.73512298106806E-2</v>
      </c>
      <c r="G10" s="3437">
        <f>SUM(I10:J10)/E10/(44/28)</f>
        <v>3.7010684446545082E-3</v>
      </c>
      <c r="H10" s="3434">
        <v>50.640278042504839</v>
      </c>
      <c r="I10" s="3223">
        <v>0.76654802143641942</v>
      </c>
      <c r="J10" s="3223" t="s">
        <v>2153</v>
      </c>
      <c r="K10" s="3438">
        <v>-14.245450438095238</v>
      </c>
      <c r="L10" s="2911">
        <v>-38.978639649523807</v>
      </c>
      <c r="M10"/>
      <c r="N10" s="1770" t="s">
        <v>1468</v>
      </c>
      <c r="O10" s="3440">
        <v>1</v>
      </c>
    </row>
    <row r="11" spans="1:15" ht="18" customHeight="1" x14ac:dyDescent="0.2">
      <c r="A11"/>
      <c r="B11" s="1749" t="s">
        <v>1383</v>
      </c>
      <c r="C11" s="3435">
        <v>766.71055907494099</v>
      </c>
      <c r="D11" s="3435">
        <v>137.50619435673801</v>
      </c>
      <c r="E11" s="691" t="s">
        <v>2153</v>
      </c>
      <c r="F11" s="3162">
        <f>(SUM(H11)-SUM(K11:L11))/C11</f>
        <v>6.5119724350000505E-2</v>
      </c>
      <c r="G11" s="3162" t="s">
        <v>2147</v>
      </c>
      <c r="H11" s="691">
        <v>42.919956171955391</v>
      </c>
      <c r="I11" s="691" t="s">
        <v>2153</v>
      </c>
      <c r="J11" s="691" t="s">
        <v>2153</v>
      </c>
      <c r="K11" s="3147" t="s">
        <v>2153</v>
      </c>
      <c r="L11" s="2911">
        <v>-7.0080240912395437</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409527.10068648926</v>
      </c>
      <c r="D10" s="4213">
        <f t="shared" si="0"/>
        <v>4942.8661599437155</v>
      </c>
      <c r="E10" s="4213">
        <f t="shared" si="0"/>
        <v>86.603891047803359</v>
      </c>
      <c r="F10" s="4213">
        <f t="shared" si="0"/>
        <v>7816.4186628708076</v>
      </c>
      <c r="G10" s="4213">
        <f t="shared" si="0"/>
        <v>265.12979067717396</v>
      </c>
      <c r="H10" s="4213" t="str">
        <f>IF(SUM(H11,H22,H31,H42,H51)=0,"NO",SUM(H11,H22,H31,H42,H51))</f>
        <v>NO</v>
      </c>
      <c r="I10" s="4213">
        <f t="shared" ref="I10:N10" si="1">IF(SUM(I11,I22,I31,I42,I51)=0,"NO",SUM(I11,I22,I31,I42,I51))</f>
        <v>5.043008131454231E-3</v>
      </c>
      <c r="J10" s="3834" t="str">
        <f t="shared" si="1"/>
        <v>NO</v>
      </c>
      <c r="K10" s="4213">
        <f t="shared" si="1"/>
        <v>3357.2551422454817</v>
      </c>
      <c r="L10" s="4213">
        <f t="shared" si="1"/>
        <v>26937.604097606472</v>
      </c>
      <c r="M10" s="4213">
        <f t="shared" si="1"/>
        <v>1840.3117407565292</v>
      </c>
      <c r="N10" s="4214">
        <f t="shared" si="1"/>
        <v>2518.1074728733411</v>
      </c>
      <c r="O10" s="3818">
        <f>IF(SUM(C10:J10)=0,"NO",SUM(C10,F10:H10)+28*SUM(D10)+265*SUM(E10)+23500*SUM(I10)+16100*SUM(J10))</f>
        <v>579077.44343721832</v>
      </c>
    </row>
    <row r="11" spans="1:15" ht="18" customHeight="1" x14ac:dyDescent="0.25">
      <c r="B11" s="1120" t="s">
        <v>1476</v>
      </c>
      <c r="C11" s="2552">
        <f>Table1!C10</f>
        <v>383050.65741161257</v>
      </c>
      <c r="D11" s="3810">
        <f>Table1!D10</f>
        <v>1371.1416623141854</v>
      </c>
      <c r="E11" s="3810">
        <f>Table1!E10</f>
        <v>12.311927068228885</v>
      </c>
      <c r="F11" s="4215"/>
      <c r="G11" s="4215"/>
      <c r="H11" s="4216"/>
      <c r="I11" s="4215"/>
      <c r="J11" s="98"/>
      <c r="K11" s="3810">
        <f>Table1!F10</f>
        <v>2381.9636591655399</v>
      </c>
      <c r="L11" s="3810">
        <f>Table1!G10</f>
        <v>2501.0725216356673</v>
      </c>
      <c r="M11" s="3810">
        <f>Table1!H10</f>
        <v>724.04849246369486</v>
      </c>
      <c r="N11" s="4217">
        <f>Table1!I10</f>
        <v>726.67001649638473</v>
      </c>
      <c r="O11" s="3781">
        <f t="shared" ref="O11:O58" si="2">IF(SUM(C11:J11)=0,"NO",SUM(C11,F11:H11)+28*SUM(D11)+265*SUM(E11)+23500*SUM(I11)+16100*SUM(J11))</f>
        <v>424705.2846294904</v>
      </c>
    </row>
    <row r="12" spans="1:15" ht="18" customHeight="1" x14ac:dyDescent="0.25">
      <c r="B12" s="1370" t="s">
        <v>1477</v>
      </c>
      <c r="C12" s="4218">
        <f>Table1!C11</f>
        <v>374763.66058025236</v>
      </c>
      <c r="D12" s="4219">
        <f>Table1!D11</f>
        <v>79.593072950773106</v>
      </c>
      <c r="E12" s="4219">
        <f>Table1!E11</f>
        <v>12.197301920440973</v>
      </c>
      <c r="F12" s="69"/>
      <c r="G12" s="69"/>
      <c r="H12" s="69"/>
      <c r="I12" s="69"/>
      <c r="J12" s="69"/>
      <c r="K12" s="4219">
        <f>Table1!F11</f>
        <v>2380.0763126278548</v>
      </c>
      <c r="L12" s="4219">
        <f>Table1!G11</f>
        <v>2490.2940123412941</v>
      </c>
      <c r="M12" s="4219">
        <f>Table1!H11</f>
        <v>505.37341987985963</v>
      </c>
      <c r="N12" s="4220">
        <f>Table1!I11</f>
        <v>726.67001649638473</v>
      </c>
      <c r="O12" s="3782">
        <f t="shared" si="2"/>
        <v>380224.55163179088</v>
      </c>
    </row>
    <row r="13" spans="1:15" ht="18" customHeight="1" x14ac:dyDescent="0.25">
      <c r="B13" s="1371" t="s">
        <v>1478</v>
      </c>
      <c r="C13" s="4218">
        <f>Table1!C12</f>
        <v>221066.87190972728</v>
      </c>
      <c r="D13" s="4219">
        <f>Table1!D12</f>
        <v>21.855790518752066</v>
      </c>
      <c r="E13" s="4219">
        <f>Table1!E12</f>
        <v>4.1252416381587027</v>
      </c>
      <c r="F13" s="69"/>
      <c r="G13" s="69"/>
      <c r="H13" s="69"/>
      <c r="I13" s="69"/>
      <c r="J13" s="69"/>
      <c r="K13" s="4219">
        <f>Table1!F12</f>
        <v>1020.6597830448654</v>
      </c>
      <c r="L13" s="4219">
        <f>Table1!G12</f>
        <v>208.42742454097626</v>
      </c>
      <c r="M13" s="4219">
        <f>Table1!H12</f>
        <v>56.894566142487498</v>
      </c>
      <c r="N13" s="4220">
        <f>Table1!I12</f>
        <v>604.23963647834807</v>
      </c>
      <c r="O13" s="3783">
        <f t="shared" si="2"/>
        <v>222772.02307836441</v>
      </c>
    </row>
    <row r="14" spans="1:15" ht="18" customHeight="1" x14ac:dyDescent="0.25">
      <c r="B14" s="1371" t="s">
        <v>1479</v>
      </c>
      <c r="C14" s="4218">
        <f>Table1!C16</f>
        <v>42444.02596621681</v>
      </c>
      <c r="D14" s="4221">
        <f>Table1!D16</f>
        <v>2.385915336233952</v>
      </c>
      <c r="E14" s="4221">
        <f>Table1!E16</f>
        <v>1.3750591461183621</v>
      </c>
      <c r="F14" s="3784"/>
      <c r="G14" s="3784"/>
      <c r="H14" s="3784"/>
      <c r="I14" s="3784"/>
      <c r="J14" s="69"/>
      <c r="K14" s="4221">
        <f>Table1!F16</f>
        <v>694.72460272653473</v>
      </c>
      <c r="L14" s="4221">
        <f>Table1!G16</f>
        <v>222.60197914896071</v>
      </c>
      <c r="M14" s="4221">
        <f>Table1!H16</f>
        <v>96.417554714996044</v>
      </c>
      <c r="N14" s="4222">
        <f>Table1!I16</f>
        <v>88.208465885726298</v>
      </c>
      <c r="O14" s="3785">
        <f t="shared" si="2"/>
        <v>42875.222269352729</v>
      </c>
    </row>
    <row r="15" spans="1:15" ht="18" customHeight="1" x14ac:dyDescent="0.25">
      <c r="B15" s="1371" t="s">
        <v>1480</v>
      </c>
      <c r="C15" s="4218">
        <f>Table1!C24</f>
        <v>89768.612818043563</v>
      </c>
      <c r="D15" s="4219">
        <f>Table1!D24</f>
        <v>16.072969608646801</v>
      </c>
      <c r="E15" s="4219">
        <f>Table1!E24</f>
        <v>6.0065920475633581</v>
      </c>
      <c r="F15" s="69"/>
      <c r="G15" s="69"/>
      <c r="H15" s="69"/>
      <c r="I15" s="69"/>
      <c r="J15" s="69"/>
      <c r="K15" s="4219">
        <f>Table1!F24</f>
        <v>298.80142120634611</v>
      </c>
      <c r="L15" s="4219">
        <f>Table1!G24</f>
        <v>1379.7296890130642</v>
      </c>
      <c r="M15" s="4219">
        <f>Table1!H24</f>
        <v>236.34464226033037</v>
      </c>
      <c r="N15" s="4220">
        <f>Table1!I24</f>
        <v>26.075896805453208</v>
      </c>
      <c r="O15" s="3783">
        <f t="shared" si="2"/>
        <v>91810.402859689959</v>
      </c>
    </row>
    <row r="16" spans="1:15" ht="18" customHeight="1" x14ac:dyDescent="0.25">
      <c r="B16" s="1371" t="s">
        <v>1481</v>
      </c>
      <c r="C16" s="4218">
        <f>Table1!C30</f>
        <v>20619.975763741699</v>
      </c>
      <c r="D16" s="4219">
        <f>Table1!D30</f>
        <v>39.246759312967512</v>
      </c>
      <c r="E16" s="4219">
        <f>Table1!E30</f>
        <v>0.66598351676016176</v>
      </c>
      <c r="F16" s="69"/>
      <c r="G16" s="69"/>
      <c r="H16" s="69"/>
      <c r="I16" s="69"/>
      <c r="J16" s="69"/>
      <c r="K16" s="4219">
        <f>Table1!F30</f>
        <v>358.01639559303896</v>
      </c>
      <c r="L16" s="4219">
        <f>Table1!G30</f>
        <v>676.83869945111473</v>
      </c>
      <c r="M16" s="4219">
        <f>Table1!H30</f>
        <v>115.28978133984721</v>
      </c>
      <c r="N16" s="4220">
        <f>Table1!I30</f>
        <v>7.8492334800230594</v>
      </c>
      <c r="O16" s="3783">
        <f t="shared" si="2"/>
        <v>21895.370656446234</v>
      </c>
    </row>
    <row r="17" spans="2:15" ht="18" customHeight="1" x14ac:dyDescent="0.25">
      <c r="B17" s="1371" t="s">
        <v>1482</v>
      </c>
      <c r="C17" s="4218">
        <f>Table1!C34</f>
        <v>864.17412252301733</v>
      </c>
      <c r="D17" s="4219">
        <f>Table1!D34</f>
        <v>3.1638174172767992E-2</v>
      </c>
      <c r="E17" s="4219">
        <f>Table1!E34</f>
        <v>2.4425571840387569E-2</v>
      </c>
      <c r="F17" s="69"/>
      <c r="G17" s="69"/>
      <c r="H17" s="69"/>
      <c r="I17" s="69"/>
      <c r="J17" s="69"/>
      <c r="K17" s="4219">
        <f>Table1!F34</f>
        <v>7.8741100570695277</v>
      </c>
      <c r="L17" s="4219">
        <f>Table1!G34</f>
        <v>2.6962201871778708</v>
      </c>
      <c r="M17" s="4219">
        <f>Table1!H34</f>
        <v>0.42687542219850444</v>
      </c>
      <c r="N17" s="4220">
        <f>Table1!I34</f>
        <v>0.29678384683404169</v>
      </c>
      <c r="O17" s="3783">
        <f t="shared" si="2"/>
        <v>871.53276793755754</v>
      </c>
    </row>
    <row r="18" spans="2:15" ht="18" customHeight="1" x14ac:dyDescent="0.25">
      <c r="B18" s="1370" t="s">
        <v>99</v>
      </c>
      <c r="C18" s="4223">
        <f>Table1!C37</f>
        <v>8286.996831360193</v>
      </c>
      <c r="D18" s="4224">
        <f>Table1!D37</f>
        <v>1291.5485893634122</v>
      </c>
      <c r="E18" s="4224">
        <f>Table1!E37</f>
        <v>0.11462514778791104</v>
      </c>
      <c r="F18" s="69"/>
      <c r="G18" s="69"/>
      <c r="H18" s="69"/>
      <c r="I18" s="69"/>
      <c r="J18" s="69"/>
      <c r="K18" s="4224">
        <f>Table1!F37</f>
        <v>1.887346537685</v>
      </c>
      <c r="L18" s="4219">
        <f>Table1!G37</f>
        <v>10.778509294373</v>
      </c>
      <c r="M18" s="4219">
        <f>Table1!H37</f>
        <v>218.67507258383517</v>
      </c>
      <c r="N18" s="4220" t="str">
        <f>Table1!I37</f>
        <v>NO</v>
      </c>
      <c r="O18" s="3783">
        <f t="shared" si="2"/>
        <v>44480.732997699532</v>
      </c>
    </row>
    <row r="19" spans="2:15" ht="18" customHeight="1" x14ac:dyDescent="0.25">
      <c r="B19" s="1371" t="s">
        <v>1483</v>
      </c>
      <c r="C19" s="4225">
        <f>Table1!C38</f>
        <v>1580.216366257682</v>
      </c>
      <c r="D19" s="4226">
        <f>Table1!D38</f>
        <v>1071.3959969149528</v>
      </c>
      <c r="E19" s="4224">
        <f>Table1!E38</f>
        <v>3.5333623858198928E-4</v>
      </c>
      <c r="F19" s="69"/>
      <c r="G19" s="69"/>
      <c r="H19" s="69"/>
      <c r="I19" s="69"/>
      <c r="J19" s="69"/>
      <c r="K19" s="4224" t="str">
        <f>Table1!F38</f>
        <v>NO</v>
      </c>
      <c r="L19" s="4219" t="str">
        <f>Table1!G38</f>
        <v>NO</v>
      </c>
      <c r="M19" s="4219" t="str">
        <f>Table1!H38</f>
        <v>NO</v>
      </c>
      <c r="N19" s="4220" t="str">
        <f>Table1!I38</f>
        <v>NO</v>
      </c>
      <c r="O19" s="3783">
        <f t="shared" si="2"/>
        <v>31579.397913979585</v>
      </c>
    </row>
    <row r="20" spans="2:15" ht="18" customHeight="1" x14ac:dyDescent="0.25">
      <c r="B20" s="1372" t="s">
        <v>1484</v>
      </c>
      <c r="C20" s="4225">
        <f>Table1!C42</f>
        <v>6706.7804651025117</v>
      </c>
      <c r="D20" s="4227">
        <f>Table1!D42</f>
        <v>220.15259244845959</v>
      </c>
      <c r="E20" s="4224">
        <f>Table1!E42</f>
        <v>0.11427181154932906</v>
      </c>
      <c r="F20" s="3784"/>
      <c r="G20" s="3784"/>
      <c r="H20" s="3784"/>
      <c r="I20" s="3784"/>
      <c r="J20" s="69"/>
      <c r="K20" s="4224">
        <f>Table1!F42</f>
        <v>1.887346537685</v>
      </c>
      <c r="L20" s="4221">
        <f>Table1!G42</f>
        <v>10.778509294373</v>
      </c>
      <c r="M20" s="4221">
        <f>Table1!H42</f>
        <v>218.67507258383517</v>
      </c>
      <c r="N20" s="4222" t="str">
        <f>Table1!I42</f>
        <v>NO</v>
      </c>
      <c r="O20" s="3785">
        <f t="shared" si="2"/>
        <v>12901.335083719952</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21453.369801551238</v>
      </c>
      <c r="D22" s="4230">
        <f>'Table2(I)'!D10</f>
        <v>3.0130608782400001</v>
      </c>
      <c r="E22" s="4231">
        <f>'Table2(I)'!E10</f>
        <v>8.1442053829338708</v>
      </c>
      <c r="F22" s="3810">
        <f>'Table2(I)'!F10</f>
        <v>7816.4186628708076</v>
      </c>
      <c r="G22" s="3810">
        <f>'Table2(I)'!G10</f>
        <v>265.12979067717396</v>
      </c>
      <c r="H22" s="3810" t="str">
        <f>'Table2(I)'!H10</f>
        <v>NO</v>
      </c>
      <c r="I22" s="3810">
        <f>'Table2(I)'!I10</f>
        <v>5.043008131454231E-3</v>
      </c>
      <c r="J22" s="3810" t="str">
        <f>'Table2(I)'!J10</f>
        <v>NO</v>
      </c>
      <c r="K22" s="3810">
        <f>'Table2(I)'!K10</f>
        <v>32.896949126478567</v>
      </c>
      <c r="L22" s="3810">
        <f>'Table2(I)'!L10</f>
        <v>8.7912354537057098</v>
      </c>
      <c r="M22" s="3810">
        <f>'Table2(I)'!M10</f>
        <v>229.2808028723602</v>
      </c>
      <c r="N22" s="4217">
        <f>'Table2(I)'!N10</f>
        <v>1791.4374563769563</v>
      </c>
      <c r="O22" s="3781">
        <f t="shared" si="2"/>
        <v>31896.009077256589</v>
      </c>
    </row>
    <row r="23" spans="2:15" ht="18" customHeight="1" x14ac:dyDescent="0.25">
      <c r="B23" s="1133" t="s">
        <v>1487</v>
      </c>
      <c r="C23" s="4232">
        <f>'Table2(I)'!C11</f>
        <v>6411.4761811194594</v>
      </c>
      <c r="D23" s="3789"/>
      <c r="E23" s="98"/>
      <c r="F23" s="98"/>
      <c r="G23" s="98"/>
      <c r="H23" s="98"/>
      <c r="I23" s="98"/>
      <c r="J23" s="69"/>
      <c r="K23" s="4233" t="str">
        <f>'Table2(I)'!K11</f>
        <v>NO</v>
      </c>
      <c r="L23" s="4233" t="str">
        <f>'Table2(I)'!L11</f>
        <v>NO</v>
      </c>
      <c r="M23" s="4233" t="str">
        <f>'Table2(I)'!M11</f>
        <v>NO</v>
      </c>
      <c r="N23" s="4234" t="str">
        <f>'Table2(I)'!N11</f>
        <v>NO</v>
      </c>
      <c r="O23" s="3782">
        <f t="shared" si="2"/>
        <v>6411.4761811194594</v>
      </c>
    </row>
    <row r="24" spans="2:15" ht="18" customHeight="1" x14ac:dyDescent="0.25">
      <c r="B24" s="1133" t="s">
        <v>621</v>
      </c>
      <c r="C24" s="4232">
        <f>'Table2(I)'!C16</f>
        <v>3232.4615421484659</v>
      </c>
      <c r="D24" s="4235">
        <f>'Table2(I)'!D16</f>
        <v>0.57776360000000004</v>
      </c>
      <c r="E24" s="4236">
        <f>'Table2(I)'!E16</f>
        <v>8.0798403411564426</v>
      </c>
      <c r="F24" s="4219" t="str">
        <f>'Table2(I)'!F16</f>
        <v>NO</v>
      </c>
      <c r="G24" s="4219" t="str">
        <f>'Table2(I)'!G16</f>
        <v>NO</v>
      </c>
      <c r="H24" s="4219" t="str">
        <f>'Table2(I)'!H16</f>
        <v>NO</v>
      </c>
      <c r="I24" s="4219" t="str">
        <f>'Table2(I)'!I16</f>
        <v>NO</v>
      </c>
      <c r="J24" s="616" t="str">
        <f>'Table2(I)'!J16</f>
        <v>NO</v>
      </c>
      <c r="K24" s="4219" t="str">
        <f>'Table2(I)'!K16</f>
        <v>NO</v>
      </c>
      <c r="L24" s="4219" t="str">
        <f>'Table2(I)'!L16</f>
        <v>NO</v>
      </c>
      <c r="M24" s="4219">
        <f>'Table2(I)'!M16</f>
        <v>2.8425606806999988</v>
      </c>
      <c r="N24" s="4220" t="str">
        <f>'Table2(I)'!N16</f>
        <v>NO</v>
      </c>
      <c r="O24" s="3783">
        <f t="shared" si="2"/>
        <v>5389.7966133549235</v>
      </c>
    </row>
    <row r="25" spans="2:15" ht="18" customHeight="1" x14ac:dyDescent="0.25">
      <c r="B25" s="1133" t="s">
        <v>459</v>
      </c>
      <c r="C25" s="4232">
        <f>'Table2(I)'!C27</f>
        <v>11398.781007211961</v>
      </c>
      <c r="D25" s="4235">
        <f>'Table2(I)'!D27</f>
        <v>2.4352972782400002</v>
      </c>
      <c r="E25" s="4236">
        <f>'Table2(I)'!E27</f>
        <v>6.4365041777428578E-2</v>
      </c>
      <c r="F25" s="4219" t="str">
        <f>'Table2(I)'!F27</f>
        <v>NO</v>
      </c>
      <c r="G25" s="4219">
        <f>'Table2(I)'!G27</f>
        <v>265.12979067717396</v>
      </c>
      <c r="H25" s="4219" t="str">
        <f>'Table2(I)'!H27</f>
        <v>NO</v>
      </c>
      <c r="I25" s="4219" t="str">
        <f>'Table2(I)'!I27</f>
        <v>NO</v>
      </c>
      <c r="J25" s="4219" t="str">
        <f>'Table2(I)'!J27</f>
        <v>NO</v>
      </c>
      <c r="K25" s="4219">
        <f>'Table2(I)'!K27</f>
        <v>32.896949126478567</v>
      </c>
      <c r="L25" s="4219">
        <f>'Table2(I)'!L27</f>
        <v>8.7912354537057098</v>
      </c>
      <c r="M25" s="4219">
        <f>'Table2(I)'!M27</f>
        <v>8.0269704660142868E-2</v>
      </c>
      <c r="N25" s="4220">
        <f>'Table2(I)'!N27</f>
        <v>1791.4374563769563</v>
      </c>
      <c r="O25" s="3783">
        <f t="shared" si="2"/>
        <v>11749.155857750875</v>
      </c>
    </row>
    <row r="26" spans="2:15" ht="18" customHeight="1" x14ac:dyDescent="0.25">
      <c r="B26" s="1133" t="s">
        <v>1488</v>
      </c>
      <c r="C26" s="4232">
        <f>'Table2(I)'!C35</f>
        <v>192.64508823</v>
      </c>
      <c r="D26" s="3790" t="str">
        <f>'Table2(I)'!D35</f>
        <v>NO</v>
      </c>
      <c r="E26" s="616" t="str">
        <f>'Table2(I)'!E35</f>
        <v>NO</v>
      </c>
      <c r="F26" s="69"/>
      <c r="G26" s="69"/>
      <c r="H26" s="69"/>
      <c r="I26" s="69"/>
      <c r="J26" s="69"/>
      <c r="K26" s="616" t="str">
        <f>'Table2(I)'!K35</f>
        <v>NO</v>
      </c>
      <c r="L26" s="4236" t="str">
        <f>'Table2(I)'!L35</f>
        <v>NO</v>
      </c>
      <c r="M26" s="4236">
        <f>'Table2(I)'!M35</f>
        <v>185.13279564421933</v>
      </c>
      <c r="N26" s="4237" t="str">
        <f>'Table2(I)'!N35</f>
        <v>NO</v>
      </c>
      <c r="O26" s="3783">
        <f t="shared" si="2"/>
        <v>192.64508823</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7816.4186628708076</v>
      </c>
      <c r="G28" s="4221" t="str">
        <f>'Table2(I)'!G45</f>
        <v>NO</v>
      </c>
      <c r="H28" s="4221" t="str">
        <f>'Table2(I)'!H45</f>
        <v>NO</v>
      </c>
      <c r="I28" s="4221" t="str">
        <f>'Table2(I)'!I45</f>
        <v>NO</v>
      </c>
      <c r="J28" s="4221" t="str">
        <f>'Table2(I)'!J45</f>
        <v>NO</v>
      </c>
      <c r="K28" s="3784"/>
      <c r="L28" s="3784"/>
      <c r="M28" s="3784"/>
      <c r="N28" s="3793"/>
      <c r="O28" s="3785">
        <f t="shared" si="2"/>
        <v>7816.4186628708076</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5.043008131454231E-3</v>
      </c>
      <c r="J29" s="616" t="str">
        <f>'Table2(I)'!J52</f>
        <v>NO</v>
      </c>
      <c r="K29" s="3796" t="str">
        <f>'Table2(I)'!K52</f>
        <v>NO</v>
      </c>
      <c r="L29" s="3796" t="str">
        <f>'Table2(I)'!L52</f>
        <v>NO</v>
      </c>
      <c r="M29" s="3796" t="str">
        <f>'Table2(I)'!M52</f>
        <v>NO</v>
      </c>
      <c r="N29" s="3797" t="str">
        <f>'Table2(I)'!N52</f>
        <v>NO</v>
      </c>
      <c r="O29" s="3785">
        <f t="shared" si="2"/>
        <v>118.51069108917443</v>
      </c>
    </row>
    <row r="30" spans="2:15" ht="18" customHeight="1" thickBot="1" x14ac:dyDescent="0.3">
      <c r="B30" s="1375" t="s">
        <v>2040</v>
      </c>
      <c r="C30" s="4239">
        <f>'Table2(I)'!C57</f>
        <v>218.00598284134924</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41.225176842780726</v>
      </c>
      <c r="N30" s="4242" t="str">
        <f>'Table2(I)'!N57</f>
        <v>NA</v>
      </c>
      <c r="O30" s="3798">
        <f t="shared" si="2"/>
        <v>218.00598284134924</v>
      </c>
    </row>
    <row r="31" spans="2:15" ht="18" customHeight="1" x14ac:dyDescent="0.25">
      <c r="B31" s="1134" t="s">
        <v>1491</v>
      </c>
      <c r="C31" s="3817">
        <f>Table3!C10</f>
        <v>2045.0737274324219</v>
      </c>
      <c r="D31" s="3799">
        <f>Table3!D10</f>
        <v>2397.1703973847857</v>
      </c>
      <c r="E31" s="3800">
        <f>Table3!E10</f>
        <v>46.328036828827706</v>
      </c>
      <c r="F31" s="3801"/>
      <c r="G31" s="3801"/>
      <c r="H31" s="3801"/>
      <c r="I31" s="3801"/>
      <c r="J31" s="3801"/>
      <c r="K31" s="4243">
        <f>Table3!F10</f>
        <v>24.52548966721486</v>
      </c>
      <c r="L31" s="4243">
        <f>Table3!G10</f>
        <v>396.62812592741602</v>
      </c>
      <c r="M31" s="4243">
        <f>Table3!H10</f>
        <v>23.136640679099266</v>
      </c>
      <c r="N31" s="4244" t="str">
        <f>Table3!I10</f>
        <v>NO</v>
      </c>
      <c r="O31" s="3782">
        <f t="shared" si="2"/>
        <v>81442.774613845759</v>
      </c>
    </row>
    <row r="32" spans="2:15" ht="18" customHeight="1" x14ac:dyDescent="0.25">
      <c r="B32" s="4245" t="s">
        <v>1492</v>
      </c>
      <c r="C32" s="3791"/>
      <c r="D32" s="4246">
        <f>Table3!D11</f>
        <v>2124.3232264032076</v>
      </c>
      <c r="E32" s="98"/>
      <c r="F32" s="3802"/>
      <c r="G32" s="3802"/>
      <c r="H32" s="3789"/>
      <c r="I32" s="3802"/>
      <c r="J32" s="3789"/>
      <c r="K32" s="98"/>
      <c r="L32" s="98"/>
      <c r="M32" s="98"/>
      <c r="N32" s="3803"/>
      <c r="O32" s="3782">
        <f t="shared" si="2"/>
        <v>59481.05033928981</v>
      </c>
    </row>
    <row r="33" spans="2:15" ht="18" customHeight="1" x14ac:dyDescent="0.25">
      <c r="B33" s="4245" t="s">
        <v>1493</v>
      </c>
      <c r="C33" s="3791"/>
      <c r="D33" s="4226">
        <f>Table3!D20</f>
        <v>246.29224553472164</v>
      </c>
      <c r="E33" s="4226">
        <f>Table3!E20</f>
        <v>1.630824478443452</v>
      </c>
      <c r="F33" s="3802"/>
      <c r="G33" s="3802"/>
      <c r="H33" s="3802"/>
      <c r="I33" s="3802"/>
      <c r="J33" s="3802"/>
      <c r="K33" s="69"/>
      <c r="L33" s="69"/>
      <c r="M33" s="4247" t="str">
        <f>Table3!H20</f>
        <v>NE</v>
      </c>
      <c r="N33" s="3804"/>
      <c r="O33" s="3783">
        <f t="shared" si="2"/>
        <v>7328.3513617597209</v>
      </c>
    </row>
    <row r="34" spans="2:15" ht="18" customHeight="1" x14ac:dyDescent="0.25">
      <c r="B34" s="4245" t="s">
        <v>1494</v>
      </c>
      <c r="C34" s="3791"/>
      <c r="D34" s="4226">
        <f>Table3!D31</f>
        <v>16.384973500000001</v>
      </c>
      <c r="E34" s="69"/>
      <c r="F34" s="3802"/>
      <c r="G34" s="3802"/>
      <c r="H34" s="3802"/>
      <c r="I34" s="3802"/>
      <c r="J34" s="3802"/>
      <c r="K34" s="69"/>
      <c r="L34" s="69"/>
      <c r="M34" s="4247" t="str">
        <f>Table3!H31</f>
        <v>NE</v>
      </c>
      <c r="N34" s="3804"/>
      <c r="O34" s="3783">
        <f t="shared" si="2"/>
        <v>458.77925800000003</v>
      </c>
    </row>
    <row r="35" spans="2:15" ht="18" customHeight="1" x14ac:dyDescent="0.25">
      <c r="B35" s="4245" t="s">
        <v>1495</v>
      </c>
      <c r="C35" s="4248"/>
      <c r="D35" s="4226" t="str">
        <f>Table3!D32</f>
        <v>NE</v>
      </c>
      <c r="E35" s="4226">
        <f>Table3!E32</f>
        <v>44.272713191755031</v>
      </c>
      <c r="F35" s="3802"/>
      <c r="G35" s="3802"/>
      <c r="H35" s="3802"/>
      <c r="I35" s="3802"/>
      <c r="J35" s="3802"/>
      <c r="K35" s="4247" t="str">
        <f>Table3!F32</f>
        <v>NO</v>
      </c>
      <c r="L35" s="4247" t="str">
        <f>Table3!G32</f>
        <v>NO</v>
      </c>
      <c r="M35" s="4247" t="str">
        <f>Table3!H32</f>
        <v>NO</v>
      </c>
      <c r="N35" s="3804"/>
      <c r="O35" s="3783">
        <f t="shared" si="2"/>
        <v>11732.268995815084</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10.169951946856818</v>
      </c>
      <c r="E37" s="4226">
        <f>Table3!E43</f>
        <v>0.42449915862922616</v>
      </c>
      <c r="F37" s="3802"/>
      <c r="G37" s="3802"/>
      <c r="H37" s="3802"/>
      <c r="I37" s="3802"/>
      <c r="J37" s="3802"/>
      <c r="K37" s="4247">
        <f>Table3!F43</f>
        <v>24.52548966721486</v>
      </c>
      <c r="L37" s="4247">
        <f>Table3!G43</f>
        <v>396.62812592741602</v>
      </c>
      <c r="M37" s="4247">
        <f>Table3!H43</f>
        <v>23.136640679099266</v>
      </c>
      <c r="N37" s="4247" t="str">
        <f>Table3!I43</f>
        <v>NO</v>
      </c>
      <c r="O37" s="3783">
        <f t="shared" si="2"/>
        <v>397.25093154873588</v>
      </c>
    </row>
    <row r="38" spans="2:15" ht="18" customHeight="1" x14ac:dyDescent="0.25">
      <c r="B38" s="4249" t="s">
        <v>721</v>
      </c>
      <c r="C38" s="3794">
        <f>Table3!C44</f>
        <v>924.61635380044606</v>
      </c>
      <c r="D38" s="4250"/>
      <c r="E38" s="4250"/>
      <c r="F38" s="3792"/>
      <c r="G38" s="3792"/>
      <c r="H38" s="3792"/>
      <c r="I38" s="3792"/>
      <c r="J38" s="3792"/>
      <c r="K38" s="3805"/>
      <c r="L38" s="3805"/>
      <c r="M38" s="3805"/>
      <c r="N38" s="3793"/>
      <c r="O38" s="3785">
        <f t="shared" si="2"/>
        <v>924.61635380044606</v>
      </c>
    </row>
    <row r="39" spans="2:15" ht="18" customHeight="1" x14ac:dyDescent="0.25">
      <c r="B39" s="4249" t="s">
        <v>722</v>
      </c>
      <c r="C39" s="3806">
        <f>Table3!C45</f>
        <v>1120.457373631976</v>
      </c>
      <c r="D39" s="4250"/>
      <c r="E39" s="4250"/>
      <c r="F39" s="3792"/>
      <c r="G39" s="3792"/>
      <c r="H39" s="3792"/>
      <c r="I39" s="3792"/>
      <c r="J39" s="3792"/>
      <c r="K39" s="3805"/>
      <c r="L39" s="3805"/>
      <c r="M39" s="3805"/>
      <c r="N39" s="3793"/>
      <c r="O39" s="3785">
        <f t="shared" si="2"/>
        <v>1120.457373631976</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2947.3699441123108</v>
      </c>
      <c r="D42" s="3809">
        <f>Table4!D10</f>
        <v>675.42280105704401</v>
      </c>
      <c r="E42" s="3810">
        <f>Table4!E10</f>
        <v>18.53843499245647</v>
      </c>
      <c r="F42" s="3801"/>
      <c r="G42" s="3801"/>
      <c r="H42" s="3801"/>
      <c r="I42" s="3801"/>
      <c r="J42" s="3801"/>
      <c r="K42" s="4253">
        <f>Table4!F10</f>
        <v>917.86904428624871</v>
      </c>
      <c r="L42" s="4253">
        <f>Table4!G10</f>
        <v>24031.112214589684</v>
      </c>
      <c r="M42" s="4253">
        <f>Table4!H10</f>
        <v>623.36807453092717</v>
      </c>
      <c r="N42" s="4254" t="str">
        <f>N50</f>
        <v>NO</v>
      </c>
      <c r="O42" s="3781">
        <f t="shared" si="2"/>
        <v>26771.893646710505</v>
      </c>
    </row>
    <row r="43" spans="2:15" ht="18" customHeight="1" x14ac:dyDescent="0.25">
      <c r="B43" s="4245" t="s">
        <v>2042</v>
      </c>
      <c r="C43" s="4255">
        <f>Table4!C11</f>
        <v>-46193.257331282068</v>
      </c>
      <c r="D43" s="4256">
        <f>Table4!D11</f>
        <v>294.79514994922971</v>
      </c>
      <c r="E43" s="4257">
        <f>Table4!E11</f>
        <v>6.4022581602565234</v>
      </c>
      <c r="F43" s="3792"/>
      <c r="G43" s="3792"/>
      <c r="H43" s="3792"/>
      <c r="I43" s="3792"/>
      <c r="J43" s="3792"/>
      <c r="K43" s="4247">
        <f>Table4!F11</f>
        <v>298.98381033516569</v>
      </c>
      <c r="L43" s="4247">
        <f>Table4!G11</f>
        <v>8105.2520849766015</v>
      </c>
      <c r="M43" s="4247">
        <f>Table4!H11</f>
        <v>295.42385414986029</v>
      </c>
      <c r="N43" s="3811"/>
      <c r="O43" s="3812">
        <f t="shared" si="2"/>
        <v>-36242.39472023565</v>
      </c>
    </row>
    <row r="44" spans="2:15" ht="18" customHeight="1" x14ac:dyDescent="0.25">
      <c r="B44" s="4245" t="s">
        <v>2043</v>
      </c>
      <c r="C44" s="4255">
        <f>Table4!C14</f>
        <v>3415.2845572074875</v>
      </c>
      <c r="D44" s="4258">
        <f>Table4!D14</f>
        <v>1.3327847999999998</v>
      </c>
      <c r="E44" s="4258">
        <f>Table4!E14</f>
        <v>0.1184342643430861</v>
      </c>
      <c r="F44" s="3802"/>
      <c r="G44" s="3802"/>
      <c r="H44" s="3802"/>
      <c r="I44" s="3802"/>
      <c r="J44" s="3802"/>
      <c r="K44" s="4247">
        <f>Table4!F14</f>
        <v>1.0035552214285715</v>
      </c>
      <c r="L44" s="4247">
        <f>Table4!G14</f>
        <v>39.304811000000001</v>
      </c>
      <c r="M44" s="4247">
        <f>Table4!H14</f>
        <v>4.751131</v>
      </c>
      <c r="N44" s="4259"/>
      <c r="O44" s="3783">
        <f t="shared" si="2"/>
        <v>3483.9876116584051</v>
      </c>
    </row>
    <row r="45" spans="2:15" ht="18" customHeight="1" x14ac:dyDescent="0.25">
      <c r="B45" s="4245" t="s">
        <v>2044</v>
      </c>
      <c r="C45" s="4255">
        <f>Table4!C17</f>
        <v>44536.93816305037</v>
      </c>
      <c r="D45" s="4258">
        <f>Table4!D17</f>
        <v>276.03722127684864</v>
      </c>
      <c r="E45" s="4258">
        <f>Table4!E17</f>
        <v>11.41051416476285</v>
      </c>
      <c r="F45" s="3802"/>
      <c r="G45" s="3802"/>
      <c r="H45" s="3802"/>
      <c r="I45" s="3802"/>
      <c r="J45" s="3802"/>
      <c r="K45" s="4247">
        <f>Table4!F17</f>
        <v>589.23854700728123</v>
      </c>
      <c r="L45" s="4247">
        <f>Table4!G17</f>
        <v>15178.188611392803</v>
      </c>
      <c r="M45" s="4247">
        <f>Table4!H17</f>
        <v>316.06074097611997</v>
      </c>
      <c r="N45" s="4259"/>
      <c r="O45" s="3783">
        <f t="shared" si="2"/>
        <v>55289.766612464286</v>
      </c>
    </row>
    <row r="46" spans="2:15" ht="18" customHeight="1" x14ac:dyDescent="0.25">
      <c r="B46" s="4245" t="s">
        <v>2045</v>
      </c>
      <c r="C46" s="4255">
        <f>Table4!C20</f>
        <v>310.34609700100651</v>
      </c>
      <c r="D46" s="4258">
        <f>Table4!D20</f>
        <v>101.37439143096563</v>
      </c>
      <c r="E46" s="4258">
        <f>Table4!E20</f>
        <v>0.36492752773778336</v>
      </c>
      <c r="F46" s="3802"/>
      <c r="G46" s="3802"/>
      <c r="H46" s="3802"/>
      <c r="I46" s="3802"/>
      <c r="J46" s="3802"/>
      <c r="K46" s="4247">
        <f>Table4!F20</f>
        <v>27.225086600944682</v>
      </c>
      <c r="L46" s="4247">
        <f>Table4!G20</f>
        <v>652.82816355361444</v>
      </c>
      <c r="M46" s="4247">
        <f>Table4!H20</f>
        <v>0.41889807161356923</v>
      </c>
      <c r="N46" s="4259"/>
      <c r="O46" s="3783">
        <f t="shared" si="2"/>
        <v>3245.5348519185568</v>
      </c>
    </row>
    <row r="47" spans="2:15" ht="18" customHeight="1" x14ac:dyDescent="0.25">
      <c r="B47" s="4245" t="s">
        <v>2046</v>
      </c>
      <c r="C47" s="4255">
        <f>Table4!C23</f>
        <v>4890.8790089352815</v>
      </c>
      <c r="D47" s="4258">
        <f>Table4!D23</f>
        <v>1.8832536000000002</v>
      </c>
      <c r="E47" s="4260">
        <f>Table4!E23</f>
        <v>8.3668072865101376E-2</v>
      </c>
      <c r="F47" s="3802"/>
      <c r="G47" s="3802"/>
      <c r="H47" s="3802"/>
      <c r="I47" s="3802"/>
      <c r="J47" s="3802"/>
      <c r="K47" s="4247">
        <f>Table4!F23</f>
        <v>1.4180451214285714</v>
      </c>
      <c r="L47" s="4247">
        <f>Table4!G23</f>
        <v>55.538543666666669</v>
      </c>
      <c r="M47" s="4247">
        <f>Table4!H23</f>
        <v>6.7134503333333342</v>
      </c>
      <c r="N47" s="1838"/>
      <c r="O47" s="3783">
        <f t="shared" si="2"/>
        <v>4965.7821490445331</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-4014.2814824961429</v>
      </c>
      <c r="D49" s="3792"/>
      <c r="E49" s="3792"/>
      <c r="F49" s="3792"/>
      <c r="G49" s="3792"/>
      <c r="H49" s="3792"/>
      <c r="I49" s="3792"/>
      <c r="J49" s="3792"/>
      <c r="K49" s="3792"/>
      <c r="L49" s="3792"/>
      <c r="M49" s="3792"/>
      <c r="N49" s="3814"/>
      <c r="O49" s="3785">
        <f t="shared" si="2"/>
        <v>-4014.2814824961429</v>
      </c>
    </row>
    <row r="50" spans="2:15" ht="18" customHeight="1" thickBot="1" x14ac:dyDescent="0.3">
      <c r="B50" s="4251" t="s">
        <v>2049</v>
      </c>
      <c r="C50" s="4264">
        <f>Table4!C30</f>
        <v>1.4609316963755554</v>
      </c>
      <c r="D50" s="4265" t="str">
        <f>Table4!D30</f>
        <v>NO</v>
      </c>
      <c r="E50" s="4265">
        <f>Table4!E30</f>
        <v>0.15863280249112216</v>
      </c>
      <c r="F50" s="3807"/>
      <c r="G50" s="3807"/>
      <c r="H50" s="3807"/>
      <c r="I50" s="3807"/>
      <c r="J50" s="3807"/>
      <c r="K50" s="4266" t="str">
        <f>Table4!F30</f>
        <v>NO</v>
      </c>
      <c r="L50" s="4266" t="str">
        <f>Table4!G30</f>
        <v>NO</v>
      </c>
      <c r="M50" s="4266" t="str">
        <f>Table4!H30</f>
        <v>NO</v>
      </c>
      <c r="N50" s="4266" t="s">
        <v>2146</v>
      </c>
      <c r="O50" s="3798">
        <f t="shared" si="2"/>
        <v>43.498624356522924</v>
      </c>
    </row>
    <row r="51" spans="2:15" ht="18" customHeight="1" x14ac:dyDescent="0.25">
      <c r="B51" s="1377" t="s">
        <v>1500</v>
      </c>
      <c r="C51" s="3815">
        <f>Table5!C10</f>
        <v>30.629801780740696</v>
      </c>
      <c r="D51" s="3799">
        <f>Table5!D10</f>
        <v>496.11823830946025</v>
      </c>
      <c r="E51" s="3800">
        <f>Table5!E10</f>
        <v>1.2812867753564194</v>
      </c>
      <c r="F51" s="3801"/>
      <c r="G51" s="3801"/>
      <c r="H51" s="3801"/>
      <c r="I51" s="3801"/>
      <c r="J51" s="3801"/>
      <c r="K51" s="4243" t="str">
        <f>Table5!F10</f>
        <v>NO</v>
      </c>
      <c r="L51" s="4243" t="str">
        <f>Table5!G10</f>
        <v>NO</v>
      </c>
      <c r="M51" s="4243">
        <f>Table5!H10</f>
        <v>240.47773021044753</v>
      </c>
      <c r="N51" s="4244" t="str">
        <f>Table5!I10</f>
        <v>NO</v>
      </c>
      <c r="O51" s="4267">
        <f t="shared" si="2"/>
        <v>14261.481469915079</v>
      </c>
    </row>
    <row r="52" spans="2:15" ht="18" customHeight="1" x14ac:dyDescent="0.25">
      <c r="B52" s="4245" t="s">
        <v>2050</v>
      </c>
      <c r="C52" s="4248"/>
      <c r="D52" s="4246">
        <f>Table5!D11</f>
        <v>398.53660758000001</v>
      </c>
      <c r="E52" s="3816"/>
      <c r="F52" s="3801"/>
      <c r="G52" s="3801"/>
      <c r="H52" s="3801"/>
      <c r="I52" s="3801"/>
      <c r="J52" s="3801"/>
      <c r="K52" s="4247" t="str">
        <f>Table5!F11</f>
        <v>NO</v>
      </c>
      <c r="L52" s="4247" t="str">
        <f>Table5!G11</f>
        <v>NO</v>
      </c>
      <c r="M52" s="4247">
        <f>Table5!H11</f>
        <v>2.9817597403051725</v>
      </c>
      <c r="N52" s="3803"/>
      <c r="O52" s="4267">
        <f t="shared" si="2"/>
        <v>11159.025012239999</v>
      </c>
    </row>
    <row r="53" spans="2:15" ht="18" customHeight="1" x14ac:dyDescent="0.25">
      <c r="B53" s="4245" t="s">
        <v>1501</v>
      </c>
      <c r="C53" s="4248"/>
      <c r="D53" s="4246">
        <f>Table5!D15</f>
        <v>4.0213965150000002</v>
      </c>
      <c r="E53" s="4246">
        <f>Table5!E15</f>
        <v>0.51473875392000001</v>
      </c>
      <c r="F53" s="3802"/>
      <c r="G53" s="3802"/>
      <c r="H53" s="3802"/>
      <c r="I53" s="3802"/>
      <c r="J53" s="3802"/>
      <c r="K53" s="4247" t="str">
        <f>Table5!F15</f>
        <v>NA,NE</v>
      </c>
      <c r="L53" s="4247" t="str">
        <f>Table5!G15</f>
        <v>NA,NE</v>
      </c>
      <c r="M53" s="4247" t="str">
        <f>Table5!H15</f>
        <v>NA,NE</v>
      </c>
      <c r="N53" s="3803"/>
      <c r="O53" s="3782">
        <f t="shared" si="2"/>
        <v>249.00487220880001</v>
      </c>
    </row>
    <row r="54" spans="2:15" ht="18" customHeight="1" x14ac:dyDescent="0.25">
      <c r="B54" s="4245" t="s">
        <v>2051</v>
      </c>
      <c r="C54" s="4268">
        <f>Table5!C18</f>
        <v>30.629801780740696</v>
      </c>
      <c r="D54" s="4226" t="str">
        <f>Table5!D18</f>
        <v>NO,NE</v>
      </c>
      <c r="E54" s="4226" t="str">
        <f>Table5!E18</f>
        <v>NO,NE</v>
      </c>
      <c r="F54" s="3802"/>
      <c r="G54" s="3802"/>
      <c r="H54" s="3802"/>
      <c r="I54" s="3802"/>
      <c r="J54" s="3802"/>
      <c r="K54" s="4247" t="str">
        <f>Table5!F18</f>
        <v>NA</v>
      </c>
      <c r="L54" s="4247" t="str">
        <f>Table5!G18</f>
        <v>NA</v>
      </c>
      <c r="M54" s="4247" t="str">
        <f>Table5!H18</f>
        <v>NA</v>
      </c>
      <c r="N54" s="4269" t="str">
        <f>Table5!I18</f>
        <v>NA</v>
      </c>
      <c r="O54" s="4270">
        <f t="shared" si="2"/>
        <v>30.629801780740696</v>
      </c>
    </row>
    <row r="55" spans="2:15" ht="18" customHeight="1" x14ac:dyDescent="0.25">
      <c r="B55" s="4245" t="s">
        <v>1502</v>
      </c>
      <c r="C55" s="3791"/>
      <c r="D55" s="4226">
        <f>Table5!D21</f>
        <v>93.560234214460223</v>
      </c>
      <c r="E55" s="4226">
        <f>Table5!E21</f>
        <v>0.76654802143641942</v>
      </c>
      <c r="F55" s="3802"/>
      <c r="G55" s="3802"/>
      <c r="H55" s="3802"/>
      <c r="I55" s="3802"/>
      <c r="J55" s="3802"/>
      <c r="K55" s="4247" t="str">
        <f>Table5!F21</f>
        <v>NO</v>
      </c>
      <c r="L55" s="4247" t="str">
        <f>Table5!G21</f>
        <v>NO</v>
      </c>
      <c r="M55" s="4247">
        <f>Table5!H21</f>
        <v>237.49597047014237</v>
      </c>
      <c r="N55" s="3803"/>
      <c r="O55" s="4270">
        <f t="shared" si="2"/>
        <v>2822.8217836855374</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12918.575500000003</v>
      </c>
      <c r="D61" s="3820">
        <f>Table1!D52</f>
        <v>0.25406020953488373</v>
      </c>
      <c r="E61" s="3820">
        <f>Table1!E52</f>
        <v>0.1202110280188005</v>
      </c>
      <c r="F61" s="628"/>
      <c r="G61" s="628"/>
      <c r="H61" s="628"/>
      <c r="I61" s="628"/>
      <c r="J61" s="628"/>
      <c r="K61" s="3820">
        <f>Table1!F52</f>
        <v>119.29784030521665</v>
      </c>
      <c r="L61" s="3820">
        <f>Table1!G52</f>
        <v>18.213577808470014</v>
      </c>
      <c r="M61" s="3820">
        <f>Table1!H52</f>
        <v>10.025003061122645</v>
      </c>
      <c r="N61" s="3821">
        <f>Table1!I52</f>
        <v>41.918449800269912</v>
      </c>
      <c r="O61" s="4267">
        <f t="shared" ref="O61:O67" si="4">IF(SUM(C61:J61)=0,"NO",SUM(C61,F61:H61)+28*SUM(D61)+265*SUM(E61)+23500*SUM(I61)+16100*SUM(J61))</f>
        <v>12957.545108291961</v>
      </c>
    </row>
    <row r="62" spans="2:15" ht="18" customHeight="1" x14ac:dyDescent="0.25">
      <c r="B62" s="1371" t="s">
        <v>111</v>
      </c>
      <c r="C62" s="4279">
        <f>Table1!C53</f>
        <v>10472.016000000001</v>
      </c>
      <c r="D62" s="4233">
        <f>Table1!D53</f>
        <v>2.0785209534883727E-2</v>
      </c>
      <c r="E62" s="4233">
        <f>Table1!E53</f>
        <v>5.3561028018800499E-2</v>
      </c>
      <c r="F62" s="628"/>
      <c r="G62" s="628"/>
      <c r="H62" s="628"/>
      <c r="I62" s="628"/>
      <c r="J62" s="2135"/>
      <c r="K62" s="4233">
        <f>Table1!F53</f>
        <v>53.347140305216648</v>
      </c>
      <c r="L62" s="4233">
        <f>Table1!G53</f>
        <v>16.549142808470013</v>
      </c>
      <c r="M62" s="4233">
        <f>Table1!H53</f>
        <v>7.9538330611226442</v>
      </c>
      <c r="N62" s="4234">
        <f>Table1!I53</f>
        <v>1.2337720000000003</v>
      </c>
      <c r="O62" s="3782">
        <f t="shared" si="4"/>
        <v>10486.791658291961</v>
      </c>
    </row>
    <row r="63" spans="2:15" ht="18" customHeight="1" x14ac:dyDescent="0.25">
      <c r="B63" s="1380" t="s">
        <v>1503</v>
      </c>
      <c r="C63" s="4279">
        <f>Table1!C54</f>
        <v>2446.5595000000003</v>
      </c>
      <c r="D63" s="4219">
        <f>Table1!D54</f>
        <v>0.23327500000000001</v>
      </c>
      <c r="E63" s="4219">
        <f>Table1!E54</f>
        <v>6.6650000000000001E-2</v>
      </c>
      <c r="F63" s="628"/>
      <c r="G63" s="628"/>
      <c r="H63" s="628"/>
      <c r="I63" s="628"/>
      <c r="J63" s="628"/>
      <c r="K63" s="4219">
        <f>Table1!F54</f>
        <v>65.950700000000012</v>
      </c>
      <c r="L63" s="4219">
        <f>Table1!G54</f>
        <v>1.6644350000000001</v>
      </c>
      <c r="M63" s="4219">
        <f>Table1!H54</f>
        <v>2.0711700000000004</v>
      </c>
      <c r="N63" s="4220">
        <f>Table1!I54</f>
        <v>40.68467780026991</v>
      </c>
      <c r="O63" s="3783">
        <f t="shared" si="4"/>
        <v>2470.7534500000002</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16595.144805259486</v>
      </c>
      <c r="D65" s="3823"/>
      <c r="E65" s="3823"/>
      <c r="F65" s="3824"/>
      <c r="G65" s="3824"/>
      <c r="H65" s="3824"/>
      <c r="I65" s="3824"/>
      <c r="J65" s="3823"/>
      <c r="K65" s="3823"/>
      <c r="L65" s="3823"/>
      <c r="M65" s="3823"/>
      <c r="N65" s="3825"/>
      <c r="O65" s="3812">
        <f t="shared" si="4"/>
        <v>16595.144805259486</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-287558.61443071772</v>
      </c>
      <c r="D67" s="3824"/>
      <c r="E67" s="3824"/>
      <c r="F67" s="3828"/>
      <c r="G67" s="3824"/>
      <c r="H67" s="3824"/>
      <c r="I67" s="3824"/>
      <c r="J67" s="3824"/>
      <c r="K67" s="3824"/>
      <c r="L67" s="3824"/>
      <c r="M67" s="3824"/>
      <c r="N67" s="3829"/>
      <c r="O67" s="3785">
        <f t="shared" si="4"/>
        <v>-287558.61443071772</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409527.10068648926</v>
      </c>
      <c r="D10" s="4213">
        <f>IFERROR(Summary1!D10*28,Summary1!D10)</f>
        <v>138400.25247842402</v>
      </c>
      <c r="E10" s="4213">
        <f>IFERROR(Summary1!E10*265,Summary1!E10)</f>
        <v>22950.031127667891</v>
      </c>
      <c r="F10" s="4213">
        <f>Summary1!F10</f>
        <v>7816.4186628708076</v>
      </c>
      <c r="G10" s="4213">
        <f>Summary1!G10</f>
        <v>265.12979067717396</v>
      </c>
      <c r="H10" s="4213" t="str">
        <f>Summary1!H10</f>
        <v>NO</v>
      </c>
      <c r="I10" s="4288">
        <f>IFERROR(Summary1!I10*23500,Summary1!I10)</f>
        <v>118.51069108917443</v>
      </c>
      <c r="J10" s="4289" t="str">
        <f>IFERROR(Summary1!J10*16100,Summary1!J10)</f>
        <v>NO</v>
      </c>
      <c r="K10" s="4214">
        <f>IF(SUM(C10:J10)=0,"NO",SUM(C10:J10))</f>
        <v>579077.44343721832</v>
      </c>
    </row>
    <row r="11" spans="2:12" ht="18" customHeight="1" x14ac:dyDescent="0.2">
      <c r="B11" s="1550" t="s">
        <v>1476</v>
      </c>
      <c r="C11" s="4253">
        <f>Summary1!C11</f>
        <v>383050.65741161257</v>
      </c>
      <c r="D11" s="4253">
        <f>IFERROR(Summary1!D11*28,Summary1!D11)</f>
        <v>38391.966544797193</v>
      </c>
      <c r="E11" s="4253">
        <f>IFERROR(Summary1!E11*265,Summary1!E11)</f>
        <v>3262.6606730806543</v>
      </c>
      <c r="F11" s="1929"/>
      <c r="G11" s="1929"/>
      <c r="H11" s="1930"/>
      <c r="I11" s="1930"/>
      <c r="J11" s="627"/>
      <c r="K11" s="4290">
        <f t="shared" ref="K11:K55" si="0">IF(SUM(C11:J11)=0,"NO",SUM(C11:J11))</f>
        <v>424705.2846294904</v>
      </c>
      <c r="L11" s="19"/>
    </row>
    <row r="12" spans="2:12" ht="18" customHeight="1" x14ac:dyDescent="0.2">
      <c r="B12" s="620" t="s">
        <v>131</v>
      </c>
      <c r="C12" s="4247">
        <f>Summary1!C12</f>
        <v>374763.66058025236</v>
      </c>
      <c r="D12" s="4247">
        <f>IFERROR(Summary1!D12*28,Summary1!D12)</f>
        <v>2228.6060426216468</v>
      </c>
      <c r="E12" s="4247">
        <f>IFERROR(Summary1!E12*265,Summary1!E12)</f>
        <v>3232.2850089168578</v>
      </c>
      <c r="F12" s="628"/>
      <c r="G12" s="628"/>
      <c r="H12" s="628"/>
      <c r="I12" s="69"/>
      <c r="J12" s="69"/>
      <c r="K12" s="4291">
        <f t="shared" si="0"/>
        <v>380224.55163179088</v>
      </c>
      <c r="L12" s="19"/>
    </row>
    <row r="13" spans="2:12" ht="18" customHeight="1" x14ac:dyDescent="0.2">
      <c r="B13" s="1392" t="s">
        <v>1478</v>
      </c>
      <c r="C13" s="4247">
        <f>Summary1!C13</f>
        <v>221066.87190972728</v>
      </c>
      <c r="D13" s="4247">
        <f>IFERROR(Summary1!D13*28,Summary1!D13)</f>
        <v>611.96213452505788</v>
      </c>
      <c r="E13" s="4247">
        <f>IFERROR(Summary1!E13*265,Summary1!E13)</f>
        <v>1093.1890341120561</v>
      </c>
      <c r="F13" s="628"/>
      <c r="G13" s="628"/>
      <c r="H13" s="628"/>
      <c r="I13" s="69"/>
      <c r="J13" s="69"/>
      <c r="K13" s="4291">
        <f t="shared" si="0"/>
        <v>222772.02307836441</v>
      </c>
      <c r="L13" s="19"/>
    </row>
    <row r="14" spans="2:12" ht="18" customHeight="1" x14ac:dyDescent="0.2">
      <c r="B14" s="1392" t="s">
        <v>1517</v>
      </c>
      <c r="C14" s="4247">
        <f>Summary1!C14</f>
        <v>42444.02596621681</v>
      </c>
      <c r="D14" s="4247">
        <f>IFERROR(Summary1!D14*28,Summary1!D14)</f>
        <v>66.805629414550651</v>
      </c>
      <c r="E14" s="4247">
        <f>IFERROR(Summary1!E14*265,Summary1!E14)</f>
        <v>364.39067372136594</v>
      </c>
      <c r="F14" s="628"/>
      <c r="G14" s="628"/>
      <c r="H14" s="628"/>
      <c r="I14" s="69"/>
      <c r="J14" s="69"/>
      <c r="K14" s="4291">
        <f t="shared" si="0"/>
        <v>42875.222269352729</v>
      </c>
      <c r="L14" s="19"/>
    </row>
    <row r="15" spans="2:12" ht="18" customHeight="1" x14ac:dyDescent="0.2">
      <c r="B15" s="1392" t="s">
        <v>1480</v>
      </c>
      <c r="C15" s="4247">
        <f>Summary1!C15</f>
        <v>89768.612818043563</v>
      </c>
      <c r="D15" s="4247">
        <f>IFERROR(Summary1!D15*28,Summary1!D15)</f>
        <v>450.04314904211043</v>
      </c>
      <c r="E15" s="4247">
        <f>IFERROR(Summary1!E15*265,Summary1!E15)</f>
        <v>1591.74689260429</v>
      </c>
      <c r="F15" s="628"/>
      <c r="G15" s="628"/>
      <c r="H15" s="628"/>
      <c r="I15" s="69"/>
      <c r="J15" s="69"/>
      <c r="K15" s="4291">
        <f t="shared" si="0"/>
        <v>91810.402859689959</v>
      </c>
      <c r="L15" s="19"/>
    </row>
    <row r="16" spans="2:12" ht="18" customHeight="1" x14ac:dyDescent="0.2">
      <c r="B16" s="1392" t="s">
        <v>1481</v>
      </c>
      <c r="C16" s="4247">
        <f>Summary1!C16</f>
        <v>20619.975763741699</v>
      </c>
      <c r="D16" s="4247">
        <f>IFERROR(Summary1!D16*28,Summary1!D16)</f>
        <v>1098.9092607630903</v>
      </c>
      <c r="E16" s="4247">
        <f>IFERROR(Summary1!E16*265,Summary1!E16)</f>
        <v>176.48563194144288</v>
      </c>
      <c r="F16" s="628"/>
      <c r="G16" s="628"/>
      <c r="H16" s="628"/>
      <c r="I16" s="69"/>
      <c r="J16" s="69"/>
      <c r="K16" s="4291">
        <f t="shared" si="0"/>
        <v>21895.370656446234</v>
      </c>
      <c r="L16" s="19"/>
    </row>
    <row r="17" spans="2:12" ht="18" customHeight="1" x14ac:dyDescent="0.2">
      <c r="B17" s="1392" t="s">
        <v>1482</v>
      </c>
      <c r="C17" s="4247">
        <f>Summary1!C17</f>
        <v>864.17412252301733</v>
      </c>
      <c r="D17" s="4247">
        <f>IFERROR(Summary1!D17*28,Summary1!D17)</f>
        <v>0.88586887683750382</v>
      </c>
      <c r="E17" s="4247">
        <f>IFERROR(Summary1!E17*265,Summary1!E17)</f>
        <v>6.472776537702706</v>
      </c>
      <c r="F17" s="628"/>
      <c r="G17" s="628"/>
      <c r="H17" s="628"/>
      <c r="I17" s="69"/>
      <c r="J17" s="69"/>
      <c r="K17" s="4291">
        <f t="shared" si="0"/>
        <v>871.53276793755754</v>
      </c>
      <c r="L17" s="19"/>
    </row>
    <row r="18" spans="2:12" ht="18" customHeight="1" x14ac:dyDescent="0.2">
      <c r="B18" s="620" t="s">
        <v>99</v>
      </c>
      <c r="C18" s="4247">
        <f>Summary1!C18</f>
        <v>8286.996831360193</v>
      </c>
      <c r="D18" s="4247">
        <f>IFERROR(Summary1!D18*28,Summary1!D18)</f>
        <v>36163.360502175543</v>
      </c>
      <c r="E18" s="4247">
        <f>IFERROR(Summary1!E18*265,Summary1!E18)</f>
        <v>30.375664163796426</v>
      </c>
      <c r="F18" s="628"/>
      <c r="G18" s="628"/>
      <c r="H18" s="628"/>
      <c r="I18" s="69"/>
      <c r="J18" s="69"/>
      <c r="K18" s="4291">
        <f t="shared" si="0"/>
        <v>44480.732997699532</v>
      </c>
      <c r="L18" s="19"/>
    </row>
    <row r="19" spans="2:12" ht="18" customHeight="1" x14ac:dyDescent="0.2">
      <c r="B19" s="1392" t="s">
        <v>1483</v>
      </c>
      <c r="C19" s="4247">
        <f>Summary1!C19</f>
        <v>1580.216366257682</v>
      </c>
      <c r="D19" s="4247">
        <f>IFERROR(Summary1!D19*28,Summary1!D19)</f>
        <v>29999.087913618678</v>
      </c>
      <c r="E19" s="4247">
        <f>IFERROR(Summary1!E19*265,Summary1!E19)</f>
        <v>9.3634103224227161E-2</v>
      </c>
      <c r="F19" s="628"/>
      <c r="G19" s="628"/>
      <c r="H19" s="628"/>
      <c r="I19" s="69"/>
      <c r="J19" s="69"/>
      <c r="K19" s="4291">
        <f t="shared" si="0"/>
        <v>31579.397913979585</v>
      </c>
      <c r="L19" s="19"/>
    </row>
    <row r="20" spans="2:12" ht="18" customHeight="1" x14ac:dyDescent="0.2">
      <c r="B20" s="1393" t="s">
        <v>1484</v>
      </c>
      <c r="C20" s="4247">
        <f>Summary1!C20</f>
        <v>6706.7804651025117</v>
      </c>
      <c r="D20" s="4247">
        <f>IFERROR(Summary1!D20*28,Summary1!D20)</f>
        <v>6164.2725885568689</v>
      </c>
      <c r="E20" s="4247">
        <f>IFERROR(Summary1!E20*265,Summary1!E20)</f>
        <v>30.2820300605722</v>
      </c>
      <c r="F20" s="628"/>
      <c r="G20" s="628"/>
      <c r="H20" s="628"/>
      <c r="I20" s="69"/>
      <c r="J20" s="69"/>
      <c r="K20" s="4291">
        <f t="shared" si="0"/>
        <v>12901.335083719952</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21453.369801551238</v>
      </c>
      <c r="D22" s="4253">
        <f>IFERROR(Summary1!D22*28,Summary1!D22)</f>
        <v>84.36570459072</v>
      </c>
      <c r="E22" s="4253">
        <f>IFERROR(Summary1!E22*265,Summary1!E22)</f>
        <v>2158.2144264774756</v>
      </c>
      <c r="F22" s="4253">
        <f>Summary1!F22</f>
        <v>7816.4186628708076</v>
      </c>
      <c r="G22" s="4253">
        <f>Summary1!G22</f>
        <v>265.12979067717396</v>
      </c>
      <c r="H22" s="4253" t="str">
        <f>Summary1!H22</f>
        <v>NO</v>
      </c>
      <c r="I22" s="4253">
        <f>IFERROR(Summary1!I22*23500,Summary1!I22)</f>
        <v>118.51069108917443</v>
      </c>
      <c r="J22" s="4293" t="str">
        <f>IFERROR(Summary1!J22*16100,Summary1!J22)</f>
        <v>NO</v>
      </c>
      <c r="K22" s="4290">
        <f t="shared" si="0"/>
        <v>31896.009077256589</v>
      </c>
      <c r="L22" s="19"/>
    </row>
    <row r="23" spans="2:12" ht="18" customHeight="1" x14ac:dyDescent="0.2">
      <c r="B23" s="1394" t="s">
        <v>1487</v>
      </c>
      <c r="C23" s="4247">
        <f>Summary1!C23</f>
        <v>6411.4761811194594</v>
      </c>
      <c r="D23" s="628"/>
      <c r="E23" s="628"/>
      <c r="F23" s="628"/>
      <c r="G23" s="628"/>
      <c r="H23" s="628"/>
      <c r="I23" s="69"/>
      <c r="J23" s="69"/>
      <c r="K23" s="4291">
        <f t="shared" si="0"/>
        <v>6411.4761811194594</v>
      </c>
      <c r="L23" s="19"/>
    </row>
    <row r="24" spans="2:12" ht="18" customHeight="1" x14ac:dyDescent="0.2">
      <c r="B24" s="1394" t="s">
        <v>621</v>
      </c>
      <c r="C24" s="4247">
        <f>Summary1!C24</f>
        <v>3232.4615421484659</v>
      </c>
      <c r="D24" s="4247">
        <f>IFERROR(Summary1!D24*28,Summary1!D24)</f>
        <v>16.177380800000002</v>
      </c>
      <c r="E24" s="4247">
        <f>IFERROR(Summary1!E24*265,Summary1!E24)</f>
        <v>2141.1576904064573</v>
      </c>
      <c r="F24" s="1924" t="str">
        <f>Summary1!F24</f>
        <v>NO</v>
      </c>
      <c r="G24" s="1924" t="str">
        <f>Summary1!G24</f>
        <v>NO</v>
      </c>
      <c r="H24" s="1924" t="str">
        <f>Summary1!H24</f>
        <v>NO</v>
      </c>
      <c r="I24" s="616" t="str">
        <f>IFERROR(Summary1!I24*23500,Summary1!I24)</f>
        <v>NO</v>
      </c>
      <c r="J24" s="616" t="str">
        <f>IFERROR(Summary1!J24*16100,Summary1!J24)</f>
        <v>NO</v>
      </c>
      <c r="K24" s="4291">
        <f t="shared" si="0"/>
        <v>5389.7966133549235</v>
      </c>
      <c r="L24" s="19"/>
    </row>
    <row r="25" spans="2:12" ht="18" customHeight="1" x14ac:dyDescent="0.2">
      <c r="B25" s="1394" t="s">
        <v>459</v>
      </c>
      <c r="C25" s="4247">
        <f>Summary1!C25</f>
        <v>11398.781007211961</v>
      </c>
      <c r="D25" s="4247">
        <f>IFERROR(Summary1!D25*28,Summary1!D25)</f>
        <v>68.188323790720005</v>
      </c>
      <c r="E25" s="4247">
        <f>IFERROR(Summary1!E25*265,Summary1!E25)</f>
        <v>17.056736071018573</v>
      </c>
      <c r="F25" s="1924" t="str">
        <f>Summary1!F25</f>
        <v>NO</v>
      </c>
      <c r="G25" s="4247">
        <f>Summary1!G25</f>
        <v>265.12979067717396</v>
      </c>
      <c r="H25" s="4247" t="str">
        <f>Summary1!H25</f>
        <v>NO</v>
      </c>
      <c r="I25" s="4247" t="str">
        <f>IFERROR(Summary1!I25*23500,Summary1!I25)</f>
        <v>NO</v>
      </c>
      <c r="J25" s="4247" t="str">
        <f>IFERROR(Summary1!J25*16100,Summary1!J25)</f>
        <v>NO</v>
      </c>
      <c r="K25" s="4291">
        <f t="shared" si="0"/>
        <v>11749.155857750875</v>
      </c>
      <c r="L25" s="19"/>
    </row>
    <row r="26" spans="2:12" ht="18" customHeight="1" x14ac:dyDescent="0.2">
      <c r="B26" s="1395" t="s">
        <v>1519</v>
      </c>
      <c r="C26" s="4247">
        <f>Summary1!C26</f>
        <v>192.64508823</v>
      </c>
      <c r="D26" s="4247" t="str">
        <f>IFERROR(Summary1!D26*28,Summary1!D26)</f>
        <v>NO</v>
      </c>
      <c r="E26" s="4247" t="str">
        <f>IFERROR(Summary1!E26*265,Summary1!E26)</f>
        <v>NO</v>
      </c>
      <c r="F26" s="628"/>
      <c r="G26" s="628"/>
      <c r="H26" s="628"/>
      <c r="I26" s="69"/>
      <c r="J26" s="69"/>
      <c r="K26" s="4291">
        <f t="shared" si="0"/>
        <v>192.64508823</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7816.4186628708076</v>
      </c>
      <c r="G28" s="4247" t="str">
        <f>Summary1!G28</f>
        <v>NO</v>
      </c>
      <c r="H28" s="4247" t="str">
        <f>Summary1!H28</f>
        <v>NO</v>
      </c>
      <c r="I28" s="4247" t="str">
        <f>IFERROR(Summary1!I28*23500,Summary1!I28)</f>
        <v>NO</v>
      </c>
      <c r="J28" s="4247" t="str">
        <f>IFERROR(Summary1!J28*16100,Summary1!J28)</f>
        <v>NO</v>
      </c>
      <c r="K28" s="4291">
        <f t="shared" si="0"/>
        <v>7816.4186628708076</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118.51069108917443</v>
      </c>
      <c r="J29" s="4247" t="str">
        <f>IFERROR(Summary1!J29*16100,Summary1!J29)</f>
        <v>NO</v>
      </c>
      <c r="K29" s="4291">
        <f t="shared" si="0"/>
        <v>118.51069108917443</v>
      </c>
      <c r="L29" s="19"/>
    </row>
    <row r="30" spans="2:12" ht="18" customHeight="1" thickBot="1" x14ac:dyDescent="0.25">
      <c r="B30" s="1407" t="s">
        <v>1523</v>
      </c>
      <c r="C30" s="4266">
        <f>Summary1!C30</f>
        <v>218.00598284134924</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218.00598284134924</v>
      </c>
      <c r="L30" s="19"/>
    </row>
    <row r="31" spans="2:12" ht="18" customHeight="1" x14ac:dyDescent="0.2">
      <c r="B31" s="772" t="s">
        <v>1491</v>
      </c>
      <c r="C31" s="4253">
        <f>Summary1!C31</f>
        <v>2045.0737274324219</v>
      </c>
      <c r="D31" s="4253">
        <f>IFERROR(Summary1!D31*28,Summary1!D31)</f>
        <v>67120.771126773994</v>
      </c>
      <c r="E31" s="4253">
        <f>IFERROR(Summary1!E31*265,Summary1!E31)</f>
        <v>12276.929759639343</v>
      </c>
      <c r="F31" s="1929"/>
      <c r="G31" s="1929"/>
      <c r="H31" s="1929"/>
      <c r="I31" s="4215"/>
      <c r="J31" s="627"/>
      <c r="K31" s="4290">
        <f t="shared" si="0"/>
        <v>81442.774613845759</v>
      </c>
      <c r="L31" s="19"/>
    </row>
    <row r="32" spans="2:12" ht="18" customHeight="1" x14ac:dyDescent="0.2">
      <c r="B32" s="620" t="s">
        <v>1492</v>
      </c>
      <c r="C32" s="628"/>
      <c r="D32" s="4247">
        <f>IFERROR(Summary1!D32*28,Summary1!D32)</f>
        <v>59481.05033928981</v>
      </c>
      <c r="E32" s="628"/>
      <c r="F32" s="628"/>
      <c r="G32" s="628"/>
      <c r="H32" s="628"/>
      <c r="I32" s="69"/>
      <c r="J32" s="69"/>
      <c r="K32" s="4291">
        <f t="shared" si="0"/>
        <v>59481.05033928981</v>
      </c>
      <c r="L32" s="19"/>
    </row>
    <row r="33" spans="2:12" ht="18" customHeight="1" x14ac:dyDescent="0.2">
      <c r="B33" s="620" t="s">
        <v>1493</v>
      </c>
      <c r="C33" s="628"/>
      <c r="D33" s="4247">
        <f>IFERROR(Summary1!D33*28,Summary1!D33)</f>
        <v>6896.1828749722063</v>
      </c>
      <c r="E33" s="4247">
        <f>IFERROR(Summary1!E33*265,Summary1!E33)</f>
        <v>432.16848678751478</v>
      </c>
      <c r="F33" s="628"/>
      <c r="G33" s="628"/>
      <c r="H33" s="628"/>
      <c r="I33" s="69"/>
      <c r="J33" s="69"/>
      <c r="K33" s="4291">
        <f t="shared" si="0"/>
        <v>7328.3513617597209</v>
      </c>
      <c r="L33" s="19"/>
    </row>
    <row r="34" spans="2:12" ht="18" customHeight="1" x14ac:dyDescent="0.2">
      <c r="B34" s="620" t="s">
        <v>1494</v>
      </c>
      <c r="C34" s="628"/>
      <c r="D34" s="4247">
        <f>IFERROR(Summary1!D34*28,Summary1!D34)</f>
        <v>458.77925800000003</v>
      </c>
      <c r="E34" s="628"/>
      <c r="F34" s="628"/>
      <c r="G34" s="628"/>
      <c r="H34" s="628"/>
      <c r="I34" s="69"/>
      <c r="J34" s="69"/>
      <c r="K34" s="4291">
        <f t="shared" si="0"/>
        <v>458.77925800000003</v>
      </c>
      <c r="L34" s="19"/>
    </row>
    <row r="35" spans="2:12" ht="18" customHeight="1" x14ac:dyDescent="0.2">
      <c r="B35" s="620" t="s">
        <v>1495</v>
      </c>
      <c r="C35" s="4294"/>
      <c r="D35" s="4247" t="str">
        <f>IFERROR(Summary1!D35*28,Summary1!D35)</f>
        <v>NE</v>
      </c>
      <c r="E35" s="4247">
        <f>IFERROR(Summary1!E35*265,Summary1!E35)</f>
        <v>11732.268995815084</v>
      </c>
      <c r="F35" s="628"/>
      <c r="G35" s="628"/>
      <c r="H35" s="628"/>
      <c r="I35" s="69"/>
      <c r="J35" s="69"/>
      <c r="K35" s="4291">
        <f t="shared" si="0"/>
        <v>11732.268995815084</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284.75865451199093</v>
      </c>
      <c r="E37" s="4247">
        <f>IFERROR(Summary1!E37*265,Summary1!E37)</f>
        <v>112.49227703674494</v>
      </c>
      <c r="F37" s="628"/>
      <c r="G37" s="628"/>
      <c r="H37" s="628"/>
      <c r="I37" s="69"/>
      <c r="J37" s="69"/>
      <c r="K37" s="4291">
        <f t="shared" si="0"/>
        <v>397.25093154873588</v>
      </c>
      <c r="L37" s="19"/>
    </row>
    <row r="38" spans="2:12" ht="18" customHeight="1" x14ac:dyDescent="0.2">
      <c r="B38" s="620" t="s">
        <v>721</v>
      </c>
      <c r="C38" s="1924">
        <f>Summary1!C38</f>
        <v>924.61635380044606</v>
      </c>
      <c r="D38" s="4295"/>
      <c r="E38" s="4295"/>
      <c r="F38" s="628"/>
      <c r="G38" s="628"/>
      <c r="H38" s="628"/>
      <c r="I38" s="69"/>
      <c r="J38" s="69"/>
      <c r="K38" s="4291">
        <f t="shared" si="0"/>
        <v>924.61635380044606</v>
      </c>
      <c r="L38" s="19"/>
    </row>
    <row r="39" spans="2:12" ht="18" customHeight="1" x14ac:dyDescent="0.2">
      <c r="B39" s="620" t="s">
        <v>722</v>
      </c>
      <c r="C39" s="1924">
        <f>Summary1!C39</f>
        <v>1120.457373631976</v>
      </c>
      <c r="D39" s="4295"/>
      <c r="E39" s="4295"/>
      <c r="F39" s="628"/>
      <c r="G39" s="628"/>
      <c r="H39" s="628"/>
      <c r="I39" s="69"/>
      <c r="J39" s="69"/>
      <c r="K39" s="4291">
        <f t="shared" si="0"/>
        <v>1120.457373631976</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2947.3699441123108</v>
      </c>
      <c r="D42" s="1927">
        <f>IFERROR(Summary1!D42*28,Summary1!D42)</f>
        <v>18911.838429597232</v>
      </c>
      <c r="E42" s="1927">
        <f>IFERROR(Summary1!E42*265,Summary1!E42)</f>
        <v>4912.6852730009641</v>
      </c>
      <c r="F42" s="1929"/>
      <c r="G42" s="1929"/>
      <c r="H42" s="1929"/>
      <c r="I42" s="4215"/>
      <c r="J42" s="627"/>
      <c r="K42" s="4290">
        <f t="shared" si="0"/>
        <v>26771.893646710505</v>
      </c>
      <c r="L42" s="19"/>
    </row>
    <row r="43" spans="2:12" ht="18" customHeight="1" x14ac:dyDescent="0.2">
      <c r="B43" s="620" t="s">
        <v>981</v>
      </c>
      <c r="C43" s="1924">
        <f>Summary1!C43</f>
        <v>-46193.257331282068</v>
      </c>
      <c r="D43" s="1924">
        <f>IFERROR(Summary1!D43*28,Summary1!D43)</f>
        <v>8254.2641985784321</v>
      </c>
      <c r="E43" s="1924">
        <f>IFERROR(Summary1!E43*265,Summary1!E43)</f>
        <v>1696.5984124679787</v>
      </c>
      <c r="F43" s="1931"/>
      <c r="G43" s="1931"/>
      <c r="H43" s="1931"/>
      <c r="I43" s="3352"/>
      <c r="J43" s="69"/>
      <c r="K43" s="4291">
        <f t="shared" si="0"/>
        <v>-36242.39472023565</v>
      </c>
      <c r="L43" s="19"/>
    </row>
    <row r="44" spans="2:12" ht="18" customHeight="1" x14ac:dyDescent="0.2">
      <c r="B44" s="620" t="s">
        <v>984</v>
      </c>
      <c r="C44" s="1924">
        <f>Summary1!C44</f>
        <v>3415.2845572074875</v>
      </c>
      <c r="D44" s="1924">
        <f>IFERROR(Summary1!D44*28,Summary1!D44)</f>
        <v>37.317974399999997</v>
      </c>
      <c r="E44" s="1924">
        <f>IFERROR(Summary1!E44*265,Summary1!E44)</f>
        <v>31.385080050917818</v>
      </c>
      <c r="F44" s="1931"/>
      <c r="G44" s="1931"/>
      <c r="H44" s="1931"/>
      <c r="I44" s="3352"/>
      <c r="J44" s="69"/>
      <c r="K44" s="4291">
        <f t="shared" si="0"/>
        <v>3483.9876116584051</v>
      </c>
      <c r="L44" s="19"/>
    </row>
    <row r="45" spans="2:12" ht="18" customHeight="1" x14ac:dyDescent="0.2">
      <c r="B45" s="620" t="s">
        <v>987</v>
      </c>
      <c r="C45" s="1924">
        <f>Summary1!C45</f>
        <v>44536.93816305037</v>
      </c>
      <c r="D45" s="1924">
        <f>IFERROR(Summary1!D45*28,Summary1!D45)</f>
        <v>7729.0421957517619</v>
      </c>
      <c r="E45" s="1924">
        <f>IFERROR(Summary1!E45*265,Summary1!E45)</f>
        <v>3023.7862536621551</v>
      </c>
      <c r="F45" s="1931"/>
      <c r="G45" s="1931"/>
      <c r="H45" s="1931"/>
      <c r="I45" s="3352"/>
      <c r="J45" s="69"/>
      <c r="K45" s="4291">
        <f t="shared" si="0"/>
        <v>55289.766612464286</v>
      </c>
      <c r="L45" s="19"/>
    </row>
    <row r="46" spans="2:12" ht="18" customHeight="1" x14ac:dyDescent="0.2">
      <c r="B46" s="620" t="s">
        <v>1525</v>
      </c>
      <c r="C46" s="1924">
        <f>Summary1!C46</f>
        <v>310.34609700100651</v>
      </c>
      <c r="D46" s="1924">
        <f>IFERROR(Summary1!D46*28,Summary1!D46)</f>
        <v>2838.4829600670378</v>
      </c>
      <c r="E46" s="1924">
        <f>IFERROR(Summary1!E46*265,Summary1!E46)</f>
        <v>96.705794850512589</v>
      </c>
      <c r="F46" s="1931"/>
      <c r="G46" s="1931"/>
      <c r="H46" s="1931"/>
      <c r="I46" s="3352"/>
      <c r="J46" s="69"/>
      <c r="K46" s="4291">
        <f t="shared" si="0"/>
        <v>3245.5348519185568</v>
      </c>
      <c r="L46" s="19"/>
    </row>
    <row r="47" spans="2:12" ht="18" customHeight="1" x14ac:dyDescent="0.2">
      <c r="B47" s="620" t="s">
        <v>1526</v>
      </c>
      <c r="C47" s="1924">
        <f>Summary1!C47</f>
        <v>4890.8790089352815</v>
      </c>
      <c r="D47" s="1924">
        <f>IFERROR(Summary1!D47*28,Summary1!D47)</f>
        <v>52.731100800000007</v>
      </c>
      <c r="E47" s="1924">
        <f>IFERROR(Summary1!E47*265,Summary1!E47)</f>
        <v>22.172039309251865</v>
      </c>
      <c r="F47" s="1931"/>
      <c r="G47" s="1931"/>
      <c r="H47" s="1931"/>
      <c r="I47" s="3352"/>
      <c r="J47" s="69"/>
      <c r="K47" s="4291">
        <f t="shared" si="0"/>
        <v>4965.7821490445331</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-4014.2814824961429</v>
      </c>
      <c r="D49" s="3835"/>
      <c r="E49" s="3835"/>
      <c r="F49" s="1931"/>
      <c r="G49" s="1931"/>
      <c r="H49" s="1931"/>
      <c r="I49" s="3352"/>
      <c r="J49" s="69"/>
      <c r="K49" s="4291">
        <f t="shared" si="0"/>
        <v>-4014.2814824961429</v>
      </c>
      <c r="L49" s="19"/>
    </row>
    <row r="50" spans="2:12" ht="18" customHeight="1" thickBot="1" x14ac:dyDescent="0.25">
      <c r="B50" s="1552" t="s">
        <v>1529</v>
      </c>
      <c r="C50" s="1926">
        <f>Summary1!C50</f>
        <v>1.4609316963755554</v>
      </c>
      <c r="D50" s="1926" t="str">
        <f>IFERROR(Summary1!D50*28,Summary1!D50)</f>
        <v>NO</v>
      </c>
      <c r="E50" s="1926">
        <f>IFERROR(Summary1!E50*265,Summary1!E50)</f>
        <v>42.037692660147371</v>
      </c>
      <c r="F50" s="3024"/>
      <c r="G50" s="3024"/>
      <c r="H50" s="3024"/>
      <c r="I50" s="3828"/>
      <c r="J50" s="87"/>
      <c r="K50" s="4292">
        <f t="shared" si="0"/>
        <v>43.498624356522924</v>
      </c>
      <c r="L50" s="19"/>
    </row>
    <row r="51" spans="2:12" ht="18" customHeight="1" x14ac:dyDescent="0.2">
      <c r="B51" s="1550" t="s">
        <v>1500</v>
      </c>
      <c r="C51" s="1927">
        <f>Summary1!C51</f>
        <v>30.629801780740696</v>
      </c>
      <c r="D51" s="1927">
        <f>IFERROR(Summary1!D51*28,Summary1!D51)</f>
        <v>13891.310672664888</v>
      </c>
      <c r="E51" s="1927">
        <f>IFERROR(Summary1!E51*265,Summary1!E51)</f>
        <v>339.54099546945116</v>
      </c>
      <c r="F51" s="1929"/>
      <c r="G51" s="1929"/>
      <c r="H51" s="1929"/>
      <c r="I51" s="4215"/>
      <c r="J51" s="627"/>
      <c r="K51" s="4290">
        <f t="shared" si="0"/>
        <v>14261.481469915079</v>
      </c>
      <c r="L51" s="19"/>
    </row>
    <row r="52" spans="2:12" ht="18" customHeight="1" x14ac:dyDescent="0.2">
      <c r="B52" s="620" t="s">
        <v>1530</v>
      </c>
      <c r="C52" s="628"/>
      <c r="D52" s="1924">
        <f>IFERROR(Summary1!D52*28,Summary1!D52)</f>
        <v>11159.025012239999</v>
      </c>
      <c r="E52" s="1931"/>
      <c r="F52" s="628"/>
      <c r="G52" s="628"/>
      <c r="H52" s="628"/>
      <c r="I52" s="69"/>
      <c r="J52" s="69"/>
      <c r="K52" s="4291">
        <f t="shared" si="0"/>
        <v>11159.025012239999</v>
      </c>
      <c r="L52" s="19"/>
    </row>
    <row r="53" spans="2:12" ht="18" customHeight="1" x14ac:dyDescent="0.2">
      <c r="B53" s="1396" t="s">
        <v>1531</v>
      </c>
      <c r="C53" s="628"/>
      <c r="D53" s="1924">
        <f>IFERROR(Summary1!D53*28,Summary1!D53)</f>
        <v>112.59910242000001</v>
      </c>
      <c r="E53" s="1924">
        <f>IFERROR(Summary1!E53*265,Summary1!E53)</f>
        <v>136.4057697888</v>
      </c>
      <c r="F53" s="628"/>
      <c r="G53" s="628"/>
      <c r="H53" s="628"/>
      <c r="I53" s="69"/>
      <c r="J53" s="69"/>
      <c r="K53" s="4291">
        <f t="shared" si="0"/>
        <v>249.00487220880001</v>
      </c>
      <c r="L53" s="19"/>
    </row>
    <row r="54" spans="2:12" ht="18" customHeight="1" x14ac:dyDescent="0.2">
      <c r="B54" s="1397" t="s">
        <v>1532</v>
      </c>
      <c r="C54" s="1924">
        <f>Summary1!C54</f>
        <v>30.629801780740696</v>
      </c>
      <c r="D54" s="1924" t="str">
        <f>IFERROR(Summary1!D54*28,Summary1!D54)</f>
        <v>NO,NE</v>
      </c>
      <c r="E54" s="1924" t="str">
        <f>IFERROR(Summary1!E54*265,Summary1!E54)</f>
        <v>NO,NE</v>
      </c>
      <c r="F54" s="628"/>
      <c r="G54" s="628"/>
      <c r="H54" s="628"/>
      <c r="I54" s="69"/>
      <c r="J54" s="69"/>
      <c r="K54" s="4291">
        <f t="shared" si="0"/>
        <v>30.629801780740696</v>
      </c>
      <c r="L54" s="19"/>
    </row>
    <row r="55" spans="2:12" ht="18" customHeight="1" x14ac:dyDescent="0.2">
      <c r="B55" s="620" t="s">
        <v>1533</v>
      </c>
      <c r="C55" s="628"/>
      <c r="D55" s="1924">
        <f>IFERROR(Summary1!D55*28,Summary1!D55)</f>
        <v>2619.6865580048861</v>
      </c>
      <c r="E55" s="1924">
        <f>IFERROR(Summary1!E55*265,Summary1!E55)</f>
        <v>203.13522568065116</v>
      </c>
      <c r="F55" s="628"/>
      <c r="G55" s="628"/>
      <c r="H55" s="628"/>
      <c r="I55" s="69"/>
      <c r="J55" s="69"/>
      <c r="K55" s="4291">
        <f t="shared" si="0"/>
        <v>2822.8217836855374</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12918.575500000003</v>
      </c>
      <c r="D60" s="4219">
        <f>IFERROR(Summary1!D61*28,Summary1!D61)</f>
        <v>7.1136858669767449</v>
      </c>
      <c r="E60" s="4219">
        <f>IFERROR(Summary1!E61*265,Summary1!E61)</f>
        <v>31.855922424982133</v>
      </c>
      <c r="F60" s="1931"/>
      <c r="G60" s="1931"/>
      <c r="H60" s="1932"/>
      <c r="I60" s="630"/>
      <c r="J60" s="630"/>
      <c r="K60" s="4220">
        <f t="shared" ref="K60:K66" si="2">IF(SUM(C60:J60)=0,"NO",SUM(C60:J60))</f>
        <v>12957.545108291961</v>
      </c>
    </row>
    <row r="61" spans="2:12" ht="18" customHeight="1" x14ac:dyDescent="0.2">
      <c r="B61" s="1386" t="s">
        <v>111</v>
      </c>
      <c r="C61" s="4219">
        <f>Summary1!C62</f>
        <v>10472.016000000001</v>
      </c>
      <c r="D61" s="4219">
        <f>IFERROR(Summary1!D62*28,Summary1!D62)</f>
        <v>0.58198586697674437</v>
      </c>
      <c r="E61" s="4219">
        <f>IFERROR(Summary1!E62*265,Summary1!E62)</f>
        <v>14.193672424982132</v>
      </c>
      <c r="F61" s="628"/>
      <c r="G61" s="628"/>
      <c r="H61" s="628"/>
      <c r="I61" s="631"/>
      <c r="J61" s="631"/>
      <c r="K61" s="4234">
        <f t="shared" si="2"/>
        <v>10486.791658291961</v>
      </c>
    </row>
    <row r="62" spans="2:12" ht="18" customHeight="1" x14ac:dyDescent="0.2">
      <c r="B62" s="1387" t="s">
        <v>1503</v>
      </c>
      <c r="C62" s="4219">
        <f>Summary1!C63</f>
        <v>2446.5595000000003</v>
      </c>
      <c r="D62" s="4219">
        <f>IFERROR(Summary1!D63*28,Summary1!D63)</f>
        <v>6.5317000000000007</v>
      </c>
      <c r="E62" s="4219">
        <f>IFERROR(Summary1!E63*265,Summary1!E63)</f>
        <v>17.66225</v>
      </c>
      <c r="F62" s="628"/>
      <c r="G62" s="628"/>
      <c r="H62" s="628"/>
      <c r="I62" s="632"/>
      <c r="J62" s="632"/>
      <c r="K62" s="4220">
        <f t="shared" si="2"/>
        <v>2470.7534500000002</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16595.144805259486</v>
      </c>
      <c r="D64" s="1931"/>
      <c r="E64" s="1931"/>
      <c r="F64" s="1931"/>
      <c r="G64" s="1931"/>
      <c r="H64" s="1931"/>
      <c r="I64" s="3352"/>
      <c r="J64" s="3352"/>
      <c r="K64" s="3821">
        <f t="shared" si="2"/>
        <v>16595.144805259486</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-287558.61443071772</v>
      </c>
      <c r="D66" s="4301"/>
      <c r="E66" s="4301"/>
      <c r="F66" s="4301"/>
      <c r="G66" s="4301"/>
      <c r="H66" s="4301"/>
      <c r="I66" s="3824"/>
      <c r="J66" s="3824"/>
      <c r="K66" s="4302">
        <f t="shared" si="2"/>
        <v>-287558.61443071772</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552305.54979050776</v>
      </c>
      <c r="N71" s="1126"/>
    </row>
    <row r="72" spans="2:14" s="634" customFormat="1" ht="18" customHeight="1" x14ac:dyDescent="0.25">
      <c r="B72" s="637"/>
      <c r="C72" s="638"/>
      <c r="D72" s="638"/>
      <c r="E72" s="638"/>
      <c r="F72" s="638"/>
      <c r="G72" s="638"/>
      <c r="H72" s="638"/>
      <c r="I72" s="638"/>
      <c r="J72" s="2553" t="s">
        <v>2122</v>
      </c>
      <c r="K72" s="3821">
        <f>K10</f>
        <v>579077.44343721832</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786243.89252554555</v>
      </c>
      <c r="D10" s="3076" t="s">
        <v>1814</v>
      </c>
      <c r="E10" s="628"/>
      <c r="F10" s="628"/>
      <c r="G10" s="628"/>
      <c r="H10" s="1913">
        <f>IF(SUM(H11:H15)=0,"NO",SUM(H11:H15))</f>
        <v>42444.02596621681</v>
      </c>
      <c r="I10" s="1913">
        <f t="shared" ref="I10:K10" si="0">IF(SUM(I11:I16)=0,"NO",SUM(I11:I16))</f>
        <v>2.3859153362339516</v>
      </c>
      <c r="J10" s="1847">
        <f t="shared" si="0"/>
        <v>1.3750591461183621</v>
      </c>
      <c r="K10" s="3065" t="str">
        <f t="shared" si="0"/>
        <v>NO</v>
      </c>
    </row>
    <row r="11" spans="2:11" ht="18" customHeight="1" x14ac:dyDescent="0.2">
      <c r="B11" s="282" t="s">
        <v>132</v>
      </c>
      <c r="C11" s="1913">
        <f>IF(SUM(C18,C25,C32,C39,C46,C53,C62,C69,C76,C83,C90,C97,C114,C104:C107)=0,"NO",SUM(C18,C25,C32,C39,C46,C53,C62,C69,C76,C83,C90,C97,C114,C104:C107))</f>
        <v>243000.01000368455</v>
      </c>
      <c r="D11" s="3077" t="s">
        <v>1814</v>
      </c>
      <c r="E11" s="1913">
        <f>IFERROR(H11*1000/$C11,"NA")</f>
        <v>69.233647912495528</v>
      </c>
      <c r="F11" s="1913">
        <f t="shared" ref="F11:G16" si="1">IFERROR(I11*1000000/$C11,"NA")</f>
        <v>4.1764371469337487</v>
      </c>
      <c r="G11" s="1913">
        <f t="shared" si="1"/>
        <v>2.1088879743296642</v>
      </c>
      <c r="H11" s="1913">
        <f>IF(SUM(H18,H25,H32,H39,H46,H53,H62,H69,H76,H83,H90,H97,H114,H104:H107)=0,"NO",SUM(H18,H25,H32,H39,H46,H53,H62,H69,H76,H83,H90,H97,H114,H104:H107))</f>
        <v>16823.777135327986</v>
      </c>
      <c r="I11" s="1913">
        <f>IF(SUM(I18,I25,I32,I39,I46,I53,I62,I69,I76,I83,I90,I97,I114,I104:I107)=0,"NO",SUM(I18,I25,I32,I39,I46,I53,I62,I69,I76,I83,I90,I97,I114,I104:I107))</f>
        <v>1.0148742684846608</v>
      </c>
      <c r="J11" s="1913">
        <f>IF(SUM(J18,J25,J32,J39,J46,J53,J62,J69,J76,J83,J90,J97,J114,J104:J107)=0,"NO",SUM(J18,J25,J32,J39,J46,J53,J62,J69,J76,J83,J90,J97,J114,J104:J107))</f>
        <v>0.51245979885875848</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106630.03811664112</v>
      </c>
      <c r="D12" s="3077" t="s">
        <v>1814</v>
      </c>
      <c r="E12" s="1913">
        <f t="shared" ref="E12:E16" si="2">IFERROR(H12*1000/$C12,"NA")</f>
        <v>80.843916845805893</v>
      </c>
      <c r="F12" s="1913">
        <f t="shared" si="1"/>
        <v>0.94788370164474078</v>
      </c>
      <c r="G12" s="1913">
        <f t="shared" si="1"/>
        <v>0.70354091131694185</v>
      </c>
      <c r="H12" s="1913">
        <f>IF(SUM(H19,H26,H33,H40,H47,H54,H63,H70,H77,H84,H91,H98,H115)=0,"NO",SUM(H19,H26,H33,H40,H47,H54,H63,H70,H77,H84,H91,H98,H115))</f>
        <v>8620.3899347668485</v>
      </c>
      <c r="I12" s="1913">
        <f>IF(SUM(I19,I26,I33,I40,I47,I54,I63,I70,I77,I84,I91,I98,I115)=0,"NO",SUM(I19,I26,I33,I40,I47,I54,I63,I70,I77,I84,I91,I98,I115))</f>
        <v>0.10107287523652159</v>
      </c>
      <c r="J12" s="1913">
        <f>IF(SUM(J19,J26,J33,J40,J47,J54,J63,J70,J77,J84,J91,J98,J115)=0,"NO",SUM(J19,J26,J33,J40,J47,J54,J63,J70,J77,J84,J91,J98,J115))</f>
        <v>7.5018594190341945E-2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330657.36767649039</v>
      </c>
      <c r="D13" s="3077" t="s">
        <v>1814</v>
      </c>
      <c r="E13" s="1913">
        <f t="shared" si="2"/>
        <v>51.412309411337091</v>
      </c>
      <c r="F13" s="1913">
        <f t="shared" si="1"/>
        <v>0.97196866033661866</v>
      </c>
      <c r="G13" s="1913">
        <f t="shared" si="1"/>
        <v>0.54592025617706796</v>
      </c>
      <c r="H13" s="1913">
        <f t="shared" ref="H13:K14" si="3">IF(SUM(H20,H27,H34,H41,H48,H55,H64,H71,H78,H85,H92,H99,H116,H109)=0,"NO",SUM(H20,H27,H34,H41,H48,H55,H64,H71,H78,H85,H92,H99,H116,H109))</f>
        <v>16999.858896121976</v>
      </c>
      <c r="I13" s="1913">
        <f t="shared" si="3"/>
        <v>0.3213885986909511</v>
      </c>
      <c r="J13" s="1913">
        <f t="shared" si="3"/>
        <v>0.18051255486878459</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105956.47672872945</v>
      </c>
      <c r="D16" s="3092" t="s">
        <v>1814</v>
      </c>
      <c r="E16" s="1913">
        <f t="shared" si="2"/>
        <v>93.934981393060454</v>
      </c>
      <c r="F16" s="1913">
        <f t="shared" si="1"/>
        <v>8.9525399778097459</v>
      </c>
      <c r="G16" s="1913">
        <f t="shared" si="1"/>
        <v>5.7294109519581093</v>
      </c>
      <c r="H16" s="1913">
        <f>IF(SUM(H23,H30,H37,H44,H51,H58,H67,H74,H81,H88,H95,H102,H119,H111)=0,"NO",SUM(H23,H30,H37,H44,H51,H58,H67,H74,H81,H88,H95,H102,H119,H111))</f>
        <v>9953.0196699874432</v>
      </c>
      <c r="I16" s="1913">
        <f>IF(SUM(I23,I30,I37,I44,I51,I58,I67,I74,I81,I88,I95,I102,I119,I111)=0,"NO",SUM(I23,I30,I37,I44,I51,I58,I67,I74,I81,I88,I95,I102,I119,I111))</f>
        <v>0.94857959382181845</v>
      </c>
      <c r="J16" s="1913">
        <f>IF(SUM(J23,J30,J37,J44,J51,J58,J67,J74,J81,J88,J95,J102,J119,J111)=0,"NO",SUM(J23,J30,J37,J44,J51,J58,J67,J74,J81,J88,J95,J102,J119,J111))</f>
        <v>0.60706819820047708</v>
      </c>
      <c r="K16" s="3065" t="str">
        <f>IF(SUM(K23,K30,K37,K44,K51,K58,K67,K74,K81,K88,K95,K102,K119,K111)=0,"NO",SUM(K23,K30,K37,K44,K51,K58,K67,K74,K81,K88,K95,K102,K119,K111))</f>
        <v>NO</v>
      </c>
    </row>
    <row r="17" spans="2:11" ht="18" customHeight="1" x14ac:dyDescent="0.2">
      <c r="B17" s="1241" t="s">
        <v>151</v>
      </c>
      <c r="C17" s="1913">
        <f>IF(SUM(C18:C23)=0,"NO",SUM(C18:C23))</f>
        <v>34611.181602209057</v>
      </c>
      <c r="D17" s="3076" t="s">
        <v>1814</v>
      </c>
      <c r="E17" s="628"/>
      <c r="F17" s="628"/>
      <c r="G17" s="628"/>
      <c r="H17" s="1913">
        <f>IF(SUM(H18:H22)=0,"NO",SUM(H18:H22))</f>
        <v>1575.0340391795262</v>
      </c>
      <c r="I17" s="1913">
        <f t="shared" ref="I17:K17" si="4">IF(SUM(I18:I23)=0,"NO",SUM(I18:I23))</f>
        <v>3.5697515767126521E-2</v>
      </c>
      <c r="J17" s="1913">
        <f t="shared" si="4"/>
        <v>2.0253369973627484E-2</v>
      </c>
      <c r="K17" s="3065" t="str">
        <f t="shared" si="4"/>
        <v>NO</v>
      </c>
    </row>
    <row r="18" spans="2:11" ht="18" customHeight="1" x14ac:dyDescent="0.2">
      <c r="B18" s="282" t="s">
        <v>132</v>
      </c>
      <c r="C18" s="691">
        <v>841.00710709999998</v>
      </c>
      <c r="D18" s="3077" t="s">
        <v>1814</v>
      </c>
      <c r="E18" s="1913">
        <f>IFERROR(H18*1000/$C18,"NA")</f>
        <v>71.925085679903177</v>
      </c>
      <c r="F18" s="1913">
        <f t="shared" ref="F18:G23" si="5">IFERROR(I18*1000000/$C18,"NA")</f>
        <v>4.1047986845353837</v>
      </c>
      <c r="G18" s="1913">
        <f t="shared" si="5"/>
        <v>1.3891223884051291</v>
      </c>
      <c r="H18" s="691">
        <v>60.489508235575009</v>
      </c>
      <c r="I18" s="691">
        <v>3.4521648669089884E-3</v>
      </c>
      <c r="J18" s="691">
        <v>1.1682618012804403E-3</v>
      </c>
      <c r="K18" s="3093" t="s">
        <v>2146</v>
      </c>
    </row>
    <row r="19" spans="2:11" ht="18" customHeight="1" x14ac:dyDescent="0.2">
      <c r="B19" s="282" t="s">
        <v>133</v>
      </c>
      <c r="C19" s="691">
        <v>19806.72784690906</v>
      </c>
      <c r="D19" s="3077" t="s">
        <v>1814</v>
      </c>
      <c r="E19" s="1913">
        <f t="shared" ref="E19:E23" si="6">IFERROR(H19*1000/$C19,"NA")</f>
        <v>40.221532718052238</v>
      </c>
      <c r="F19" s="1913">
        <f t="shared" si="5"/>
        <v>0.95499860260473779</v>
      </c>
      <c r="G19" s="1913">
        <f t="shared" si="5"/>
        <v>0.57074684062351877</v>
      </c>
      <c r="H19" s="691">
        <v>796.65695213200911</v>
      </c>
      <c r="I19" s="691">
        <v>1.8915397415970498E-2</v>
      </c>
      <c r="J19" s="691">
        <v>1.1304627341713216E-2</v>
      </c>
      <c r="K19" s="3093" t="s">
        <v>2146</v>
      </c>
    </row>
    <row r="20" spans="2:11" ht="18" customHeight="1" x14ac:dyDescent="0.2">
      <c r="B20" s="282" t="s">
        <v>134</v>
      </c>
      <c r="C20" s="691">
        <v>13963.446648200001</v>
      </c>
      <c r="D20" s="3077" t="s">
        <v>1814</v>
      </c>
      <c r="E20" s="1913">
        <f t="shared" si="6"/>
        <v>51.411918339265</v>
      </c>
      <c r="F20" s="1913">
        <f t="shared" si="5"/>
        <v>0.95463203463203461</v>
      </c>
      <c r="G20" s="1913">
        <f t="shared" si="5"/>
        <v>0.55720346320346315</v>
      </c>
      <c r="H20" s="691">
        <v>717.88757881194203</v>
      </c>
      <c r="I20" s="691">
        <v>1.3329953484247032E-2</v>
      </c>
      <c r="J20" s="691">
        <v>7.7804808306338302E-3</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210074.03247568084</v>
      </c>
      <c r="D24" s="3077" t="s">
        <v>1814</v>
      </c>
      <c r="E24" s="628"/>
      <c r="F24" s="628"/>
      <c r="G24" s="628"/>
      <c r="H24" s="1913">
        <f>IF(SUM(H25:H29)=0,"NO",SUM(H25:H29))</f>
        <v>12959.953606288549</v>
      </c>
      <c r="I24" s="1913">
        <f t="shared" ref="I24:K24" si="7">IF(SUM(I25:I30)=0,"NO",SUM(I25:I30))</f>
        <v>0.24913616945157427</v>
      </c>
      <c r="J24" s="1913">
        <f t="shared" si="7"/>
        <v>0.14760089226093276</v>
      </c>
      <c r="K24" s="3065" t="str">
        <f t="shared" si="7"/>
        <v>NO</v>
      </c>
    </row>
    <row r="25" spans="2:11" ht="18" customHeight="1" x14ac:dyDescent="0.2">
      <c r="B25" s="282" t="s">
        <v>132</v>
      </c>
      <c r="C25" s="691">
        <v>34775.553679600001</v>
      </c>
      <c r="D25" s="3077" t="s">
        <v>1814</v>
      </c>
      <c r="E25" s="1913">
        <f>IFERROR(H25*1000/$C25,"NA")</f>
        <v>72.749912406937156</v>
      </c>
      <c r="F25" s="1913">
        <f t="shared" ref="F25:G30" si="8">IFERROR(I25*1000000/$C25,"NA")</f>
        <v>1.8826952038407514</v>
      </c>
      <c r="G25" s="1913">
        <f t="shared" si="8"/>
        <v>0.9010584432965616</v>
      </c>
      <c r="H25" s="691">
        <v>2529.9184840936414</v>
      </c>
      <c r="I25" s="691">
        <v>6.5471768123489524E-2</v>
      </c>
      <c r="J25" s="691">
        <v>3.1334806263316389E-2</v>
      </c>
      <c r="K25" s="3093" t="s">
        <v>2146</v>
      </c>
    </row>
    <row r="26" spans="2:11" ht="18" customHeight="1" x14ac:dyDescent="0.2">
      <c r="B26" s="282" t="s">
        <v>133</v>
      </c>
      <c r="C26" s="691">
        <v>38834.252357899997</v>
      </c>
      <c r="D26" s="3077" t="s">
        <v>1814</v>
      </c>
      <c r="E26" s="1913">
        <f t="shared" ref="E26:E30" si="9">IFERROR(H26*1000/$C26,"NA")</f>
        <v>91.082361823744378</v>
      </c>
      <c r="F26" s="1913">
        <f t="shared" si="8"/>
        <v>0.95238095238095233</v>
      </c>
      <c r="G26" s="1913">
        <f t="shared" si="8"/>
        <v>0.70609523809523811</v>
      </c>
      <c r="H26" s="691">
        <v>3537.1154244168456</v>
      </c>
      <c r="I26" s="691">
        <v>3.6985002245619042E-2</v>
      </c>
      <c r="J26" s="691">
        <v>2.7420680664901959E-2</v>
      </c>
      <c r="K26" s="3093" t="s">
        <v>2146</v>
      </c>
    </row>
    <row r="27" spans="2:11" ht="18" customHeight="1" x14ac:dyDescent="0.2">
      <c r="B27" s="282" t="s">
        <v>134</v>
      </c>
      <c r="C27" s="691">
        <v>134072.4081193</v>
      </c>
      <c r="D27" s="3077" t="s">
        <v>1814</v>
      </c>
      <c r="E27" s="1913">
        <f t="shared" si="9"/>
        <v>51.411918339265007</v>
      </c>
      <c r="F27" s="1913">
        <f t="shared" si="8"/>
        <v>0.95727272727272739</v>
      </c>
      <c r="G27" s="1913">
        <f t="shared" si="8"/>
        <v>0.57027272727272726</v>
      </c>
      <c r="H27" s="691">
        <v>6892.9196977780621</v>
      </c>
      <c r="I27" s="691">
        <v>0.12834385977238447</v>
      </c>
      <c r="J27" s="691">
        <v>7.6457837830215356E-2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2391.8183188808389</v>
      </c>
      <c r="D30" s="3077" t="s">
        <v>1814</v>
      </c>
      <c r="E30" s="1913">
        <f t="shared" si="9"/>
        <v>88.472476968864484</v>
      </c>
      <c r="F30" s="1913">
        <f t="shared" si="8"/>
        <v>7.6659414995452702</v>
      </c>
      <c r="G30" s="1913">
        <f t="shared" si="8"/>
        <v>5.1791423306329403</v>
      </c>
      <c r="H30" s="691">
        <v>211.61009113089318</v>
      </c>
      <c r="I30" s="691">
        <v>1.8335539310081226E-2</v>
      </c>
      <c r="J30" s="691">
        <v>1.2387567502499069E-2</v>
      </c>
      <c r="K30" s="3093" t="s">
        <v>2146</v>
      </c>
    </row>
    <row r="31" spans="2:11" ht="18" customHeight="1" x14ac:dyDescent="0.2">
      <c r="B31" s="1241" t="s">
        <v>153</v>
      </c>
      <c r="C31" s="1913">
        <f>IF(SUM(C32:C37)=0,"NO",SUM(C32:C37))</f>
        <v>142054.64213941107</v>
      </c>
      <c r="D31" s="3077" t="s">
        <v>1814</v>
      </c>
      <c r="E31" s="628"/>
      <c r="F31" s="628"/>
      <c r="G31" s="628"/>
      <c r="H31" s="1913">
        <f>IF(SUM(H32:H36)=0,"NO",SUM(H32:H36))</f>
        <v>8675.2219090522522</v>
      </c>
      <c r="I31" s="1913">
        <f t="shared" ref="I31:K31" si="10">IF(SUM(I32:I37)=0,"NO",SUM(I32:I37))</f>
        <v>0.28337435066403105</v>
      </c>
      <c r="J31" s="1913">
        <f t="shared" si="10"/>
        <v>0.10919027769740486</v>
      </c>
      <c r="K31" s="3065" t="str">
        <f t="shared" si="10"/>
        <v>NO</v>
      </c>
    </row>
    <row r="32" spans="2:11" ht="18" customHeight="1" x14ac:dyDescent="0.2">
      <c r="B32" s="282" t="s">
        <v>132</v>
      </c>
      <c r="C32" s="691">
        <v>81588.221428267148</v>
      </c>
      <c r="D32" s="3077" t="s">
        <v>1814</v>
      </c>
      <c r="E32" s="1913">
        <f>IFERROR(H32*1000/$C32,"NA")</f>
        <v>67.936313520481363</v>
      </c>
      <c r="F32" s="1913">
        <f t="shared" ref="F32:G37" si="11">IFERROR(I32*1000000/$C32,"NA")</f>
        <v>2.5685287987970882</v>
      </c>
      <c r="G32" s="1913">
        <f t="shared" si="11"/>
        <v>0.79874926951843217</v>
      </c>
      <c r="H32" s="691">
        <v>5542.8029905292124</v>
      </c>
      <c r="I32" s="691">
        <v>0.20956169638113789</v>
      </c>
      <c r="J32" s="691">
        <v>6.5168532267136481E-2</v>
      </c>
      <c r="K32" s="3093" t="s">
        <v>2146</v>
      </c>
    </row>
    <row r="33" spans="2:11" ht="18" customHeight="1" x14ac:dyDescent="0.2">
      <c r="B33" s="282" t="s">
        <v>133</v>
      </c>
      <c r="C33" s="691">
        <v>4436.741846853025</v>
      </c>
      <c r="D33" s="3077" t="s">
        <v>1814</v>
      </c>
      <c r="E33" s="1913">
        <f t="shared" ref="E33:E37" si="12">IFERROR(H33*1000/$C33,"NA")</f>
        <v>82.579680736607116</v>
      </c>
      <c r="F33" s="1913">
        <f t="shared" si="11"/>
        <v>0.83043977914796629</v>
      </c>
      <c r="G33" s="1913">
        <f t="shared" si="11"/>
        <v>0.61348676611783659</v>
      </c>
      <c r="H33" s="691">
        <v>366.38472522386741</v>
      </c>
      <c r="I33" s="691">
        <v>3.6844469194371662E-3</v>
      </c>
      <c r="J33" s="691">
        <v>2.7218824077255401E-3</v>
      </c>
      <c r="K33" s="3093" t="s">
        <v>2146</v>
      </c>
    </row>
    <row r="34" spans="2:11" ht="18" customHeight="1" x14ac:dyDescent="0.2">
      <c r="B34" s="282" t="s">
        <v>134</v>
      </c>
      <c r="C34" s="691">
        <v>53801.373090490888</v>
      </c>
      <c r="D34" s="3077" t="s">
        <v>1814</v>
      </c>
      <c r="E34" s="1913">
        <f t="shared" si="12"/>
        <v>51.411962825685833</v>
      </c>
      <c r="F34" s="1913">
        <f t="shared" si="11"/>
        <v>0.95048553530974289</v>
      </c>
      <c r="G34" s="1913">
        <f t="shared" si="11"/>
        <v>0.54067873574328584</v>
      </c>
      <c r="H34" s="691">
        <v>2766.0341932991714</v>
      </c>
      <c r="I34" s="691">
        <v>5.1137426902314431E-2</v>
      </c>
      <c r="J34" s="691">
        <v>2.9089258383819452E-2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v>2228.3057737999998</v>
      </c>
      <c r="D37" s="3077" t="s">
        <v>1814</v>
      </c>
      <c r="E37" s="1913">
        <f t="shared" si="12"/>
        <v>92.68995408729397</v>
      </c>
      <c r="F37" s="1913">
        <f t="shared" si="11"/>
        <v>8.5225199720934057</v>
      </c>
      <c r="G37" s="1913">
        <f t="shared" si="11"/>
        <v>5.4797706770288803</v>
      </c>
      <c r="H37" s="691">
        <v>206.54155986597402</v>
      </c>
      <c r="I37" s="691">
        <v>1.8990780461141547E-2</v>
      </c>
      <c r="J37" s="691">
        <v>1.2210604638723387E-2</v>
      </c>
      <c r="K37" s="3093" t="s">
        <v>2146</v>
      </c>
    </row>
    <row r="38" spans="2:11" ht="18" customHeight="1" x14ac:dyDescent="0.2">
      <c r="B38" s="1241" t="s">
        <v>154</v>
      </c>
      <c r="C38" s="1913">
        <f>IF(SUM(C39:C44)=0,"NO",SUM(C39:C44))</f>
        <v>40500.281423086839</v>
      </c>
      <c r="D38" s="3077" t="s">
        <v>1814</v>
      </c>
      <c r="E38" s="628"/>
      <c r="F38" s="628"/>
      <c r="G38" s="628"/>
      <c r="H38" s="1913">
        <f>IF(SUM(H39:H43)=0,"NO",SUM(H39:H43))</f>
        <v>1018.4119734563905</v>
      </c>
      <c r="I38" s="1913">
        <f t="shared" ref="I38:K38" si="13">IF(SUM(I39:I44)=0,"NO",SUM(I39:I44))</f>
        <v>0.2201904532921023</v>
      </c>
      <c r="J38" s="1913">
        <f t="shared" si="13"/>
        <v>0.14582759607214799</v>
      </c>
      <c r="K38" s="3065" t="str">
        <f t="shared" si="13"/>
        <v>NO</v>
      </c>
    </row>
    <row r="39" spans="2:11" ht="18" customHeight="1" x14ac:dyDescent="0.2">
      <c r="B39" s="282" t="s">
        <v>132</v>
      </c>
      <c r="C39" s="691">
        <v>531.85461770000006</v>
      </c>
      <c r="D39" s="3077" t="s">
        <v>1814</v>
      </c>
      <c r="E39" s="1913">
        <f>IFERROR(H39*1000/$C39,"NA")</f>
        <v>67.191992833364097</v>
      </c>
      <c r="F39" s="1913">
        <f t="shared" ref="F39:G44" si="14">IFERROR(I39*1000000/$C39,"NA")</f>
        <v>0.91356884484186351</v>
      </c>
      <c r="G39" s="1913">
        <f t="shared" si="14"/>
        <v>1.1910934091304706</v>
      </c>
      <c r="H39" s="691">
        <v>35.736371660890008</v>
      </c>
      <c r="I39" s="691">
        <v>4.8588580871600001E-4</v>
      </c>
      <c r="J39" s="691">
        <v>6.3348852975807614E-4</v>
      </c>
      <c r="K39" s="3093" t="s">
        <v>2146</v>
      </c>
    </row>
    <row r="40" spans="2:11" ht="18" customHeight="1" x14ac:dyDescent="0.2">
      <c r="B40" s="282" t="s">
        <v>133</v>
      </c>
      <c r="C40" s="691">
        <v>2728.5688005000006</v>
      </c>
      <c r="D40" s="3077" t="s">
        <v>1814</v>
      </c>
      <c r="E40" s="1913">
        <f t="shared" ref="E40:E44" si="15">IFERROR(H40*1000/$C40,"NA")</f>
        <v>90.11924670037871</v>
      </c>
      <c r="F40" s="1913">
        <f t="shared" si="14"/>
        <v>0.95123286346363178</v>
      </c>
      <c r="G40" s="1913">
        <f t="shared" si="14"/>
        <v>0.66590127405511956</v>
      </c>
      <c r="H40" s="691">
        <v>245.89656487121599</v>
      </c>
      <c r="I40" s="691">
        <v>2.5955043132571427E-3</v>
      </c>
      <c r="J40" s="691">
        <v>1.8169574406E-3</v>
      </c>
      <c r="K40" s="3093" t="s">
        <v>2146</v>
      </c>
    </row>
    <row r="41" spans="2:11" ht="18" customHeight="1" x14ac:dyDescent="0.2">
      <c r="B41" s="282" t="s">
        <v>134</v>
      </c>
      <c r="C41" s="691">
        <v>14330.899540886841</v>
      </c>
      <c r="D41" s="3077" t="s">
        <v>1814</v>
      </c>
      <c r="E41" s="1913">
        <f t="shared" si="15"/>
        <v>51.411918339264993</v>
      </c>
      <c r="F41" s="1913">
        <f t="shared" si="14"/>
        <v>0.91363636363636358</v>
      </c>
      <c r="G41" s="1913">
        <f t="shared" si="14"/>
        <v>0.86863636363636343</v>
      </c>
      <c r="H41" s="691">
        <v>736.77903692428447</v>
      </c>
      <c r="I41" s="691">
        <v>1.3093230944173886E-2</v>
      </c>
      <c r="J41" s="691">
        <v>1.2448340464833977E-2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22908.958463999999</v>
      </c>
      <c r="D44" s="3076" t="s">
        <v>1814</v>
      </c>
      <c r="E44" s="1913">
        <f t="shared" si="15"/>
        <v>93.270436168968615</v>
      </c>
      <c r="F44" s="1913">
        <f t="shared" si="14"/>
        <v>8.90550447968001</v>
      </c>
      <c r="G44" s="1913">
        <f t="shared" si="14"/>
        <v>5.7151794937645199</v>
      </c>
      <c r="H44" s="691">
        <v>2136.7285481140652</v>
      </c>
      <c r="I44" s="691">
        <v>0.20401583222595526</v>
      </c>
      <c r="J44" s="691">
        <v>0.13092880963695594</v>
      </c>
      <c r="K44" s="3093" t="s">
        <v>2146</v>
      </c>
    </row>
    <row r="45" spans="2:11" ht="18" customHeight="1" x14ac:dyDescent="0.2">
      <c r="B45" s="1241" t="s">
        <v>155</v>
      </c>
      <c r="C45" s="1913">
        <f>IF(SUM(C46:C51)=0,"NO",SUM(C46:C51))</f>
        <v>124615.49336720002</v>
      </c>
      <c r="D45" s="3076" t="s">
        <v>1814</v>
      </c>
      <c r="E45" s="628"/>
      <c r="F45" s="628"/>
      <c r="G45" s="628"/>
      <c r="H45" s="1913">
        <f>IF(SUM(H46:H50)=0,"NO",SUM(H46:H50))</f>
        <v>3007.2926173576298</v>
      </c>
      <c r="I45" s="1913">
        <f t="shared" ref="I45:K45" si="16">IF(SUM(I46:I51)=0,"NO",SUM(I46:I51))</f>
        <v>0.74664462765669037</v>
      </c>
      <c r="J45" s="1913">
        <f t="shared" si="16"/>
        <v>0.48564825840132197</v>
      </c>
      <c r="K45" s="3065" t="str">
        <f t="shared" si="16"/>
        <v>NO</v>
      </c>
    </row>
    <row r="46" spans="2:11" ht="18" customHeight="1" x14ac:dyDescent="0.2">
      <c r="B46" s="282" t="s">
        <v>132</v>
      </c>
      <c r="C46" s="691">
        <v>4033.4801598256568</v>
      </c>
      <c r="D46" s="3076" t="s">
        <v>1814</v>
      </c>
      <c r="E46" s="1913">
        <f>IFERROR(H46*1000/$C46,"NA")</f>
        <v>66.838170146660445</v>
      </c>
      <c r="F46" s="1913">
        <f t="shared" ref="F46:G51" si="17">IFERROR(I46*1000000/$C46,"NA")</f>
        <v>4.4106477858584707</v>
      </c>
      <c r="G46" s="1913">
        <f t="shared" si="17"/>
        <v>2.7721458239804564</v>
      </c>
      <c r="H46" s="691">
        <v>269.59043320560642</v>
      </c>
      <c r="I46" s="691">
        <v>1.7790260336239101E-2</v>
      </c>
      <c r="J46" s="691">
        <v>1.1181395181168719E-2</v>
      </c>
      <c r="K46" s="3093" t="s">
        <v>2146</v>
      </c>
    </row>
    <row r="47" spans="2:11" ht="18" customHeight="1" x14ac:dyDescent="0.2">
      <c r="B47" s="282" t="s">
        <v>133</v>
      </c>
      <c r="C47" s="691">
        <v>10617.547186000002</v>
      </c>
      <c r="D47" s="3076" t="s">
        <v>1814</v>
      </c>
      <c r="E47" s="1913">
        <f t="shared" ref="E47:E51" si="18">IFERROR(H47*1000/$C47,"NA")</f>
        <v>90.937372615882794</v>
      </c>
      <c r="F47" s="1913">
        <f t="shared" si="17"/>
        <v>0.95238095238095222</v>
      </c>
      <c r="G47" s="1913">
        <f t="shared" si="17"/>
        <v>0.67523809523809519</v>
      </c>
      <c r="H47" s="691">
        <v>965.53184471999998</v>
      </c>
      <c r="I47" s="691">
        <v>1.011194970095238E-2</v>
      </c>
      <c r="J47" s="691">
        <v>7.1693723379752383E-3</v>
      </c>
      <c r="K47" s="3093" t="s">
        <v>2146</v>
      </c>
    </row>
    <row r="48" spans="2:11" ht="18" customHeight="1" x14ac:dyDescent="0.2">
      <c r="B48" s="282" t="s">
        <v>134</v>
      </c>
      <c r="C48" s="691">
        <v>34470.029453823307</v>
      </c>
      <c r="D48" s="3076" t="s">
        <v>1814</v>
      </c>
      <c r="E48" s="1913">
        <f t="shared" si="18"/>
        <v>51.411918339265</v>
      </c>
      <c r="F48" s="1913">
        <f t="shared" si="17"/>
        <v>0.91409090909090918</v>
      </c>
      <c r="G48" s="1913">
        <f t="shared" si="17"/>
        <v>0.86459090909090885</v>
      </c>
      <c r="H48" s="691">
        <v>1772.1703394320232</v>
      </c>
      <c r="I48" s="691">
        <v>3.1508740559835761E-2</v>
      </c>
      <c r="J48" s="691">
        <v>2.9802474101871496E-2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75494.436567551063</v>
      </c>
      <c r="D51" s="3076" t="s">
        <v>1814</v>
      </c>
      <c r="E51" s="1913">
        <f t="shared" si="18"/>
        <v>94.62204977578125</v>
      </c>
      <c r="F51" s="1913">
        <f t="shared" si="17"/>
        <v>9.1031035968423808</v>
      </c>
      <c r="G51" s="1913">
        <f t="shared" si="17"/>
        <v>5.7950630095615567</v>
      </c>
      <c r="H51" s="691">
        <v>7143.4383346893765</v>
      </c>
      <c r="I51" s="691">
        <v>0.6872336770596631</v>
      </c>
      <c r="J51" s="691">
        <v>0.4374950167803065</v>
      </c>
      <c r="K51" s="3093" t="s">
        <v>2146</v>
      </c>
    </row>
    <row r="52" spans="2:11" ht="18" customHeight="1" x14ac:dyDescent="0.2">
      <c r="B52" s="1241" t="s">
        <v>156</v>
      </c>
      <c r="C52" s="3094">
        <f>IF(SUM(C53:C58)=0,"NO",SUM(C53:C58))</f>
        <v>95511.397050173327</v>
      </c>
      <c r="D52" s="3076" t="s">
        <v>1814</v>
      </c>
      <c r="E52" s="628"/>
      <c r="F52" s="628"/>
      <c r="G52" s="628"/>
      <c r="H52" s="1913">
        <f>IF(SUM(H53:H57)=0,"NO",SUM(H53:H57))</f>
        <v>5815.4284071256261</v>
      </c>
      <c r="I52" s="1913">
        <f t="shared" ref="I52:K52" si="19">IF(SUM(I53:I58)=0,"NO",SUM(I53:I58))</f>
        <v>0.35741329002102518</v>
      </c>
      <c r="J52" s="1913">
        <f t="shared" si="19"/>
        <v>5.6273985694687521E-2</v>
      </c>
      <c r="K52" s="3065" t="str">
        <f t="shared" si="19"/>
        <v>NO</v>
      </c>
    </row>
    <row r="53" spans="2:11" ht="18" customHeight="1" x14ac:dyDescent="0.2">
      <c r="B53" s="282" t="s">
        <v>132</v>
      </c>
      <c r="C53" s="2147">
        <v>8938.0956840400577</v>
      </c>
      <c r="D53" s="3076" t="s">
        <v>1814</v>
      </c>
      <c r="E53" s="1913">
        <f>IFERROR(H53*1000/$C53,"NA")</f>
        <v>63.826054557826367</v>
      </c>
      <c r="F53" s="1913">
        <f t="shared" ref="F53:G58" si="20">IFERROR(I53*1000000/$C53,"NA")</f>
        <v>28.536694021700448</v>
      </c>
      <c r="G53" s="1913">
        <f t="shared" si="20"/>
        <v>1.6848088227201627</v>
      </c>
      <c r="H53" s="691">
        <v>570.48338277261314</v>
      </c>
      <c r="I53" s="691">
        <v>0.25506370167213249</v>
      </c>
      <c r="J53" s="691">
        <v>1.5058982466787696E-2</v>
      </c>
      <c r="K53" s="3093" t="s">
        <v>2146</v>
      </c>
    </row>
    <row r="54" spans="2:11" ht="18" customHeight="1" x14ac:dyDescent="0.2">
      <c r="B54" s="282" t="s">
        <v>133</v>
      </c>
      <c r="C54" s="691">
        <v>24751.408720616098</v>
      </c>
      <c r="D54" s="3076" t="s">
        <v>1814</v>
      </c>
      <c r="E54" s="1913">
        <f t="shared" ref="E54:E58" si="21">IFERROR(H54*1000/$C54,"NA")</f>
        <v>89.564824319087592</v>
      </c>
      <c r="F54" s="1913">
        <f t="shared" si="20"/>
        <v>0.95289501220569717</v>
      </c>
      <c r="G54" s="1913">
        <f t="shared" si="20"/>
        <v>0.82820175566366594</v>
      </c>
      <c r="H54" s="691">
        <v>2216.8555737119136</v>
      </c>
      <c r="I54" s="691">
        <v>2.3585493914939679E-2</v>
      </c>
      <c r="J54" s="691">
        <v>2.0499160157563222E-2</v>
      </c>
      <c r="K54" s="3093" t="s">
        <v>2146</v>
      </c>
    </row>
    <row r="55" spans="2:11" ht="18" customHeight="1" x14ac:dyDescent="0.2">
      <c r="B55" s="282" t="s">
        <v>134</v>
      </c>
      <c r="C55" s="691">
        <v>58898.589052034011</v>
      </c>
      <c r="D55" s="3076" t="s">
        <v>1814</v>
      </c>
      <c r="E55" s="1913">
        <f t="shared" si="21"/>
        <v>51.411918339264993</v>
      </c>
      <c r="F55" s="1913">
        <f t="shared" si="20"/>
        <v>0.99843703249913196</v>
      </c>
      <c r="G55" s="1913">
        <f t="shared" si="20"/>
        <v>0.11391041075772655</v>
      </c>
      <c r="H55" s="691">
        <v>3028.0894506411</v>
      </c>
      <c r="I55" s="691">
        <v>5.8806532471498703E-2</v>
      </c>
      <c r="J55" s="691">
        <v>6.7091624719677299E-3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2923.3035934831501</v>
      </c>
      <c r="D58" s="3076" t="s">
        <v>1814</v>
      </c>
      <c r="E58" s="3095">
        <f t="shared" si="21"/>
        <v>86.885267815463251</v>
      </c>
      <c r="F58" s="3095">
        <f t="shared" si="20"/>
        <v>6.8270575820264536</v>
      </c>
      <c r="G58" s="3095">
        <f t="shared" si="20"/>
        <v>4.7913876032559948</v>
      </c>
      <c r="H58" s="2190">
        <v>253.99201562568959</v>
      </c>
      <c r="I58" s="691">
        <v>1.9957561962454316E-2</v>
      </c>
      <c r="J58" s="691">
        <v>1.4006680598368869E-2</v>
      </c>
      <c r="K58" s="3093" t="s">
        <v>2146</v>
      </c>
    </row>
    <row r="59" spans="2:11" ht="18" customHeight="1" x14ac:dyDescent="0.2">
      <c r="B59" s="1241" t="s">
        <v>157</v>
      </c>
      <c r="C59" s="3094">
        <f>IF(SUM(C61,C68,C75,C82,C89,C96,C103,C112)=0,"NO",SUM(C61,C68,C75,C82,C89,C96,C103,C112))</f>
        <v>138876.86446778433</v>
      </c>
      <c r="D59" s="3076" t="s">
        <v>1814</v>
      </c>
      <c r="E59" s="1914"/>
      <c r="F59" s="1914"/>
      <c r="G59" s="1914"/>
      <c r="H59" s="1913">
        <f>IF(SUM(H61,H68,H75,H82,H89,H96,H103,H112)=0,"NO",SUM(H61,H68,H75,H82,H89,H96,H103,H112))</f>
        <v>9392.6834137568403</v>
      </c>
      <c r="I59" s="1913">
        <f>IF(SUM(I61,I68,I75,I82,I89,I96,I103,I112)=0,"NO",SUM(I61,I68,I75,I82,I89,I96,I103,I112))</f>
        <v>0.49345892938140234</v>
      </c>
      <c r="J59" s="1913">
        <f>IF(SUM(J61,J68,J75,J82,J89,J96,J103,J112)=0,"NO",SUM(J61,J68,J75,J82,J89,J96,J103,J112))</f>
        <v>0.41026476601823947</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6699.1151576827051</v>
      </c>
      <c r="D61" s="3076" t="s">
        <v>1814</v>
      </c>
      <c r="E61" s="628"/>
      <c r="F61" s="628"/>
      <c r="G61" s="628"/>
      <c r="H61" s="1913">
        <f>IF(SUM(H62:H66)=0,"NO",SUM(H62:H66))</f>
        <v>371.8859519434817</v>
      </c>
      <c r="I61" s="1913">
        <f t="shared" ref="I61:K61" si="22">IF(SUM(I62:I67)=0,"NO",SUM(I62:I67))</f>
        <v>4.6606609485180341E-2</v>
      </c>
      <c r="J61" s="1913">
        <f t="shared" si="22"/>
        <v>9.2650918620942012E-3</v>
      </c>
      <c r="K61" s="3065" t="str">
        <f t="shared" si="22"/>
        <v>NO</v>
      </c>
    </row>
    <row r="62" spans="2:11" ht="18" customHeight="1" x14ac:dyDescent="0.2">
      <c r="B62" s="158" t="s">
        <v>132</v>
      </c>
      <c r="C62" s="691">
        <v>1899.0075630929837</v>
      </c>
      <c r="D62" s="3076" t="s">
        <v>1814</v>
      </c>
      <c r="E62" s="1913">
        <f>IFERROR(H62*1000/$C62,"NA")</f>
        <v>65.811372881417952</v>
      </c>
      <c r="F62" s="1913">
        <f t="shared" ref="F62:G67" si="23">IFERROR(I62*1000000/$C62,"NA")</f>
        <v>22.191859706747476</v>
      </c>
      <c r="G62" s="1913">
        <f t="shared" si="23"/>
        <v>2.8238983835106404</v>
      </c>
      <c r="H62" s="691">
        <v>124.97629483934517</v>
      </c>
      <c r="I62" s="691">
        <v>4.2142509422211899E-2</v>
      </c>
      <c r="J62" s="691">
        <v>5.3626043876927572E-3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4800.1075945897219</v>
      </c>
      <c r="D64" s="3076" t="s">
        <v>1814</v>
      </c>
      <c r="E64" s="1913">
        <f t="shared" si="24"/>
        <v>51.438358878128554</v>
      </c>
      <c r="F64" s="1913">
        <f t="shared" si="23"/>
        <v>0.92999999999999994</v>
      </c>
      <c r="G64" s="1913">
        <f t="shared" si="23"/>
        <v>0.81300000000000017</v>
      </c>
      <c r="H64" s="691">
        <v>246.9096571041365</v>
      </c>
      <c r="I64" s="691">
        <v>4.4641000629684416E-3</v>
      </c>
      <c r="J64" s="691">
        <v>3.9024874744014444E-3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97150.946859817617</v>
      </c>
      <c r="D75" s="3077" t="s">
        <v>1814</v>
      </c>
      <c r="E75" s="628"/>
      <c r="F75" s="628"/>
      <c r="G75" s="628"/>
      <c r="H75" s="1913">
        <f>IF(SUM(H76:H80)=0,"NO",SUM(H76:H80))</f>
        <v>6770.4250526948163</v>
      </c>
      <c r="I75" s="1913">
        <f t="shared" ref="I75:K75" si="28">IF(SUM(I76:I81)=0,"NO",SUM(I76:I81))</f>
        <v>0.31837347818550588</v>
      </c>
      <c r="J75" s="1913">
        <f t="shared" si="28"/>
        <v>0.31051726528199131</v>
      </c>
      <c r="K75" s="3065" t="str">
        <f t="shared" si="28"/>
        <v>NO</v>
      </c>
    </row>
    <row r="76" spans="2:11" ht="18" customHeight="1" x14ac:dyDescent="0.2">
      <c r="B76" s="158" t="s">
        <v>132</v>
      </c>
      <c r="C76" s="691">
        <v>86828.142640203223</v>
      </c>
      <c r="D76" s="3077" t="s">
        <v>1814</v>
      </c>
      <c r="E76" s="1913">
        <f>IFERROR(H76*1000/$C76,"NA")</f>
        <v>69.708299432197009</v>
      </c>
      <c r="F76" s="1913">
        <f t="shared" ref="F76:G81" si="29">IFERROR(I76*1000000/$C76,"NA")</f>
        <v>3.4887378812065899</v>
      </c>
      <c r="G76" s="1913">
        <f t="shared" si="29"/>
        <v>3.4776986265592811</v>
      </c>
      <c r="H76" s="691">
        <v>6052.6421663047986</v>
      </c>
      <c r="I76" s="691">
        <v>0.30292063038368616</v>
      </c>
      <c r="J76" s="691">
        <v>0.30196211240652809</v>
      </c>
      <c r="K76" s="3093" t="s">
        <v>2146</v>
      </c>
    </row>
    <row r="77" spans="2:11" ht="18" customHeight="1" x14ac:dyDescent="0.2">
      <c r="B77" s="158" t="s">
        <v>133</v>
      </c>
      <c r="C77" s="691">
        <v>4854.5036172000009</v>
      </c>
      <c r="D77" s="3077" t="s">
        <v>1814</v>
      </c>
      <c r="E77" s="1913">
        <f t="shared" ref="E77:E81" si="30">IFERROR(H77*1000/$C77,"NA")</f>
        <v>90.049040656022996</v>
      </c>
      <c r="F77" s="1913">
        <f t="shared" si="29"/>
        <v>0.95238095238095255</v>
      </c>
      <c r="G77" s="1913">
        <f t="shared" si="29"/>
        <v>0.75923809523809516</v>
      </c>
      <c r="H77" s="691">
        <v>437.14339359005356</v>
      </c>
      <c r="I77" s="691">
        <v>4.6233367782857158E-3</v>
      </c>
      <c r="J77" s="691">
        <v>3.6857240796493718E-3</v>
      </c>
      <c r="K77" s="3093" t="s">
        <v>2146</v>
      </c>
    </row>
    <row r="78" spans="2:11" ht="18" customHeight="1" x14ac:dyDescent="0.2">
      <c r="B78" s="158" t="s">
        <v>134</v>
      </c>
      <c r="C78" s="691">
        <v>5458.6465914000019</v>
      </c>
      <c r="D78" s="3077" t="s">
        <v>1814</v>
      </c>
      <c r="E78" s="1913">
        <f t="shared" si="30"/>
        <v>51.411918339265</v>
      </c>
      <c r="F78" s="1913">
        <f t="shared" si="29"/>
        <v>1.9754545454545456</v>
      </c>
      <c r="G78" s="1913">
        <f t="shared" si="29"/>
        <v>0.88481818181818184</v>
      </c>
      <c r="H78" s="691">
        <v>280.63949279996416</v>
      </c>
      <c r="I78" s="691">
        <v>1.0783308221011095E-2</v>
      </c>
      <c r="J78" s="691">
        <v>4.8299097521905653E-3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v>9.6540110144</v>
      </c>
      <c r="D81" s="3076" t="s">
        <v>1814</v>
      </c>
      <c r="E81" s="1913">
        <f t="shared" si="30"/>
        <v>73.453465133280844</v>
      </c>
      <c r="F81" s="1913">
        <f t="shared" si="29"/>
        <v>4.7858659425621557</v>
      </c>
      <c r="G81" s="1913">
        <f t="shared" si="29"/>
        <v>4.0935362062872098</v>
      </c>
      <c r="H81" s="691">
        <v>0.70912056144253965</v>
      </c>
      <c r="I81" s="691">
        <v>4.6202802522936894E-5</v>
      </c>
      <c r="J81" s="691">
        <v>3.9519043623341917E-5</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24809.729717372295</v>
      </c>
      <c r="D89" s="3077" t="s">
        <v>1814</v>
      </c>
      <c r="E89" s="628"/>
      <c r="F89" s="628"/>
      <c r="G89" s="628"/>
      <c r="H89" s="1913">
        <f>IF(SUM(H90:H94)=0,"NO",SUM(H90:H94))</f>
        <v>1679.0049758783634</v>
      </c>
      <c r="I89" s="1913">
        <f t="shared" ref="I89:K89" si="36">IF(SUM(I90:I95)=0,"NO",SUM(I90:I95))</f>
        <v>8.3325391279892164E-2</v>
      </c>
      <c r="J89" s="1913">
        <f t="shared" si="36"/>
        <v>8.0874828472769153E-2</v>
      </c>
      <c r="K89" s="3065" t="str">
        <f t="shared" si="36"/>
        <v>NO</v>
      </c>
    </row>
    <row r="90" spans="2:11" ht="18" customHeight="1" x14ac:dyDescent="0.2">
      <c r="B90" s="158" t="s">
        <v>132</v>
      </c>
      <c r="C90" s="691">
        <v>21871.1588012092</v>
      </c>
      <c r="D90" s="3077" t="s">
        <v>1814</v>
      </c>
      <c r="E90" s="1913">
        <f>IFERROR(H90*1000/$C90,"NA")</f>
        <v>69.860377394268298</v>
      </c>
      <c r="F90" s="1913">
        <f t="shared" ref="F90:G95" si="37">IFERROR(I90*1000000/$C90,"NA")</f>
        <v>3.6876858655440885</v>
      </c>
      <c r="G90" s="1913">
        <f t="shared" si="37"/>
        <v>3.5756404623079545</v>
      </c>
      <c r="H90" s="691">
        <v>1527.9274079024474</v>
      </c>
      <c r="I90" s="691">
        <v>8.0653963174289356E-2</v>
      </c>
      <c r="J90" s="691">
        <v>7.8203400367166345E-2</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2938.5709161630939</v>
      </c>
      <c r="D92" s="3077" t="s">
        <v>1814</v>
      </c>
      <c r="E92" s="1913">
        <f t="shared" si="38"/>
        <v>51.411918339264986</v>
      </c>
      <c r="F92" s="1913">
        <f t="shared" si="37"/>
        <v>0.90909090909090906</v>
      </c>
      <c r="G92" s="1913">
        <f t="shared" si="37"/>
        <v>0.90909090909090906</v>
      </c>
      <c r="H92" s="691">
        <v>151.07756797591608</v>
      </c>
      <c r="I92" s="691">
        <v>2.6714281056028125E-3</v>
      </c>
      <c r="J92" s="691">
        <v>2.6714281056028125E-3</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t="s">
        <v>2146</v>
      </c>
      <c r="D95" s="3076" t="s">
        <v>1814</v>
      </c>
      <c r="E95" s="1913" t="str">
        <f t="shared" si="38"/>
        <v>NA</v>
      </c>
      <c r="F95" s="1913" t="str">
        <f t="shared" si="37"/>
        <v>NA</v>
      </c>
      <c r="G95" s="1913" t="str">
        <f t="shared" si="37"/>
        <v>NA</v>
      </c>
      <c r="H95" s="691" t="s">
        <v>2146</v>
      </c>
      <c r="I95" s="691" t="s">
        <v>2146</v>
      </c>
      <c r="J95" s="691" t="s">
        <v>2146</v>
      </c>
      <c r="K95" s="3093" t="s">
        <v>2146</v>
      </c>
    </row>
    <row r="96" spans="2:11" ht="18" customHeight="1" x14ac:dyDescent="0.2">
      <c r="B96" s="1242" t="s">
        <v>165</v>
      </c>
      <c r="C96" s="1913">
        <f>IF(SUM(C97:C102)=0,"NO",SUM(C97:C102))</f>
        <v>6596.9630566534252</v>
      </c>
      <c r="D96" s="3076" t="s">
        <v>1814</v>
      </c>
      <c r="E96" s="628"/>
      <c r="F96" s="628"/>
      <c r="G96" s="628"/>
      <c r="H96" s="1913">
        <f>IF(SUM(H97:H101)=0,"NO",SUM(H97:H101))</f>
        <v>376.31645525007036</v>
      </c>
      <c r="I96" s="1913">
        <f t="shared" ref="I96:K96" si="42">IF(SUM(I97:I102)=0,"NO",SUM(I97:I102))</f>
        <v>5.9684768378441607E-3</v>
      </c>
      <c r="J96" s="1913">
        <f t="shared" si="42"/>
        <v>5.6480843245691609E-3</v>
      </c>
      <c r="K96" s="3065" t="str">
        <f t="shared" si="42"/>
        <v>NO</v>
      </c>
    </row>
    <row r="97" spans="2:11" ht="18" customHeight="1" x14ac:dyDescent="0.2">
      <c r="B97" s="158" t="s">
        <v>132</v>
      </c>
      <c r="C97" s="691">
        <v>804.44639171650283</v>
      </c>
      <c r="D97" s="3076" t="s">
        <v>1814</v>
      </c>
      <c r="E97" s="1913">
        <f>IFERROR(H97*1000/$C97,"NA")</f>
        <v>67.834161670372325</v>
      </c>
      <c r="F97" s="1913">
        <f t="shared" ref="F97:G102" si="43">IFERROR(I97*1000000/$C97,"NA")</f>
        <v>0.79409297878502216</v>
      </c>
      <c r="G97" s="1913">
        <f t="shared" si="43"/>
        <v>1.0737313941259994</v>
      </c>
      <c r="H97" s="691">
        <v>54.568946590844916</v>
      </c>
      <c r="I97" s="691">
        <v>6.3880523147102051E-4</v>
      </c>
      <c r="J97" s="691">
        <v>8.6375934567739033E-4</v>
      </c>
      <c r="K97" s="3093" t="s">
        <v>2146</v>
      </c>
    </row>
    <row r="98" spans="2:11" ht="18" customHeight="1" x14ac:dyDescent="0.2">
      <c r="B98" s="158" t="s">
        <v>133</v>
      </c>
      <c r="C98" s="691">
        <v>600.26603826295457</v>
      </c>
      <c r="D98" s="3076" t="s">
        <v>1814</v>
      </c>
      <c r="E98" s="1913">
        <f t="shared" ref="E98:E102" si="44">IFERROR(H98*1000/$C98,"NA")</f>
        <v>91.299423839231608</v>
      </c>
      <c r="F98" s="1913">
        <f t="shared" si="43"/>
        <v>0.95238095238095233</v>
      </c>
      <c r="G98" s="1913">
        <f t="shared" si="43"/>
        <v>0.66666666666666652</v>
      </c>
      <c r="H98" s="691">
        <v>54.803943443665908</v>
      </c>
      <c r="I98" s="691">
        <v>5.7168194120281381E-4</v>
      </c>
      <c r="J98" s="691">
        <v>4.0017735884196964E-4</v>
      </c>
      <c r="K98" s="3093" t="s">
        <v>2146</v>
      </c>
    </row>
    <row r="99" spans="2:11" ht="18" customHeight="1" x14ac:dyDescent="0.2">
      <c r="B99" s="158" t="s">
        <v>134</v>
      </c>
      <c r="C99" s="691">
        <v>5192.2506266739674</v>
      </c>
      <c r="D99" s="3076" t="s">
        <v>1814</v>
      </c>
      <c r="E99" s="1913">
        <f t="shared" si="44"/>
        <v>51.411918339265007</v>
      </c>
      <c r="F99" s="1913">
        <f t="shared" si="43"/>
        <v>0.91636363636363638</v>
      </c>
      <c r="G99" s="1913">
        <f t="shared" si="43"/>
        <v>0.84436363636363643</v>
      </c>
      <c r="H99" s="691">
        <v>266.94356521555954</v>
      </c>
      <c r="I99" s="691">
        <v>4.7579896651703266E-3</v>
      </c>
      <c r="J99" s="691">
        <v>4.3841476200498011E-3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3620.1096762582879</v>
      </c>
      <c r="D112" s="3076" t="s">
        <v>1814</v>
      </c>
      <c r="E112" s="628"/>
      <c r="F112" s="628"/>
      <c r="G112" s="628"/>
      <c r="H112" s="1913">
        <f>H113</f>
        <v>195.0509779901071</v>
      </c>
      <c r="I112" s="1913">
        <f>I113</f>
        <v>3.918497359297976E-2</v>
      </c>
      <c r="J112" s="1913">
        <f>J113</f>
        <v>3.9594960768156596E-3</v>
      </c>
      <c r="K112" s="3065" t="str">
        <f>K113</f>
        <v>NO</v>
      </c>
    </row>
    <row r="113" spans="2:11" ht="18" customHeight="1" x14ac:dyDescent="0.2">
      <c r="B113" s="3090" t="s">
        <v>2259</v>
      </c>
      <c r="C113" s="3099">
        <f>IF(SUM(C114:C119)=0,"NO",SUM(C114:C119))</f>
        <v>3620.1096762582879</v>
      </c>
      <c r="D113" s="3099" t="s">
        <v>1814</v>
      </c>
      <c r="E113" s="628"/>
      <c r="F113" s="628"/>
      <c r="G113" s="628"/>
      <c r="H113" s="3099">
        <f>IF(SUM(H114:H118)=0,"NO",SUM(H114:H118))</f>
        <v>195.0509779901071</v>
      </c>
      <c r="I113" s="3099">
        <f t="shared" ref="I113" si="51">IF(SUM(I114:I119)=0,"NO",SUM(I114:I119))</f>
        <v>3.918497359297976E-2</v>
      </c>
      <c r="J113" s="3099">
        <f t="shared" ref="J113" si="52">IF(SUM(J114:J119)=0,"NO",SUM(J114:J119))</f>
        <v>3.9594960768156596E-3</v>
      </c>
      <c r="K113" s="3100" t="str">
        <f t="shared" ref="K113" si="53">IF(SUM(K114:K119)=0,"NO",SUM(K114:K119))</f>
        <v>NO</v>
      </c>
    </row>
    <row r="114" spans="2:11" ht="18" customHeight="1" x14ac:dyDescent="0.2">
      <c r="B114" s="158" t="s">
        <v>132</v>
      </c>
      <c r="C114" s="691">
        <v>889.04193092975208</v>
      </c>
      <c r="D114" s="3076" t="s">
        <v>1814</v>
      </c>
      <c r="E114" s="1913">
        <f>IFERROR(H114*1000/$C114,"NA")</f>
        <v>61.460711010412275</v>
      </c>
      <c r="F114" s="1913">
        <f t="shared" ref="F114:G119" si="54">IFERROR(I114*1000000/$C114,"NA")</f>
        <v>41.272387508208311</v>
      </c>
      <c r="G114" s="1913">
        <f t="shared" si="54"/>
        <v>1.7124679829824638</v>
      </c>
      <c r="H114" s="691">
        <v>54.641149193012403</v>
      </c>
      <c r="I114" s="691">
        <v>3.6692883084378493E-2</v>
      </c>
      <c r="J114" s="691">
        <v>1.5224558422461075E-3</v>
      </c>
      <c r="K114" s="3093" t="s">
        <v>2146</v>
      </c>
    </row>
    <row r="115" spans="2:11" ht="18" customHeight="1" x14ac:dyDescent="0.2">
      <c r="B115" s="158" t="s">
        <v>133</v>
      </c>
      <c r="C115" s="691">
        <v>2.17024E-2</v>
      </c>
      <c r="D115" s="3076" t="s">
        <v>1814</v>
      </c>
      <c r="E115" s="1913">
        <f t="shared" ref="E115:E119" si="55">IFERROR(H115*1000/$C115,"NA")</f>
        <v>69.7</v>
      </c>
      <c r="F115" s="1913">
        <f t="shared" si="54"/>
        <v>2.8571428571428572</v>
      </c>
      <c r="G115" s="1913">
        <f t="shared" si="54"/>
        <v>0.5714285714285714</v>
      </c>
      <c r="H115" s="691">
        <v>1.5126572800000001E-3</v>
      </c>
      <c r="I115" s="691">
        <v>6.200685714285714E-8</v>
      </c>
      <c r="J115" s="691">
        <v>1.2401371428571428E-8</v>
      </c>
      <c r="K115" s="3093" t="s">
        <v>2146</v>
      </c>
    </row>
    <row r="116" spans="2:11" ht="18" customHeight="1" x14ac:dyDescent="0.2">
      <c r="B116" s="158" t="s">
        <v>134</v>
      </c>
      <c r="C116" s="691">
        <v>2731.0460429285358</v>
      </c>
      <c r="D116" s="3076" t="s">
        <v>1814</v>
      </c>
      <c r="E116" s="1913">
        <f t="shared" si="55"/>
        <v>51.411918339265</v>
      </c>
      <c r="F116" s="1913">
        <f t="shared" si="54"/>
        <v>0.91248132128592352</v>
      </c>
      <c r="G116" s="1913">
        <f t="shared" si="54"/>
        <v>0.89234227284753764</v>
      </c>
      <c r="H116" s="691">
        <v>140.4083161398147</v>
      </c>
      <c r="I116" s="691">
        <v>2.4920285017441235E-3</v>
      </c>
      <c r="J116" s="691">
        <v>2.4370278331981234E-3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4942.8661599437155</v>
      </c>
      <c r="D10" s="4413">
        <f t="shared" ref="D10:F10" si="0">SUM(D11:D16)</f>
        <v>26937.604097606472</v>
      </c>
      <c r="E10" s="4413">
        <f t="shared" si="0"/>
        <v>1840.3117407565292</v>
      </c>
      <c r="F10" s="4413">
        <f t="shared" si="0"/>
        <v>3357.2551422454817</v>
      </c>
      <c r="G10" s="4414" t="s">
        <v>2146</v>
      </c>
      <c r="H10" s="4415" t="s">
        <v>2312</v>
      </c>
      <c r="I10" s="4416" t="s">
        <v>2313</v>
      </c>
    </row>
    <row r="11" spans="2:9" ht="18" customHeight="1" x14ac:dyDescent="0.2">
      <c r="B11" s="1558" t="s">
        <v>1476</v>
      </c>
      <c r="C11" s="4417">
        <f>Table1!D10</f>
        <v>1371.1416623141854</v>
      </c>
      <c r="D11" s="4418">
        <f>Table1!G10</f>
        <v>2501.0725216356673</v>
      </c>
      <c r="E11" s="4418">
        <f>Table1!H10</f>
        <v>724.04849246369486</v>
      </c>
      <c r="F11" s="4418">
        <f>Table1!F10</f>
        <v>2381.9636591655399</v>
      </c>
      <c r="G11" s="4419" t="s">
        <v>2146</v>
      </c>
      <c r="H11" s="4420" t="s">
        <v>2154</v>
      </c>
      <c r="I11" s="4421" t="s">
        <v>2154</v>
      </c>
    </row>
    <row r="12" spans="2:9" ht="18" customHeight="1" x14ac:dyDescent="0.2">
      <c r="B12" s="2393" t="s">
        <v>1551</v>
      </c>
      <c r="C12" s="4422">
        <f>'Table2(I)'!D10</f>
        <v>3.0130608782400001</v>
      </c>
      <c r="D12" s="4388">
        <f>'Table2(I)'!L10</f>
        <v>8.7912354537057098</v>
      </c>
      <c r="E12" s="4388">
        <f>'Table2(I)'!M10</f>
        <v>229.2808028723602</v>
      </c>
      <c r="F12" s="4388">
        <f>'Table2(I)'!K10</f>
        <v>32.896949126478567</v>
      </c>
      <c r="G12" s="4423" t="s">
        <v>2146</v>
      </c>
      <c r="H12" s="4424" t="s">
        <v>2146</v>
      </c>
      <c r="I12" s="4425" t="s">
        <v>2146</v>
      </c>
    </row>
    <row r="13" spans="2:9" ht="18" customHeight="1" x14ac:dyDescent="0.2">
      <c r="B13" s="2393" t="s">
        <v>1552</v>
      </c>
      <c r="C13" s="4422">
        <f>Table3!D10</f>
        <v>2397.1703973847857</v>
      </c>
      <c r="D13" s="4388">
        <f>Table3!G10</f>
        <v>396.62812592741602</v>
      </c>
      <c r="E13" s="4388">
        <f>Table3!H10</f>
        <v>23.136640679099266</v>
      </c>
      <c r="F13" s="4388">
        <f>Table3!F10</f>
        <v>24.52548966721486</v>
      </c>
      <c r="G13" s="4426"/>
      <c r="H13" s="4424" t="s">
        <v>2154</v>
      </c>
      <c r="I13" s="4425" t="s">
        <v>2153</v>
      </c>
    </row>
    <row r="14" spans="2:9" ht="18" customHeight="1" x14ac:dyDescent="0.2">
      <c r="B14" s="2393" t="s">
        <v>1553</v>
      </c>
      <c r="C14" s="4422">
        <f>Table4!D10</f>
        <v>675.42280105704401</v>
      </c>
      <c r="D14" s="4388">
        <f>Table4!G10</f>
        <v>24031.112214589684</v>
      </c>
      <c r="E14" s="4423">
        <f>Table4!H10</f>
        <v>623.36807453092717</v>
      </c>
      <c r="F14" s="4423">
        <f>Table4!F10</f>
        <v>917.86904428624871</v>
      </c>
      <c r="G14" s="4426"/>
      <c r="H14" s="4427" t="s">
        <v>2154</v>
      </c>
      <c r="I14" s="4425" t="s">
        <v>2154</v>
      </c>
    </row>
    <row r="15" spans="2:9" ht="18" customHeight="1" x14ac:dyDescent="0.2">
      <c r="B15" s="2393" t="s">
        <v>1554</v>
      </c>
      <c r="C15" s="4422">
        <f>Table5!D10</f>
        <v>496.11823830946025</v>
      </c>
      <c r="D15" s="4388" t="str">
        <f>Table5!G10</f>
        <v>NO</v>
      </c>
      <c r="E15" s="4423">
        <f>Table5!H10</f>
        <v>240.47773021044753</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2012</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407709.30728707562</v>
      </c>
      <c r="D10" s="4193">
        <f>SUM(D11,D22,D30,D41,D50,D56)</f>
        <v>409527.10068648926</v>
      </c>
      <c r="E10" s="3840">
        <f>IF(D10="NO",IF(C10="NO","NA",-C10),IF(C10="NO",D10,D10-C10))</f>
        <v>1817.7933994136401</v>
      </c>
      <c r="F10" s="3838">
        <f>IF(E10="NA","NA",E10/C10*100)</f>
        <v>0.44585526180634832</v>
      </c>
      <c r="G10" s="3841">
        <f>IF(E10="NA","NA",E10/Table8s2!$G$35*100)</f>
        <v>0.32912821536976011</v>
      </c>
      <c r="H10" s="3842">
        <f>IF(E10="NA","NA",E10/Table8s2!$G$34*100)</f>
        <v>0.31391196808216193</v>
      </c>
      <c r="I10" s="4194">
        <f>SUM(I11,I22,I30,I41,I50,I56)</f>
        <v>138959.58902169444</v>
      </c>
      <c r="J10" s="4193">
        <f>SUM(J11,J22,J30,J41,J50,J56)</f>
        <v>138400.25247842402</v>
      </c>
      <c r="K10" s="3840">
        <f t="shared" ref="K10:K12" si="0">IF(J10="NO",IF(I10="NO","NA",-I10),IF(I10="NO",J10,J10-I10))</f>
        <v>-559.33654327041586</v>
      </c>
      <c r="L10" s="3838">
        <f t="shared" ref="L10:L12" si="1">IF(K10="NA","NA",K10/I10*100)</f>
        <v>-0.40251741330574314</v>
      </c>
      <c r="M10" s="3841">
        <f>IF(K10="NA","NA",K10/Table8s2!$G$35*100)</f>
        <v>-0.10127302604193911</v>
      </c>
      <c r="N10" s="3842">
        <f>IF(K10="NA","NA",K10/Table8s2!$G$34*100)</f>
        <v>-9.6590974076001507E-2</v>
      </c>
      <c r="O10" s="4194">
        <f>SUM(O11,O22,O30,O41,O50,O56)</f>
        <v>23157.753074152326</v>
      </c>
      <c r="P10" s="4193">
        <f>SUM(P11,P22,P30,P41,P50,P56)</f>
        <v>22950.031127667888</v>
      </c>
      <c r="Q10" s="3840">
        <f t="shared" ref="Q10:Q12" si="2">IF(P10="NO",IF(O10="NO","NA",-O10),IF(O10="NO",P10,P10-O10))</f>
        <v>-207.72194648443838</v>
      </c>
      <c r="R10" s="3838">
        <f t="shared" ref="R10:R12" si="3">IF(Q10="NA","NA",Q10/O10*100)</f>
        <v>-0.89698661964009185</v>
      </c>
      <c r="S10" s="3841">
        <f>IF(Q10="NA","NA",Q10/Table8s2!$G$35*100)</f>
        <v>-3.7609969076578778E-2</v>
      </c>
      <c r="T10" s="3842">
        <f>IF(Q10="NA","NA",Q10/Table8s2!$G$34*100)</f>
        <v>-3.5871185942154368E-2</v>
      </c>
    </row>
    <row r="11" spans="2:20" ht="18" customHeight="1" x14ac:dyDescent="0.2">
      <c r="B11" s="1405" t="s">
        <v>1476</v>
      </c>
      <c r="C11" s="3839">
        <f>SUM(C12,C18,C21)</f>
        <v>382674.70418835356</v>
      </c>
      <c r="D11" s="3839">
        <f>Summary2!C11</f>
        <v>383050.65741161257</v>
      </c>
      <c r="E11" s="3843">
        <f t="shared" ref="E11:E38" si="4">IF(D11="NO",IF(C11="NO","NA",-C11),IF(C11="NO",D11,D11-C11))</f>
        <v>375.95322325901361</v>
      </c>
      <c r="F11" s="3839">
        <f t="shared" ref="F11:F38" si="5">IF(E11="NA","NA",E11/C11*100)</f>
        <v>9.8243552328969308E-2</v>
      </c>
      <c r="G11" s="3844">
        <f>IF(E11="NA","NA",E11/Table8s2!$G$35*100)</f>
        <v>6.8069789159572014E-2</v>
      </c>
      <c r="H11" s="3845">
        <f>IF(E11="NA","NA",E11/Table8s2!$G$34*100)</f>
        <v>6.4922788397260942E-2</v>
      </c>
      <c r="I11" s="3846">
        <f>SUM(I12,I18,I21)</f>
        <v>38390.838312018073</v>
      </c>
      <c r="J11" s="3839">
        <f>Summary2!D11</f>
        <v>38391.966544797193</v>
      </c>
      <c r="K11" s="3843">
        <f t="shared" si="0"/>
        <v>1.1282327791195712</v>
      </c>
      <c r="L11" s="3839">
        <f t="shared" si="1"/>
        <v>2.9388073528115255E-3</v>
      </c>
      <c r="M11" s="3844">
        <f>IF(K11="NA","NA",K11/Table8s2!$G$35*100)</f>
        <v>2.0427692235711111E-4</v>
      </c>
      <c r="N11" s="3845">
        <f>IF(K11="NA","NA",K11/Table8s2!$G$34*100)</f>
        <v>1.9483279687475694E-4</v>
      </c>
      <c r="O11" s="3846">
        <f>SUM(O12,O18,O21)</f>
        <v>3260.9973923091325</v>
      </c>
      <c r="P11" s="3839">
        <f>Summary2!E11</f>
        <v>3262.6606730806543</v>
      </c>
      <c r="Q11" s="3843">
        <f t="shared" si="2"/>
        <v>1.6632807715218405</v>
      </c>
      <c r="R11" s="3839">
        <f t="shared" si="3"/>
        <v>5.1005277570739208E-2</v>
      </c>
      <c r="S11" s="3844">
        <f>IF(Q11="NA","NA",Q11/Table8s2!$G$35*100)</f>
        <v>3.0115228285370861E-4</v>
      </c>
      <c r="T11" s="3845">
        <f>IF(Q11="NA","NA",Q11/Table8s2!$G$34*100)</f>
        <v>2.8722941816713466E-4</v>
      </c>
    </row>
    <row r="12" spans="2:20" ht="18" customHeight="1" x14ac:dyDescent="0.2">
      <c r="B12" s="620" t="s">
        <v>131</v>
      </c>
      <c r="C12" s="3839">
        <f>SUM(C13:C17)</f>
        <v>374387.71100199339</v>
      </c>
      <c r="D12" s="3839">
        <f>Summary2!C12</f>
        <v>374763.66058025236</v>
      </c>
      <c r="E12" s="3839">
        <f t="shared" si="4"/>
        <v>375.94957825896563</v>
      </c>
      <c r="F12" s="3847">
        <f t="shared" si="5"/>
        <v>0.10041717909297615</v>
      </c>
      <c r="G12" s="3844">
        <f>IF(E12="NA","NA",E12/Table8s2!$G$35*100)</f>
        <v>6.8069129198785924E-2</v>
      </c>
      <c r="H12" s="3845">
        <f>IF(E12="NA","NA",E12/Table8s2!$G$34*100)</f>
        <v>6.4922158947765138E-2</v>
      </c>
      <c r="I12" s="3846">
        <f>SUM(I13:I17)</f>
        <v>2227.7471942781326</v>
      </c>
      <c r="J12" s="3839">
        <f>Summary2!D12</f>
        <v>2228.6060426216468</v>
      </c>
      <c r="K12" s="3839">
        <f t="shared" si="0"/>
        <v>0.85884834351418249</v>
      </c>
      <c r="L12" s="3847">
        <f t="shared" si="1"/>
        <v>3.8552325224338532E-2</v>
      </c>
      <c r="M12" s="3844">
        <f>IF(K12="NA","NA",K12/Table8s2!$G$35*100)</f>
        <v>1.5550239244200025E-4</v>
      </c>
      <c r="N12" s="3845">
        <f>IF(K12="NA","NA",K12/Table8s2!$G$34*100)</f>
        <v>1.4831320978699045E-4</v>
      </c>
      <c r="O12" s="3848">
        <f>SUM(O13:O17)</f>
        <v>3230.621728145336</v>
      </c>
      <c r="P12" s="3847">
        <f>Summary2!E12</f>
        <v>3232.2850089168578</v>
      </c>
      <c r="Q12" s="3839">
        <f t="shared" si="2"/>
        <v>1.6632807715218405</v>
      </c>
      <c r="R12" s="3847">
        <f t="shared" si="3"/>
        <v>5.1484850641325672E-2</v>
      </c>
      <c r="S12" s="3844">
        <f>IF(Q12="NA","NA",Q12/Table8s2!$G$35*100)</f>
        <v>3.0115228285370861E-4</v>
      </c>
      <c r="T12" s="3845">
        <f>IF(Q12="NA","NA",Q12/Table8s2!$G$34*100)</f>
        <v>2.8722941816713466E-4</v>
      </c>
    </row>
    <row r="13" spans="2:20" ht="18" customHeight="1" x14ac:dyDescent="0.2">
      <c r="B13" s="1392" t="s">
        <v>1478</v>
      </c>
      <c r="C13" s="3847">
        <v>220698.04942544131</v>
      </c>
      <c r="D13" s="3839">
        <f>Summary2!C13</f>
        <v>221066.87190972728</v>
      </c>
      <c r="E13" s="3839">
        <f t="shared" si="4"/>
        <v>368.82248428597813</v>
      </c>
      <c r="F13" s="3847">
        <f t="shared" si="5"/>
        <v>0.16711633167858056</v>
      </c>
      <c r="G13" s="3844">
        <f>IF(E13="NA","NA",E13/Table8s2!$G$35*100)</f>
        <v>6.6778703278624368E-2</v>
      </c>
      <c r="H13" s="3845">
        <f>IF(E13="NA","NA",E13/Table8s2!$G$34*100)</f>
        <v>6.3691391965946031E-2</v>
      </c>
      <c r="I13" s="3846">
        <v>611.27552982680663</v>
      </c>
      <c r="J13" s="3839">
        <f>Summary2!D13</f>
        <v>611.96213452505788</v>
      </c>
      <c r="K13" s="3839">
        <f t="shared" ref="K13" si="6">IF(J13="NO",IF(I13="NO","NA",-I13),IF(I13="NO",J13,J13-I13))</f>
        <v>0.68660469825124437</v>
      </c>
      <c r="L13" s="3847">
        <f t="shared" ref="L13" si="7">IF(K13="NA","NA",K13/I13*100)</f>
        <v>0.1123232756341123</v>
      </c>
      <c r="M13" s="3844">
        <f>IF(K13="NA","NA",K13/Table8s2!$G$35*100)</f>
        <v>1.2431609613766816E-4</v>
      </c>
      <c r="N13" s="3845">
        <f>IF(K13="NA","NA",K13/Table8s2!$G$34*100)</f>
        <v>1.1856871754074528E-4</v>
      </c>
      <c r="O13" s="3848">
        <v>1091.4607833043381</v>
      </c>
      <c r="P13" s="3847">
        <f>Summary2!E13</f>
        <v>1093.1890341120561</v>
      </c>
      <c r="Q13" s="3839">
        <f t="shared" ref="Q13" si="8">IF(P13="NO",IF(O13="NO","NA",-O13),IF(O13="NO",P13,P13-O13))</f>
        <v>1.728250807718041</v>
      </c>
      <c r="R13" s="3847">
        <f t="shared" ref="R13" si="9">IF(Q13="NA","NA",Q13/O13*100)</f>
        <v>0.15834291384119692</v>
      </c>
      <c r="S13" s="3844">
        <f>IF(Q13="NA","NA",Q13/Table8s2!$G$35*100)</f>
        <v>3.1291570551365545E-4</v>
      </c>
      <c r="T13" s="3845">
        <f>IF(Q13="NA","NA",Q13/Table8s2!$G$34*100)</f>
        <v>2.9844899456965508E-4</v>
      </c>
    </row>
    <row r="14" spans="2:20" ht="18" customHeight="1" x14ac:dyDescent="0.2">
      <c r="B14" s="1392" t="s">
        <v>1517</v>
      </c>
      <c r="C14" s="3847">
        <v>42444.025966216803</v>
      </c>
      <c r="D14" s="3839">
        <f>Summary2!C14</f>
        <v>42444.02596621681</v>
      </c>
      <c r="E14" s="3839">
        <f t="shared" si="4"/>
        <v>7.2759576141834259E-12</v>
      </c>
      <c r="F14" s="3847">
        <f t="shared" si="5"/>
        <v>1.7142477530229348E-14</v>
      </c>
      <c r="G14" s="3844">
        <f>IF(E14="NA","NA",E14/Table8s2!$G$35*100)</f>
        <v>1.3173790516758761E-15</v>
      </c>
      <c r="H14" s="3845">
        <f>IF(E14="NA","NA",E14/Table8s2!$G$34*100)</f>
        <v>1.2564740168423193E-15</v>
      </c>
      <c r="I14" s="3846">
        <v>66.805629414550651</v>
      </c>
      <c r="J14" s="3839">
        <f>Summary2!D14</f>
        <v>66.805629414550651</v>
      </c>
      <c r="K14" s="3839">
        <f t="shared" ref="K14:K20" si="10">IF(J14="NO",IF(I14="NO","NA",-I14),IF(I14="NO",J14,J14-I14))</f>
        <v>0</v>
      </c>
      <c r="L14" s="3847">
        <f t="shared" ref="L14:L20" si="11">IF(K14="NA","NA",K14/I14*100)</f>
        <v>0</v>
      </c>
      <c r="M14" s="3844">
        <f>IF(K14="NA","NA",K14/Table8s2!$G$35*100)</f>
        <v>0</v>
      </c>
      <c r="N14" s="3845">
        <f>IF(K14="NA","NA",K14/Table8s2!$G$34*100)</f>
        <v>0</v>
      </c>
      <c r="O14" s="3848">
        <v>364.39067372136594</v>
      </c>
      <c r="P14" s="3847">
        <f>Summary2!E14</f>
        <v>364.39067372136594</v>
      </c>
      <c r="Q14" s="3839">
        <f t="shared" ref="Q14:Q20" si="12">IF(P14="NO",IF(O14="NO","NA",-O14),IF(O14="NO",P14,P14-O14))</f>
        <v>0</v>
      </c>
      <c r="R14" s="3847">
        <f t="shared" ref="R14:R20" si="13">IF(Q14="NA","NA",Q14/O14*100)</f>
        <v>0</v>
      </c>
      <c r="S14" s="3844">
        <f>IF(Q14="NA","NA",Q14/Table8s2!$G$35*100)</f>
        <v>0</v>
      </c>
      <c r="T14" s="3845">
        <f>IF(Q14="NA","NA",Q14/Table8s2!$G$34*100)</f>
        <v>0</v>
      </c>
    </row>
    <row r="15" spans="2:20" ht="18" customHeight="1" x14ac:dyDescent="0.2">
      <c r="B15" s="1392" t="s">
        <v>1480</v>
      </c>
      <c r="C15" s="3847">
        <v>89767.516148456998</v>
      </c>
      <c r="D15" s="3839">
        <f>Summary2!C15</f>
        <v>89768.612818043563</v>
      </c>
      <c r="E15" s="3839">
        <f t="shared" si="4"/>
        <v>1.0966695865645306</v>
      </c>
      <c r="F15" s="3847">
        <f t="shared" si="5"/>
        <v>1.2216775439690955E-3</v>
      </c>
      <c r="G15" s="3844">
        <f>IF(E15="NA","NA",E15/Table8s2!$G$35*100)</f>
        <v>1.9856211602083357E-4</v>
      </c>
      <c r="H15" s="3845">
        <f>IF(E15="NA","NA",E15/Table8s2!$G$34*100)</f>
        <v>1.8938219731976625E-4</v>
      </c>
      <c r="I15" s="3846">
        <v>449.87171550089079</v>
      </c>
      <c r="J15" s="3839">
        <f>Summary2!D15</f>
        <v>450.04314904211043</v>
      </c>
      <c r="K15" s="3839">
        <f t="shared" si="10"/>
        <v>0.17143354121964194</v>
      </c>
      <c r="L15" s="3847">
        <f t="shared" si="11"/>
        <v>3.8107205968431791E-2</v>
      </c>
      <c r="M15" s="3844">
        <f>IF(K15="NA","NA",K15/Table8s2!$G$35*100)</f>
        <v>3.1039619515803802E-5</v>
      </c>
      <c r="N15" s="3845">
        <f>IF(K15="NA","NA",K15/Table8s2!$G$34*100)</f>
        <v>2.9604596615276073E-5</v>
      </c>
      <c r="O15" s="3848">
        <v>1591.8459384454443</v>
      </c>
      <c r="P15" s="3847">
        <f>Summary2!E15</f>
        <v>1591.74689260429</v>
      </c>
      <c r="Q15" s="3839">
        <f t="shared" si="12"/>
        <v>-9.9045841154293157E-2</v>
      </c>
      <c r="R15" s="3847">
        <f t="shared" si="13"/>
        <v>-6.2220745589877105E-3</v>
      </c>
      <c r="S15" s="3844">
        <f>IF(Q15="NA","NA",Q15/Table8s2!$G$35*100)</f>
        <v>-1.7933160583278902E-5</v>
      </c>
      <c r="T15" s="3845">
        <f>IF(Q15="NA","NA",Q15/Table8s2!$G$34*100)</f>
        <v>-1.7104075158995788E-5</v>
      </c>
    </row>
    <row r="16" spans="2:20" ht="18" customHeight="1" x14ac:dyDescent="0.2">
      <c r="B16" s="1392" t="s">
        <v>1481</v>
      </c>
      <c r="C16" s="3847">
        <v>20613.945339355265</v>
      </c>
      <c r="D16" s="3839">
        <f>Summary2!C16</f>
        <v>20619.975763741699</v>
      </c>
      <c r="E16" s="3839">
        <f t="shared" si="4"/>
        <v>6.0304243864338787</v>
      </c>
      <c r="F16" s="3847">
        <f t="shared" si="5"/>
        <v>2.925410098435087E-2</v>
      </c>
      <c r="G16" s="3844">
        <f>IF(E16="NA","NA",E16/Table8s2!$G$35*100)</f>
        <v>1.0918638041426975E-3</v>
      </c>
      <c r="H16" s="3845">
        <f>IF(E16="NA","NA",E16/Table8s2!$G$34*100)</f>
        <v>1.0413847845012248E-3</v>
      </c>
      <c r="I16" s="3846">
        <v>1098.9084506590473</v>
      </c>
      <c r="J16" s="3839">
        <f>Summary2!D16</f>
        <v>1098.9092607630903</v>
      </c>
      <c r="K16" s="3839">
        <f t="shared" si="10"/>
        <v>8.1010404301196104E-4</v>
      </c>
      <c r="L16" s="3847">
        <f t="shared" si="11"/>
        <v>7.3718974726795318E-5</v>
      </c>
      <c r="M16" s="3844">
        <f>IF(K16="NA","NA",K16/Table8s2!$G$35*100)</f>
        <v>1.4667678847682003E-7</v>
      </c>
      <c r="N16" s="3845">
        <f>IF(K16="NA","NA",K16/Table8s2!$G$34*100)</f>
        <v>1.3989563092001008E-7</v>
      </c>
      <c r="O16" s="3848">
        <v>176.45155613648484</v>
      </c>
      <c r="P16" s="3847">
        <f>Summary2!E16</f>
        <v>176.48563194144288</v>
      </c>
      <c r="Q16" s="3839">
        <f t="shared" si="12"/>
        <v>3.407580495803586E-2</v>
      </c>
      <c r="R16" s="3847">
        <f t="shared" si="13"/>
        <v>1.9311705549186719E-2</v>
      </c>
      <c r="S16" s="3844">
        <f>IF(Q16="NA","NA",Q16/Table8s2!$G$35*100)</f>
        <v>6.1697379233217878E-6</v>
      </c>
      <c r="T16" s="3845">
        <f>IF(Q16="NA","NA",Q16/Table8s2!$G$34*100)</f>
        <v>5.8844987564655931E-6</v>
      </c>
    </row>
    <row r="17" spans="2:20" ht="18" customHeight="1" x14ac:dyDescent="0.2">
      <c r="B17" s="1392" t="s">
        <v>1482</v>
      </c>
      <c r="C17" s="3847">
        <v>864.17412252301745</v>
      </c>
      <c r="D17" s="3839">
        <f>Summary2!C17</f>
        <v>864.17412252301733</v>
      </c>
      <c r="E17" s="3839">
        <f t="shared" si="4"/>
        <v>-1.1368683772161603E-13</v>
      </c>
      <c r="F17" s="3847">
        <f t="shared" si="5"/>
        <v>-1.3155547563689974E-14</v>
      </c>
      <c r="G17" s="3844">
        <f>IF(E17="NA","NA",E17/Table8s2!$G$35*100)</f>
        <v>-2.0584047682435564E-17</v>
      </c>
      <c r="H17" s="3845">
        <f>IF(E17="NA","NA",E17/Table8s2!$G$34*100)</f>
        <v>-1.9632406513161239E-17</v>
      </c>
      <c r="I17" s="3846">
        <v>0.88586887683750393</v>
      </c>
      <c r="J17" s="3839">
        <f>Summary2!D17</f>
        <v>0.88586887683750382</v>
      </c>
      <c r="K17" s="3839">
        <f t="shared" si="10"/>
        <v>-1.1102230246251565E-16</v>
      </c>
      <c r="L17" s="3847">
        <f t="shared" si="11"/>
        <v>-1.2532588666943382E-14</v>
      </c>
      <c r="M17" s="3844">
        <f>IF(K17="NA","NA",K17/Table8s2!$G$35*100)</f>
        <v>-2.0101609064878481E-20</v>
      </c>
      <c r="N17" s="3845">
        <f>IF(K17="NA","NA",K17/Table8s2!$G$34*100)</f>
        <v>-1.9172271985509023E-20</v>
      </c>
      <c r="O17" s="3848">
        <v>6.4727765377027051</v>
      </c>
      <c r="P17" s="3847">
        <f>Summary2!E17</f>
        <v>6.472776537702706</v>
      </c>
      <c r="Q17" s="3839">
        <f t="shared" si="12"/>
        <v>8.8817841970012523E-16</v>
      </c>
      <c r="R17" s="3847">
        <f t="shared" si="13"/>
        <v>1.3721753169241253E-14</v>
      </c>
      <c r="S17" s="3844">
        <f>IF(Q17="NA","NA",Q17/Table8s2!$G$35*100)</f>
        <v>1.6081287251902785E-19</v>
      </c>
      <c r="T17" s="3845">
        <f>IF(Q17="NA","NA",Q17/Table8s2!$G$34*100)</f>
        <v>1.5337817588407218E-19</v>
      </c>
    </row>
    <row r="18" spans="2:20" ht="18" customHeight="1" x14ac:dyDescent="0.2">
      <c r="B18" s="620" t="s">
        <v>99</v>
      </c>
      <c r="C18" s="3847">
        <f>SUM(C19:C20)</f>
        <v>8286.9931863601942</v>
      </c>
      <c r="D18" s="3839">
        <f>Summary2!C18</f>
        <v>8286.996831360193</v>
      </c>
      <c r="E18" s="3839">
        <f t="shared" si="4"/>
        <v>3.6449999988690251E-3</v>
      </c>
      <c r="F18" s="3847">
        <f t="shared" si="5"/>
        <v>4.3984590271757888E-5</v>
      </c>
      <c r="G18" s="3844">
        <f>IF(E18="NA","NA",E18/Table8s2!$G$35*100)</f>
        <v>6.5996077719146433E-7</v>
      </c>
      <c r="H18" s="3845">
        <f>IF(E18="NA","NA",E18/Table8s2!$G$34*100)</f>
        <v>6.2944948731442075E-7</v>
      </c>
      <c r="I18" s="3846">
        <f>SUM(I19:I20)</f>
        <v>36163.091117739939</v>
      </c>
      <c r="J18" s="3839">
        <f>Summary2!D18</f>
        <v>36163.360502175543</v>
      </c>
      <c r="K18" s="3839">
        <f t="shared" si="10"/>
        <v>0.26938443560356973</v>
      </c>
      <c r="L18" s="3847">
        <f t="shared" si="11"/>
        <v>7.4491540207806569E-4</v>
      </c>
      <c r="M18" s="3844">
        <f>IF(K18="NA","NA",K18/Table8s2!$G$35*100)</f>
        <v>4.877452991478152E-5</v>
      </c>
      <c r="N18" s="3845">
        <f>IF(K18="NA","NA",K18/Table8s2!$G$34*100)</f>
        <v>4.6519587087452403E-5</v>
      </c>
      <c r="O18" s="3848">
        <f>SUM(O19:O20)</f>
        <v>30.375664163796422</v>
      </c>
      <c r="P18" s="3847">
        <f>Summary2!E18</f>
        <v>30.375664163796426</v>
      </c>
      <c r="Q18" s="3839">
        <f t="shared" si="12"/>
        <v>3.5527136788005009E-15</v>
      </c>
      <c r="R18" s="3847">
        <f t="shared" si="13"/>
        <v>1.1695920983465582E-14</v>
      </c>
      <c r="S18" s="3844">
        <f>IF(Q18="NA","NA",Q18/Table8s2!$G$35*100)</f>
        <v>6.4325149007611139E-19</v>
      </c>
      <c r="T18" s="3845">
        <f>IF(Q18="NA","NA",Q18/Table8s2!$G$34*100)</f>
        <v>6.1351270353628873E-19</v>
      </c>
    </row>
    <row r="19" spans="2:20" ht="18" customHeight="1" x14ac:dyDescent="0.2">
      <c r="B19" s="1392" t="s">
        <v>1483</v>
      </c>
      <c r="C19" s="3847">
        <v>1580.2163662576818</v>
      </c>
      <c r="D19" s="3839">
        <f>Summary2!C19</f>
        <v>1580.216366257682</v>
      </c>
      <c r="E19" s="3839">
        <f t="shared" si="4"/>
        <v>2.2737367544323206E-13</v>
      </c>
      <c r="F19" s="3847">
        <f t="shared" si="5"/>
        <v>1.4388768544506696E-14</v>
      </c>
      <c r="G19" s="3844">
        <f>IF(E19="NA","NA",E19/Table8s2!$G$35*100)</f>
        <v>4.1168095364871129E-17</v>
      </c>
      <c r="H19" s="3845">
        <f>IF(E19="NA","NA",E19/Table8s2!$G$34*100)</f>
        <v>3.9264813026322479E-17</v>
      </c>
      <c r="I19" s="3846">
        <v>29999.087913618674</v>
      </c>
      <c r="J19" s="3839">
        <f>Summary2!D19</f>
        <v>29999.087913618678</v>
      </c>
      <c r="K19" s="3839">
        <f t="shared" si="10"/>
        <v>3.637978807091713E-12</v>
      </c>
      <c r="L19" s="3847">
        <f t="shared" si="11"/>
        <v>1.2126964718284587E-14</v>
      </c>
      <c r="M19" s="3844">
        <f>IF(K19="NA","NA",K19/Table8s2!$G$35*100)</f>
        <v>6.5868952583793806E-16</v>
      </c>
      <c r="N19" s="3845">
        <f>IF(K19="NA","NA",K19/Table8s2!$G$34*100)</f>
        <v>6.2823700842115966E-16</v>
      </c>
      <c r="O19" s="3848">
        <v>9.3634103224227161E-2</v>
      </c>
      <c r="P19" s="3847">
        <f>Summary2!E19</f>
        <v>9.3634103224227161E-2</v>
      </c>
      <c r="Q19" s="3839">
        <f t="shared" si="12"/>
        <v>0</v>
      </c>
      <c r="R19" s="3847">
        <f t="shared" si="13"/>
        <v>0</v>
      </c>
      <c r="S19" s="3844">
        <f>IF(Q19="NA","NA",Q19/Table8s2!$G$35*100)</f>
        <v>0</v>
      </c>
      <c r="T19" s="3845">
        <f>IF(Q19="NA","NA",Q19/Table8s2!$G$34*100)</f>
        <v>0</v>
      </c>
    </row>
    <row r="20" spans="2:20" ht="18" customHeight="1" x14ac:dyDescent="0.2">
      <c r="B20" s="1393" t="s">
        <v>1484</v>
      </c>
      <c r="C20" s="3849">
        <v>6706.7768201025119</v>
      </c>
      <c r="D20" s="3850">
        <f>Summary2!C20</f>
        <v>6706.7804651025117</v>
      </c>
      <c r="E20" s="3850">
        <f t="shared" si="4"/>
        <v>3.6449999997785199E-3</v>
      </c>
      <c r="F20" s="3849">
        <f t="shared" si="5"/>
        <v>5.4348013920087571E-5</v>
      </c>
      <c r="G20" s="3851">
        <f>IF(E20="NA","NA",E20/Table8s2!$G$35*100)</f>
        <v>6.5996077735613675E-7</v>
      </c>
      <c r="H20" s="3852">
        <f>IF(E20="NA","NA",E20/Table8s2!$G$34*100)</f>
        <v>6.2944948747147993E-7</v>
      </c>
      <c r="I20" s="3853">
        <v>6164.0032041212689</v>
      </c>
      <c r="J20" s="3850">
        <f>Summary2!D20</f>
        <v>6164.2725885568689</v>
      </c>
      <c r="K20" s="3839">
        <f t="shared" si="10"/>
        <v>0.26938443559993175</v>
      </c>
      <c r="L20" s="3847">
        <f t="shared" si="11"/>
        <v>4.3702838346972401E-3</v>
      </c>
      <c r="M20" s="3844">
        <f>IF(K20="NA","NA",K20/Table8s2!$G$35*100)</f>
        <v>4.8774529914122827E-5</v>
      </c>
      <c r="N20" s="3845">
        <f>IF(K20="NA","NA",K20/Table8s2!$G$34*100)</f>
        <v>4.6519587086824169E-5</v>
      </c>
      <c r="O20" s="3854">
        <v>30.282030060572197</v>
      </c>
      <c r="P20" s="3849">
        <f>Summary2!E20</f>
        <v>30.2820300605722</v>
      </c>
      <c r="Q20" s="3839">
        <f t="shared" si="12"/>
        <v>3.5527136788005009E-15</v>
      </c>
      <c r="R20" s="3847">
        <f t="shared" si="13"/>
        <v>1.1732085569210911E-14</v>
      </c>
      <c r="S20" s="3844">
        <f>IF(Q20="NA","NA",Q20/Table8s2!$G$35*100)</f>
        <v>6.4325149007611139E-19</v>
      </c>
      <c r="T20" s="3845">
        <f>IF(Q20="NA","NA",Q20/Table8s2!$G$34*100)</f>
        <v>6.1351270353628873E-19</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21400.502319958701</v>
      </c>
      <c r="D22" s="3839">
        <f>Summary2!C22</f>
        <v>21453.369801551238</v>
      </c>
      <c r="E22" s="3861">
        <f t="shared" si="4"/>
        <v>52.867481592536933</v>
      </c>
      <c r="F22" s="3861">
        <f t="shared" si="5"/>
        <v>0.24703850779816161</v>
      </c>
      <c r="G22" s="3862">
        <f>IF(E22="NA","NA",E22/Table8s2!$G$35*100)</f>
        <v>9.572143827377767E-3</v>
      </c>
      <c r="H22" s="3863">
        <f>IF(E22="NA","NA",E22/Table8s2!$G$34*100)</f>
        <v>9.1296047172434291E-3</v>
      </c>
      <c r="I22" s="3839">
        <f>SUM(I23:I29)</f>
        <v>84.365704590720014</v>
      </c>
      <c r="J22" s="3839">
        <f>Summary2!D22</f>
        <v>84.36570459072</v>
      </c>
      <c r="K22" s="3861">
        <f t="shared" ref="K22" si="14">IF(J22="NO",IF(I22="NO","NA",-I22),IF(I22="NO",J22,J22-I22))</f>
        <v>-1.4210854715202004E-14</v>
      </c>
      <c r="L22" s="3861">
        <f t="shared" ref="L22" si="15">IF(K22="NA","NA",K22/I22*100)</f>
        <v>-1.6844350182509064E-14</v>
      </c>
      <c r="M22" s="3862">
        <f>IF(K22="NA","NA",K22/Table8s2!$G$35*100)</f>
        <v>-2.5730059603044455E-18</v>
      </c>
      <c r="N22" s="3863">
        <f>IF(K22="NA","NA",K22/Table8s2!$G$34*100)</f>
        <v>-2.4540508141451549E-18</v>
      </c>
      <c r="O22" s="3839">
        <f>SUM(O23:O29)</f>
        <v>2158.2144264774756</v>
      </c>
      <c r="P22" s="3839">
        <f>Summary2!E22</f>
        <v>2158.2144264774756</v>
      </c>
      <c r="Q22" s="3861">
        <f t="shared" ref="Q22" si="16">IF(P22="NO",IF(O22="NO","NA",-O22),IF(O22="NO",P22,P22-O22))</f>
        <v>0</v>
      </c>
      <c r="R22" s="3864">
        <f t="shared" ref="R22" si="17">IF(Q22="NA","NA",Q22/O22*100)</f>
        <v>0</v>
      </c>
      <c r="S22" s="3865">
        <f>IF(Q22="NA","NA",Q22/Table8s2!$G$35*100)</f>
        <v>0</v>
      </c>
      <c r="T22" s="3866">
        <f>IF(Q22="NA","NA",Q22/Table8s2!$G$34*100)</f>
        <v>0</v>
      </c>
    </row>
    <row r="23" spans="2:20" ht="18" customHeight="1" x14ac:dyDescent="0.2">
      <c r="B23" s="1394" t="s">
        <v>1487</v>
      </c>
      <c r="C23" s="3839">
        <v>6411.4379974569229</v>
      </c>
      <c r="D23" s="3839">
        <f>Summary2!C23</f>
        <v>6411.4761811194594</v>
      </c>
      <c r="E23" s="3839">
        <f t="shared" si="4"/>
        <v>3.8183662536539487E-2</v>
      </c>
      <c r="F23" s="3847">
        <f t="shared" si="5"/>
        <v>5.9555535827820409E-4</v>
      </c>
      <c r="G23" s="3844">
        <f>IF(E23="NA","NA",E23/Table8s2!$G$35*100)</f>
        <v>6.9135033227572559E-6</v>
      </c>
      <c r="H23" s="3845">
        <f>IF(E23="NA","NA",E23/Table8s2!$G$34*100)</f>
        <v>6.5938784128584752E-6</v>
      </c>
      <c r="I23" s="1925"/>
      <c r="J23" s="1925"/>
      <c r="K23" s="1925"/>
      <c r="L23" s="1925"/>
      <c r="M23" s="1925"/>
      <c r="N23" s="1925"/>
      <c r="O23" s="1925"/>
      <c r="P23" s="1925"/>
      <c r="Q23" s="1925"/>
      <c r="R23" s="1925"/>
      <c r="S23" s="1925"/>
      <c r="T23" s="1925"/>
    </row>
    <row r="24" spans="2:20" ht="18" customHeight="1" x14ac:dyDescent="0.2">
      <c r="B24" s="1394" t="s">
        <v>621</v>
      </c>
      <c r="C24" s="3839">
        <v>3184.1667361484665</v>
      </c>
      <c r="D24" s="3839">
        <f>Summary2!C24</f>
        <v>3232.4615421484659</v>
      </c>
      <c r="E24" s="3839">
        <f t="shared" si="4"/>
        <v>48.294805999999426</v>
      </c>
      <c r="F24" s="3847">
        <f t="shared" si="5"/>
        <v>1.5167172451030722</v>
      </c>
      <c r="G24" s="3844">
        <f>IF(E24="NA","NA",E24/Table8s2!$G$35*100)</f>
        <v>8.7442188510178619E-3</v>
      </c>
      <c r="H24" s="3845">
        <f>IF(E24="NA","NA",E24/Table8s2!$G$34*100)</f>
        <v>8.3399563473474138E-3</v>
      </c>
      <c r="I24" s="3846">
        <v>16.177380799999998</v>
      </c>
      <c r="J24" s="3839">
        <f>Summary2!D24</f>
        <v>16.177380800000002</v>
      </c>
      <c r="K24" s="3839">
        <f t="shared" ref="K24" si="18">IF(J24="NO",IF(I24="NO","NA",-I24),IF(I24="NO",J24,J24-I24))</f>
        <v>3.5527136788005009E-15</v>
      </c>
      <c r="L24" s="3847">
        <f t="shared" ref="L24" si="19">IF(K24="NA","NA",K24/I24*100)</f>
        <v>2.1960994321160452E-14</v>
      </c>
      <c r="M24" s="3844">
        <f>IF(K24="NA","NA",K24/Table8s2!$G$35*100)</f>
        <v>6.4325149007611139E-19</v>
      </c>
      <c r="N24" s="3845">
        <f>IF(K24="NA","NA",K24/Table8s2!$G$34*100)</f>
        <v>6.1351270353628873E-19</v>
      </c>
      <c r="O24" s="3848">
        <v>2141.1576904064573</v>
      </c>
      <c r="P24" s="3847">
        <f>Summary2!E24</f>
        <v>2141.1576904064573</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11398.781007211961</v>
      </c>
      <c r="D25" s="3839">
        <f>Summary2!C25</f>
        <v>11398.781007211961</v>
      </c>
      <c r="E25" s="3839">
        <f t="shared" si="4"/>
        <v>0</v>
      </c>
      <c r="F25" s="3847">
        <f t="shared" si="5"/>
        <v>0</v>
      </c>
      <c r="G25" s="3844">
        <f>IF(E25="NA","NA",E25/Table8s2!$G$35*100)</f>
        <v>0</v>
      </c>
      <c r="H25" s="3845">
        <f>IF(E25="NA","NA",E25/Table8s2!$G$34*100)</f>
        <v>0</v>
      </c>
      <c r="I25" s="3846">
        <v>68.18832379072002</v>
      </c>
      <c r="J25" s="3839">
        <f>Summary2!D25</f>
        <v>68.188323790720005</v>
      </c>
      <c r="K25" s="3839">
        <f t="shared" ref="K25:K26" si="22">IF(J25="NO",IF(I25="NO","NA",-I25),IF(I25="NO",J25,J25-I25))</f>
        <v>-1.4210854715202004E-14</v>
      </c>
      <c r="L25" s="3847">
        <f t="shared" ref="L25:L26" si="23">IF(K25="NA","NA",K25/I25*100)</f>
        <v>-2.0840598397486941E-14</v>
      </c>
      <c r="M25" s="3844">
        <f>IF(K25="NA","NA",K25/Table8s2!$G$35*100)</f>
        <v>-2.5730059603044455E-18</v>
      </c>
      <c r="N25" s="3845">
        <f>IF(K25="NA","NA",K25/Table8s2!$G$34*100)</f>
        <v>-2.4540508141451549E-18</v>
      </c>
      <c r="O25" s="3848">
        <v>17.05673607101857</v>
      </c>
      <c r="P25" s="3847">
        <f>Summary2!E25</f>
        <v>17.056736071018573</v>
      </c>
      <c r="Q25" s="3839">
        <f t="shared" ref="Q25:Q29" si="24">IF(P25="NO",IF(O25="NO","NA",-O25),IF(O25="NO",P25,P25-O25))</f>
        <v>3.5527136788005009E-15</v>
      </c>
      <c r="R25" s="3847">
        <f t="shared" ref="R25:R29" si="25">IF(Q25="NA","NA",Q25/O25*100)</f>
        <v>2.0828801383853184E-14</v>
      </c>
      <c r="S25" s="3844">
        <f>IF(Q25="NA","NA",Q25/Table8s2!$G$35*100)</f>
        <v>6.4325149007611139E-19</v>
      </c>
      <c r="T25" s="3845">
        <f>IF(Q25="NA","NA",Q25/Table8s2!$G$34*100)</f>
        <v>6.1351270353628873E-19</v>
      </c>
    </row>
    <row r="26" spans="2:20" ht="18" customHeight="1" x14ac:dyDescent="0.2">
      <c r="B26" s="1395" t="s">
        <v>1519</v>
      </c>
      <c r="C26" s="3839">
        <v>188.11059630000003</v>
      </c>
      <c r="D26" s="3839">
        <f>Summary2!C26</f>
        <v>192.64508823</v>
      </c>
      <c r="E26" s="3839">
        <f t="shared" si="4"/>
        <v>4.5344919299999731</v>
      </c>
      <c r="F26" s="3847">
        <f t="shared" si="5"/>
        <v>2.4105457210758798</v>
      </c>
      <c r="G26" s="3844">
        <f>IF(E26="NA","NA",E26/Table8s2!$G$35*100)</f>
        <v>8.2101147303696807E-4</v>
      </c>
      <c r="H26" s="3845">
        <f>IF(E26="NA","NA",E26/Table8s2!$G$34*100)</f>
        <v>7.830544914829838E-4</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218.00598284134924</v>
      </c>
      <c r="D29" s="3855">
        <f>Summary2!C30</f>
        <v>218.00598284134924</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2045.0737274324219</v>
      </c>
      <c r="D30" s="3875">
        <f>Summary2!C31</f>
        <v>2045.0737274324219</v>
      </c>
      <c r="E30" s="3861">
        <f t="shared" si="4"/>
        <v>0</v>
      </c>
      <c r="F30" s="3876">
        <f t="shared" si="5"/>
        <v>0</v>
      </c>
      <c r="G30" s="3877">
        <f>IF(E30="NA","NA",E30/Table8s2!$G$35*100)</f>
        <v>0</v>
      </c>
      <c r="H30" s="3878">
        <f>IF(E30="NA","NA",E30/Table8s2!$G$34*100)</f>
        <v>0</v>
      </c>
      <c r="I30" s="3874">
        <f>SUM(I31:I40)</f>
        <v>67120.771126774009</v>
      </c>
      <c r="J30" s="3875">
        <f>Summary2!D31</f>
        <v>67120.771126773994</v>
      </c>
      <c r="K30" s="3861">
        <f t="shared" ref="K30" si="28">IF(J30="NO",IF(I30="NO","NA",-I30),IF(I30="NO",J30,J30-I30))</f>
        <v>-1.4551915228366852E-11</v>
      </c>
      <c r="L30" s="3876">
        <f t="shared" ref="L30" si="29">IF(K30="NA","NA",K30/I30*100)</f>
        <v>-2.1680196732069715E-14</v>
      </c>
      <c r="M30" s="3877">
        <f>IF(K30="NA","NA",K30/Table8s2!$G$35*100)</f>
        <v>-2.6347581033517522E-15</v>
      </c>
      <c r="N30" s="3878">
        <f>IF(K30="NA","NA",K30/Table8s2!$G$34*100)</f>
        <v>-2.5129480336846386E-15</v>
      </c>
      <c r="O30" s="3874">
        <f>SUM(O31:O40)</f>
        <v>12276.870402281176</v>
      </c>
      <c r="P30" s="3875">
        <f>Summary2!E31</f>
        <v>12276.929759639343</v>
      </c>
      <c r="Q30" s="3861">
        <f t="shared" ref="Q30" si="30">IF(P30="NO",IF(O30="NO","NA",-O30),IF(O30="NO",P30,P30-O30))</f>
        <v>5.9357358166380436E-2</v>
      </c>
      <c r="R30" s="3880">
        <f t="shared" ref="R30" si="31">IF(Q30="NA","NA",Q30/O30*100)</f>
        <v>4.8348932766571518E-4</v>
      </c>
      <c r="S30" s="3881">
        <f>IF(Q30="NA","NA",Q30/Table8s2!$G$35*100)</f>
        <v>1.0747195676178698E-5</v>
      </c>
      <c r="T30" s="3882">
        <f>IF(Q30="NA","NA",Q30/Table8s2!$G$34*100)</f>
        <v>1.0250331598836619E-5</v>
      </c>
    </row>
    <row r="31" spans="2:20" ht="18" customHeight="1" x14ac:dyDescent="0.2">
      <c r="B31" s="620" t="s">
        <v>1492</v>
      </c>
      <c r="C31" s="3867"/>
      <c r="D31" s="3867"/>
      <c r="E31" s="3868"/>
      <c r="F31" s="3868"/>
      <c r="G31" s="3869"/>
      <c r="H31" s="3870"/>
      <c r="I31" s="3846">
        <v>59481.050339289817</v>
      </c>
      <c r="J31" s="3839">
        <f>Summary2!D32</f>
        <v>59481.05033928981</v>
      </c>
      <c r="K31" s="3883">
        <f t="shared" ref="K31:K33" si="32">IF(J31="NO",IF(I31="NO","NA",-I31),IF(I31="NO",J31,J31-I31))</f>
        <v>-7.2759576141834259E-12</v>
      </c>
      <c r="L31" s="3883">
        <f t="shared" ref="L31:L33" si="33">IF(K31="NA","NA",K31/I31*100)</f>
        <v>-1.2232395986083219E-14</v>
      </c>
      <c r="M31" s="3884">
        <f>IF(K31="NA","NA",K31/Table8s2!$G$35*100)</f>
        <v>-1.3173790516758761E-15</v>
      </c>
      <c r="N31" s="3885">
        <f>IF(K31="NA","NA",K31/Table8s2!$G$34*100)</f>
        <v>-1.2564740168423193E-15</v>
      </c>
      <c r="O31" s="3886"/>
      <c r="P31" s="3887"/>
      <c r="Q31" s="3868"/>
      <c r="R31" s="3888"/>
      <c r="S31" s="3889"/>
      <c r="T31" s="3890"/>
    </row>
    <row r="32" spans="2:20" ht="18" customHeight="1" x14ac:dyDescent="0.2">
      <c r="B32" s="620" t="s">
        <v>1493</v>
      </c>
      <c r="C32" s="3891"/>
      <c r="D32" s="3891"/>
      <c r="E32" s="3892"/>
      <c r="F32" s="3892"/>
      <c r="G32" s="3869"/>
      <c r="H32" s="3870"/>
      <c r="I32" s="3846">
        <v>6896.1828749722063</v>
      </c>
      <c r="J32" s="3847">
        <f>Summary2!D33</f>
        <v>6896.1828749722063</v>
      </c>
      <c r="K32" s="3893">
        <f t="shared" si="32"/>
        <v>0</v>
      </c>
      <c r="L32" s="3893">
        <f t="shared" si="33"/>
        <v>0</v>
      </c>
      <c r="M32" s="3884">
        <f>IF(K32="NA","NA",K32/Table8s2!$G$35*100)</f>
        <v>0</v>
      </c>
      <c r="N32" s="3885">
        <f>IF(K32="NA","NA",K32/Table8s2!$G$34*100)</f>
        <v>0</v>
      </c>
      <c r="O32" s="3848">
        <v>432.16848678751467</v>
      </c>
      <c r="P32" s="3847">
        <f>Summary2!E33</f>
        <v>432.16848678751478</v>
      </c>
      <c r="Q32" s="3893">
        <f t="shared" ref="Q32" si="34">IF(P32="NO",IF(O32="NO","NA",-O32),IF(O32="NO",P32,P32-O32))</f>
        <v>1.1368683772161603E-13</v>
      </c>
      <c r="R32" s="3894">
        <f t="shared" ref="R32" si="35">IF(Q32="NA","NA",Q32/O32*100)</f>
        <v>2.6306137813679301E-14</v>
      </c>
      <c r="S32" s="3895">
        <f>IF(Q32="NA","NA",Q32/Table8s2!$G$35*100)</f>
        <v>2.0584047682435564E-17</v>
      </c>
      <c r="T32" s="3896">
        <f>IF(Q32="NA","NA",Q32/Table8s2!$G$34*100)</f>
        <v>1.9632406513161239E-17</v>
      </c>
    </row>
    <row r="33" spans="2:21" ht="18" customHeight="1" x14ac:dyDescent="0.2">
      <c r="B33" s="620" t="s">
        <v>1494</v>
      </c>
      <c r="C33" s="3891"/>
      <c r="D33" s="3891"/>
      <c r="E33" s="3892"/>
      <c r="F33" s="3892"/>
      <c r="G33" s="3897"/>
      <c r="H33" s="3898"/>
      <c r="I33" s="3848">
        <v>458.77925800000003</v>
      </c>
      <c r="J33" s="3847">
        <f>Summary2!D34</f>
        <v>458.77925800000003</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11732.209638456916</v>
      </c>
      <c r="P34" s="3847">
        <f>Summary2!E35</f>
        <v>11732.268995815084</v>
      </c>
      <c r="Q34" s="3893">
        <f t="shared" ref="Q34" si="36">IF(P34="NO",IF(O34="NO","NA",-O34),IF(O34="NO",P34,P34-O34))</f>
        <v>5.9357358168199426E-2</v>
      </c>
      <c r="R34" s="3894">
        <f t="shared" ref="R34" si="37">IF(Q34="NA","NA",Q34/O34*100)</f>
        <v>5.0593502841640692E-4</v>
      </c>
      <c r="S34" s="3895">
        <f>IF(Q34="NA","NA",Q34/Table8s2!$G$35*100)</f>
        <v>1.0747195676508043E-5</v>
      </c>
      <c r="T34" s="3896">
        <f>IF(Q34="NA","NA",Q34/Table8s2!$G$34*100)</f>
        <v>1.0250331599150736E-5</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284.75865451199087</v>
      </c>
      <c r="J36" s="3847">
        <f>Summary2!D37</f>
        <v>284.75865451199093</v>
      </c>
      <c r="K36" s="3893">
        <f t="shared" ref="K36" si="38">IF(J36="NO",IF(I36="NO","NA",-I36),IF(I36="NO",J36,J36-I36))</f>
        <v>5.6843418860808015E-14</v>
      </c>
      <c r="L36" s="3893">
        <f t="shared" ref="L36" si="39">IF(K36="NA","NA",K36/I36*100)</f>
        <v>1.9961963564627812E-14</v>
      </c>
      <c r="M36" s="3884">
        <f>IF(K36="NA","NA",K36/Table8s2!$G$35*100)</f>
        <v>1.0292023841217782E-17</v>
      </c>
      <c r="N36" s="3885">
        <f>IF(K36="NA","NA",K36/Table8s2!$G$34*100)</f>
        <v>9.8162032565806197E-18</v>
      </c>
      <c r="O36" s="3848">
        <v>112.49227703674494</v>
      </c>
      <c r="P36" s="3847">
        <f>Summary2!E37</f>
        <v>112.49227703674494</v>
      </c>
      <c r="Q36" s="3893">
        <f t="shared" ref="Q36" si="40">IF(P36="NO",IF(O36="NO","NA",-O36),IF(O36="NO",P36,P36-O36))</f>
        <v>0</v>
      </c>
      <c r="R36" s="3894">
        <f t="shared" ref="R36" si="41">IF(Q36="NA","NA",Q36/O36*100)</f>
        <v>0</v>
      </c>
      <c r="S36" s="3895">
        <f>IF(Q36="NA","NA",Q36/Table8s2!$G$35*100)</f>
        <v>0</v>
      </c>
      <c r="T36" s="3896">
        <f>IF(Q36="NA","NA",Q36/Table8s2!$G$34*100)</f>
        <v>0</v>
      </c>
    </row>
    <row r="37" spans="2:21" ht="18" customHeight="1" x14ac:dyDescent="0.2">
      <c r="B37" s="620" t="s">
        <v>721</v>
      </c>
      <c r="C37" s="3847">
        <v>924.61635380044606</v>
      </c>
      <c r="D37" s="3847">
        <f>Summary2!C38</f>
        <v>924.61635380044606</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1120.457373631976</v>
      </c>
      <c r="D38" s="3847">
        <f>Summary2!C39</f>
        <v>1120.457373631976</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1558.3972495501807</v>
      </c>
      <c r="D41" s="3839">
        <f>Summary2!C42</f>
        <v>2947.3699441123108</v>
      </c>
      <c r="E41" s="3929">
        <f t="shared" ref="E41" si="42">IF(D41="NO",IF(C41="NO","NA",-C41),IF(C41="NO",D41,D41-C41))</f>
        <v>1388.9726945621301</v>
      </c>
      <c r="F41" s="3929">
        <f t="shared" ref="F41" si="43">IF(E41="NA","NA",E41/C41*100)</f>
        <v>89.128281955261812</v>
      </c>
      <c r="G41" s="3869"/>
      <c r="H41" s="3929">
        <f>IF(E41="NA","NA",E41/Table8s2!$G$34*100)</f>
        <v>0.23985957496766458</v>
      </c>
      <c r="I41" s="3846">
        <f>SUM(I42:I49)</f>
        <v>19521.609806982327</v>
      </c>
      <c r="J41" s="3839">
        <f>Summary2!D42</f>
        <v>18911.838429597232</v>
      </c>
      <c r="K41" s="3929">
        <f t="shared" ref="K41:K46" si="44">IF(J41="NO",IF(I41="NO","NA",-I41),IF(I41="NO",J41,J41-I41))</f>
        <v>-609.77137738509555</v>
      </c>
      <c r="L41" s="3929">
        <f t="shared" ref="L41:L46" si="45">IF(K41="NA","NA",K41/I41*100)</f>
        <v>-3.1235711778595099</v>
      </c>
      <c r="M41" s="3889"/>
      <c r="N41" s="3930">
        <f>IF(K41="NA","NA",K41/Table8s2!$G$34*100)</f>
        <v>-0.10530048861266082</v>
      </c>
      <c r="O41" s="3846">
        <f>SUM(O42:O49)</f>
        <v>4936.5162927628817</v>
      </c>
      <c r="P41" s="3839">
        <f>Summary2!E42</f>
        <v>4912.6852730009641</v>
      </c>
      <c r="Q41" s="3929">
        <f t="shared" ref="Q41" si="46">IF(P41="NO",IF(O41="NO","NA",-O41),IF(O41="NO",P41,P41-O41))</f>
        <v>-23.83101976191756</v>
      </c>
      <c r="R41" s="3929">
        <f t="shared" ref="R41" si="47">IF(Q41="NA","NA",Q41/O41*100)</f>
        <v>-0.48274974392072262</v>
      </c>
      <c r="S41" s="3889"/>
      <c r="T41" s="3930">
        <f>IF(Q41="NA","NA",Q41/Table8s2!$G$34*100)</f>
        <v>-4.1153424351092413E-3</v>
      </c>
      <c r="U41" s="713"/>
    </row>
    <row r="42" spans="2:21" ht="18" customHeight="1" x14ac:dyDescent="0.2">
      <c r="B42" s="620" t="s">
        <v>981</v>
      </c>
      <c r="C42" s="3847">
        <v>-47103.002921323263</v>
      </c>
      <c r="D42" s="3847">
        <f>Summary2!C43</f>
        <v>-46193.257331282068</v>
      </c>
      <c r="E42" s="3931">
        <f t="shared" ref="E42:E50" si="48">IF(D42="NO",IF(C42="NO","NA",-C42),IF(C42="NO",D42,D42-C42))</f>
        <v>909.7455900411951</v>
      </c>
      <c r="F42" s="3931">
        <f t="shared" ref="F42:F50" si="49">IF(E42="NA","NA",E42/C42*100)</f>
        <v>-1.9313961607941528</v>
      </c>
      <c r="G42" s="3889"/>
      <c r="H42" s="3931">
        <f>IF(E42="NA","NA",E42/Table8s2!$G$34*100)</f>
        <v>0.15710257761746624</v>
      </c>
      <c r="I42" s="3848">
        <v>8633.8762823116904</v>
      </c>
      <c r="J42" s="3847">
        <f>Summary2!D43</f>
        <v>8254.2641985784321</v>
      </c>
      <c r="K42" s="3931">
        <f t="shared" si="44"/>
        <v>-379.61208373325826</v>
      </c>
      <c r="L42" s="3931">
        <f t="shared" si="45"/>
        <v>-4.3967746504657867</v>
      </c>
      <c r="M42" s="3889"/>
      <c r="N42" s="3932">
        <f>IF(K42="NA","NA",K42/Table8s2!$G$34*100)</f>
        <v>-6.5554631428916044E-2</v>
      </c>
      <c r="O42" s="3848">
        <v>1724.1723243713786</v>
      </c>
      <c r="P42" s="3847">
        <f>Summary2!E43</f>
        <v>1696.5984124679787</v>
      </c>
      <c r="Q42" s="3931">
        <f t="shared" ref="Q42:Q46" si="50">IF(P42="NO",IF(O42="NO","NA",-O42),IF(O42="NO",P42,P42-O42))</f>
        <v>-27.573911903399903</v>
      </c>
      <c r="R42" s="3931">
        <f t="shared" ref="R42:R46" si="51">IF(Q42="NA","NA",Q42/O42*100)</f>
        <v>-1.5992549882421505</v>
      </c>
      <c r="S42" s="3889"/>
      <c r="T42" s="3932">
        <f>IF(Q42="NA","NA",Q42/Table8s2!$G$34*100)</f>
        <v>-4.761696767142231E-3</v>
      </c>
      <c r="U42" s="713"/>
    </row>
    <row r="43" spans="2:21" ht="18" customHeight="1" x14ac:dyDescent="0.2">
      <c r="B43" s="620" t="s">
        <v>984</v>
      </c>
      <c r="C43" s="3847">
        <v>3423.8975590671175</v>
      </c>
      <c r="D43" s="3847">
        <f>Summary2!C44</f>
        <v>3415.2845572074875</v>
      </c>
      <c r="E43" s="3931">
        <f t="shared" si="48"/>
        <v>-8.6130018596300033</v>
      </c>
      <c r="F43" s="3931">
        <f t="shared" si="49"/>
        <v>-0.25155547766962749</v>
      </c>
      <c r="G43" s="3889"/>
      <c r="H43" s="3931">
        <f>IF(E43="NA","NA",E43/Table8s2!$G$34*100)</f>
        <v>-1.4873661471781704E-3</v>
      </c>
      <c r="I43" s="3848">
        <v>37.20020429753346</v>
      </c>
      <c r="J43" s="3847">
        <f>Summary2!D44</f>
        <v>37.317974399999997</v>
      </c>
      <c r="K43" s="3931">
        <f t="shared" si="44"/>
        <v>0.11777010246653674</v>
      </c>
      <c r="L43" s="3931">
        <f t="shared" si="45"/>
        <v>0.31658455831207738</v>
      </c>
      <c r="M43" s="3889"/>
      <c r="N43" s="3932">
        <f>IF(K43="NA","NA",K43/Table8s2!$G$34*100)</f>
        <v>2.0337539270652837E-5</v>
      </c>
      <c r="O43" s="3848">
        <v>31.561855127117404</v>
      </c>
      <c r="P43" s="3847">
        <f>Summary2!E44</f>
        <v>31.385080050917818</v>
      </c>
      <c r="Q43" s="3931">
        <f t="shared" si="50"/>
        <v>-0.17677507619958632</v>
      </c>
      <c r="R43" s="3931">
        <f t="shared" si="51"/>
        <v>-0.56009089290731906</v>
      </c>
      <c r="S43" s="3889"/>
      <c r="T43" s="3932">
        <f>IF(Q43="NA","NA",Q43/Table8s2!$G$34*100)</f>
        <v>-3.0527018139457487E-5</v>
      </c>
      <c r="U43" s="713"/>
    </row>
    <row r="44" spans="2:21" ht="18" customHeight="1" x14ac:dyDescent="0.2">
      <c r="B44" s="620" t="s">
        <v>987</v>
      </c>
      <c r="C44" s="3847">
        <v>44381.716024798217</v>
      </c>
      <c r="D44" s="3847">
        <f>Summary2!C45</f>
        <v>44536.93816305037</v>
      </c>
      <c r="E44" s="3931">
        <f t="shared" si="48"/>
        <v>155.22213825215294</v>
      </c>
      <c r="F44" s="3931">
        <f t="shared" si="49"/>
        <v>0.34974343525929197</v>
      </c>
      <c r="G44" s="3889"/>
      <c r="H44" s="3931">
        <f>IF(E44="NA","NA",E44/Table8s2!$G$34*100)</f>
        <v>2.6805074176401007E-2</v>
      </c>
      <c r="I44" s="3848">
        <v>7710.5675985537291</v>
      </c>
      <c r="J44" s="3847">
        <f>Summary2!D45</f>
        <v>7729.0421957517619</v>
      </c>
      <c r="K44" s="3931">
        <f t="shared" si="44"/>
        <v>18.474597198032825</v>
      </c>
      <c r="L44" s="3931">
        <f t="shared" si="45"/>
        <v>0.23960100163700149</v>
      </c>
      <c r="M44" s="3889"/>
      <c r="N44" s="3932">
        <f>IF(K44="NA","NA",K44/Table8s2!$G$34*100)</f>
        <v>3.1903499967765154E-3</v>
      </c>
      <c r="O44" s="3848">
        <v>3023.1511570150992</v>
      </c>
      <c r="P44" s="3847">
        <f>Summary2!E45</f>
        <v>3023.7862536621551</v>
      </c>
      <c r="Q44" s="3931">
        <f t="shared" si="50"/>
        <v>0.63509664705588875</v>
      </c>
      <c r="R44" s="3931">
        <f t="shared" si="51"/>
        <v>2.1007770173256893E-2</v>
      </c>
      <c r="S44" s="3889"/>
      <c r="T44" s="3932">
        <f>IF(Q44="NA","NA",Q44/Table8s2!$G$34*100)</f>
        <v>1.0967387078421815E-4</v>
      </c>
      <c r="U44" s="713"/>
    </row>
    <row r="45" spans="2:21" ht="18" customHeight="1" x14ac:dyDescent="0.2">
      <c r="B45" s="620" t="s">
        <v>1525</v>
      </c>
      <c r="C45" s="3847">
        <v>313.10024076605328</v>
      </c>
      <c r="D45" s="3847">
        <f>Summary2!C46</f>
        <v>310.34609700100651</v>
      </c>
      <c r="E45" s="3931">
        <f t="shared" si="48"/>
        <v>-2.7541437650467628</v>
      </c>
      <c r="F45" s="3931">
        <f t="shared" si="49"/>
        <v>-0.87963642516156459</v>
      </c>
      <c r="G45" s="3889"/>
      <c r="H45" s="3931">
        <f>IF(E45="NA","NA",E45/Table8s2!$G$34*100)</f>
        <v>-4.7560888379610285E-4</v>
      </c>
      <c r="I45" s="3848">
        <v>3101.3261894640859</v>
      </c>
      <c r="J45" s="3847">
        <f>Summary2!D46</f>
        <v>2838.4829600670378</v>
      </c>
      <c r="K45" s="3931">
        <f t="shared" si="44"/>
        <v>-262.84322939704816</v>
      </c>
      <c r="L45" s="3931">
        <f t="shared" si="45"/>
        <v>-8.4751881401571598</v>
      </c>
      <c r="M45" s="3889"/>
      <c r="N45" s="3932">
        <f>IF(K45="NA","NA",K45/Table8s2!$G$34*100)</f>
        <v>-4.538999616992416E-2</v>
      </c>
      <c r="O45" s="3848">
        <v>96.222787703074204</v>
      </c>
      <c r="P45" s="3847">
        <f>Summary2!E46</f>
        <v>96.705794850512589</v>
      </c>
      <c r="Q45" s="3931">
        <f t="shared" si="50"/>
        <v>0.48300714743838569</v>
      </c>
      <c r="R45" s="3931">
        <f t="shared" si="51"/>
        <v>0.50196752657889809</v>
      </c>
      <c r="S45" s="3889"/>
      <c r="T45" s="3932">
        <f>IF(Q45="NA","NA",Q45/Table8s2!$G$34*100)</f>
        <v>8.340976719303897E-5</v>
      </c>
      <c r="U45" s="713"/>
    </row>
    <row r="46" spans="2:21" ht="18" customHeight="1" x14ac:dyDescent="0.2">
      <c r="B46" s="620" t="s">
        <v>1526</v>
      </c>
      <c r="C46" s="3847">
        <v>4605.0607207713438</v>
      </c>
      <c r="D46" s="3847">
        <f>Summary2!C47</f>
        <v>4890.8790089352815</v>
      </c>
      <c r="E46" s="3931">
        <f t="shared" si="48"/>
        <v>285.81828816393772</v>
      </c>
      <c r="F46" s="3931">
        <f t="shared" si="49"/>
        <v>6.2066128004510519</v>
      </c>
      <c r="G46" s="3889"/>
      <c r="H46" s="3931">
        <f>IF(E46="NA","NA",E46/Table8s2!$G$34*100)</f>
        <v>4.9357524007050221E-2</v>
      </c>
      <c r="I46" s="3848">
        <v>38.639532355289901</v>
      </c>
      <c r="J46" s="3847">
        <f>Summary2!D47</f>
        <v>52.731100800000007</v>
      </c>
      <c r="K46" s="3931">
        <f t="shared" si="44"/>
        <v>14.091568444710106</v>
      </c>
      <c r="L46" s="3931">
        <f t="shared" si="45"/>
        <v>36.469303808178502</v>
      </c>
      <c r="M46" s="3889"/>
      <c r="N46" s="3932">
        <f>IF(K46="NA","NA",K46/Table8s2!$G$34*100)</f>
        <v>2.4334514501319661E-3</v>
      </c>
      <c r="O46" s="3848">
        <v>19.37047588606395</v>
      </c>
      <c r="P46" s="3847">
        <f>Summary2!E47</f>
        <v>22.172039309251865</v>
      </c>
      <c r="Q46" s="3931">
        <f t="shared" si="50"/>
        <v>2.8015634231879147</v>
      </c>
      <c r="R46" s="3931">
        <f t="shared" si="51"/>
        <v>14.463059346949208</v>
      </c>
      <c r="S46" s="3889"/>
      <c r="T46" s="3932">
        <f>IF(Q46="NA","NA",Q46/Table8s2!$G$34*100)</f>
        <v>4.8379771219523443E-4</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-4063.8353062256647</v>
      </c>
      <c r="D48" s="3847">
        <f>Summary2!C49</f>
        <v>-4014.2814824961429</v>
      </c>
      <c r="E48" s="3931">
        <f t="shared" si="48"/>
        <v>49.55382372952181</v>
      </c>
      <c r="F48" s="3931">
        <f t="shared" si="49"/>
        <v>-1.2193856294719165</v>
      </c>
      <c r="G48" s="3889"/>
      <c r="H48" s="3931">
        <f>IF(E48="NA","NA",E48/Table8s2!$G$34*100)</f>
        <v>8.557374197721495E-3</v>
      </c>
      <c r="I48" s="3913"/>
      <c r="J48" s="3910"/>
      <c r="K48" s="3918"/>
      <c r="L48" s="3918"/>
      <c r="M48" s="3918"/>
      <c r="N48" s="3905"/>
      <c r="O48" s="3913"/>
      <c r="P48" s="3910"/>
      <c r="Q48" s="3918"/>
      <c r="R48" s="3918"/>
      <c r="S48" s="3918"/>
      <c r="T48" s="3905"/>
      <c r="U48" s="713"/>
    </row>
    <row r="49" spans="2:21" ht="18" customHeight="1" thickBot="1" x14ac:dyDescent="0.25">
      <c r="B49" s="1552" t="s">
        <v>1529</v>
      </c>
      <c r="C49" s="3855">
        <v>1.4609316963755554</v>
      </c>
      <c r="D49" s="3855">
        <f>Summary2!C50</f>
        <v>1.4609316963755554</v>
      </c>
      <c r="E49" s="3933">
        <f t="shared" si="48"/>
        <v>0</v>
      </c>
      <c r="F49" s="3933">
        <f t="shared" si="49"/>
        <v>0</v>
      </c>
      <c r="G49" s="3934"/>
      <c r="H49" s="3933">
        <f>IF(E49="NA","NA",E49/Table8s2!$G$34*100)</f>
        <v>0</v>
      </c>
      <c r="I49" s="3935" t="s">
        <v>2146</v>
      </c>
      <c r="J49" s="3936" t="str">
        <f>Summary2!D50</f>
        <v>NO</v>
      </c>
      <c r="K49" s="3937" t="s">
        <v>2147</v>
      </c>
      <c r="L49" s="3937" t="s">
        <v>2147</v>
      </c>
      <c r="M49" s="3938"/>
      <c r="N49" s="3937" t="s">
        <v>2147</v>
      </c>
      <c r="O49" s="3873">
        <v>42.037692660147371</v>
      </c>
      <c r="P49" s="3855">
        <f>Summary2!E50</f>
        <v>42.037692660147371</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30.629801780740696</v>
      </c>
      <c r="D50" s="3839">
        <f>Summary2!C51</f>
        <v>30.629801780740696</v>
      </c>
      <c r="E50" s="3839">
        <f t="shared" si="48"/>
        <v>0</v>
      </c>
      <c r="F50" s="3839">
        <f t="shared" si="49"/>
        <v>0</v>
      </c>
      <c r="G50" s="3844">
        <f>IF(E50="NA","NA",E50/Table8s2!$G$35*100)</f>
        <v>0</v>
      </c>
      <c r="H50" s="3845">
        <f>IF(E50="NA","NA",E50/Table8s2!$G$34*100)</f>
        <v>0</v>
      </c>
      <c r="I50" s="3839">
        <f>SUM(I51:I55)</f>
        <v>13842.004071329326</v>
      </c>
      <c r="J50" s="3839">
        <f>Summary2!D51</f>
        <v>13891.310672664888</v>
      </c>
      <c r="K50" s="3839">
        <f t="shared" ref="K50" si="54">IF(J50="NO",IF(I50="NO","NA",-I50),IF(I50="NO",J50,J50-I50))</f>
        <v>49.306601335561936</v>
      </c>
      <c r="L50" s="3839">
        <f t="shared" ref="L50" si="55">IF(K50="NA","NA",K50/I50*100)</f>
        <v>0.35620999012483856</v>
      </c>
      <c r="M50" s="3844">
        <f>IF(K50="NA","NA",K50/Table8s2!$G$35*100)</f>
        <v>8.9274137032054404E-3</v>
      </c>
      <c r="N50" s="3845">
        <f>IF(K50="NA","NA",K50/Table8s2!$G$34*100)</f>
        <v>8.5146817397848788E-3</v>
      </c>
      <c r="O50" s="3839">
        <f>SUM(O51:O55)</f>
        <v>525.15456032166264</v>
      </c>
      <c r="P50" s="3839">
        <f>Summary2!E51</f>
        <v>339.54099546945116</v>
      </c>
      <c r="Q50" s="3839">
        <f t="shared" si="52"/>
        <v>-185.61356485221148</v>
      </c>
      <c r="R50" s="3839">
        <f t="shared" si="53"/>
        <v>-35.344559273849065</v>
      </c>
      <c r="S50" s="3844">
        <f>IF(Q50="NA","NA",Q50/Table8s2!$G$35*100)</f>
        <v>-3.3607043225007543E-2</v>
      </c>
      <c r="T50" s="3845">
        <f>IF(Q50="NA","NA",Q50/Table8s2!$G$34*100)</f>
        <v>-3.2053323256811525E-2</v>
      </c>
    </row>
    <row r="51" spans="2:21" ht="18" customHeight="1" x14ac:dyDescent="0.2">
      <c r="B51" s="620" t="s">
        <v>1530</v>
      </c>
      <c r="C51" s="3918"/>
      <c r="D51" s="3918"/>
      <c r="E51" s="3888"/>
      <c r="F51" s="3903"/>
      <c r="G51" s="3904"/>
      <c r="H51" s="3905"/>
      <c r="I51" s="3839">
        <v>11109.718410904441</v>
      </c>
      <c r="J51" s="3839">
        <f>Summary2!D52</f>
        <v>11159.025012239999</v>
      </c>
      <c r="K51" s="3839">
        <f t="shared" ref="K51:K52" si="56">IF(J51="NO",IF(I51="NO","NA",-I51),IF(I51="NO",J51,J51-I51))</f>
        <v>49.306601335558298</v>
      </c>
      <c r="L51" s="3839">
        <f t="shared" ref="L51:L52" si="57">IF(K51="NA","NA",K51/I51*100)</f>
        <v>0.443815041136981</v>
      </c>
      <c r="M51" s="3844">
        <f>IF(K51="NA","NA",K51/Table8s2!$G$35*100)</f>
        <v>8.9274137032047812E-3</v>
      </c>
      <c r="N51" s="3845">
        <f>IF(K51="NA","NA",K51/Table8s2!$G$34*100)</f>
        <v>8.5146817397842509E-3</v>
      </c>
      <c r="O51" s="3886"/>
      <c r="P51" s="3887"/>
      <c r="Q51" s="3940"/>
      <c r="R51" s="3941"/>
      <c r="S51" s="3942"/>
      <c r="T51" s="3943"/>
    </row>
    <row r="52" spans="2:21" ht="18" customHeight="1" x14ac:dyDescent="0.2">
      <c r="B52" s="1396" t="s">
        <v>1531</v>
      </c>
      <c r="C52" s="3918"/>
      <c r="D52" s="3918"/>
      <c r="E52" s="3888"/>
      <c r="F52" s="3903"/>
      <c r="G52" s="3904"/>
      <c r="H52" s="3905"/>
      <c r="I52" s="3849">
        <v>112.59910242000001</v>
      </c>
      <c r="J52" s="3847">
        <f>Summary2!D53</f>
        <v>112.59910242000001</v>
      </c>
      <c r="K52" s="3839">
        <f t="shared" si="56"/>
        <v>0</v>
      </c>
      <c r="L52" s="3839">
        <f t="shared" si="57"/>
        <v>0</v>
      </c>
      <c r="M52" s="3844">
        <f>IF(K52="NA","NA",K52/Table8s2!$G$35*100)</f>
        <v>0</v>
      </c>
      <c r="N52" s="3845">
        <f>IF(K52="NA","NA",K52/Table8s2!$G$34*100)</f>
        <v>0</v>
      </c>
      <c r="O52" s="3839">
        <v>136.4057697888</v>
      </c>
      <c r="P52" s="3839">
        <f>Summary2!E53</f>
        <v>136.4057697888</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30.629801780740696</v>
      </c>
      <c r="D53" s="3839">
        <f>Summary2!C54</f>
        <v>30.629801780740696</v>
      </c>
      <c r="E53" s="3839">
        <f t="shared" ref="E53" si="60">IF(D53="NO",IF(C53="NO","NA",-C53),IF(C53="NO",D53,D53-C53))</f>
        <v>0</v>
      </c>
      <c r="F53" s="3839">
        <f t="shared" ref="F53" si="61">IF(E53="NA","NA",E53/C53*100)</f>
        <v>0</v>
      </c>
      <c r="G53" s="3844">
        <f>IF(E53="NA","NA",E53/Table8s2!$G$35*100)</f>
        <v>0</v>
      </c>
      <c r="H53" s="3845">
        <f>IF(E53="NA","NA",E53/Table8s2!$G$34*100)</f>
        <v>0</v>
      </c>
      <c r="I53" s="3849" t="s">
        <v>2146</v>
      </c>
      <c r="J53" s="3847" t="str">
        <f>Summary2!D54</f>
        <v>NO,NE</v>
      </c>
      <c r="K53" s="3839" t="s">
        <v>2147</v>
      </c>
      <c r="L53" s="3944" t="s">
        <v>2147</v>
      </c>
      <c r="M53" s="3895" t="s">
        <v>2147</v>
      </c>
      <c r="N53" s="3896" t="s">
        <v>2147</v>
      </c>
      <c r="O53" s="3839" t="s">
        <v>2146</v>
      </c>
      <c r="P53" s="3839" t="str">
        <f>Summary2!E54</f>
        <v>NO,NE</v>
      </c>
      <c r="Q53" s="3839" t="s">
        <v>2147</v>
      </c>
      <c r="R53" s="3839" t="s">
        <v>2147</v>
      </c>
      <c r="S53" s="3844" t="s">
        <v>2147</v>
      </c>
      <c r="T53" s="3845" t="s">
        <v>2147</v>
      </c>
    </row>
    <row r="54" spans="2:21" ht="18" customHeight="1" x14ac:dyDescent="0.2">
      <c r="B54" s="620" t="s">
        <v>1533</v>
      </c>
      <c r="C54" s="3945"/>
      <c r="D54" s="3946"/>
      <c r="E54" s="3947"/>
      <c r="F54" s="3946"/>
      <c r="G54" s="3948"/>
      <c r="H54" s="3949"/>
      <c r="I54" s="3847">
        <v>2619.6865580048852</v>
      </c>
      <c r="J54" s="3847">
        <f>Summary2!D55</f>
        <v>2619.6865580048861</v>
      </c>
      <c r="K54" s="3839">
        <f t="shared" ref="K54" si="62">IF(J54="NO",IF(I54="NO","NA",-I54),IF(I54="NO",J54,J54-I54))</f>
        <v>9.0949470177292824E-13</v>
      </c>
      <c r="L54" s="3839">
        <f t="shared" ref="L54" si="63">IF(K54="NA","NA",K54/I54*100)</f>
        <v>3.47176916640587E-14</v>
      </c>
      <c r="M54" s="3844">
        <f>IF(K54="NA","NA",K54/Table8s2!$G$35*100)</f>
        <v>1.6467238145948451E-16</v>
      </c>
      <c r="N54" s="3845">
        <f>IF(K54="NA","NA",K54/Table8s2!$G$34*100)</f>
        <v>1.5705925210528991E-16</v>
      </c>
      <c r="O54" s="3839">
        <v>388.74879053286264</v>
      </c>
      <c r="P54" s="3839">
        <f>Summary2!E55</f>
        <v>203.13522568065116</v>
      </c>
      <c r="Q54" s="3839">
        <f t="shared" ref="Q54" si="64">IF(P54="NO",IF(O54="NO","NA",-O54),IF(O54="NO",P54,P54-O54))</f>
        <v>-185.61356485221148</v>
      </c>
      <c r="R54" s="3839">
        <f t="shared" ref="R54" si="65">IF(Q54="NA","NA",Q54/O54*100)</f>
        <v>-47.746403171515652</v>
      </c>
      <c r="S54" s="3844">
        <f>IF(Q54="NA","NA",Q54/Table8s2!$G$35*100)</f>
        <v>-3.3607043225007543E-2</v>
      </c>
      <c r="T54" s="3845">
        <f>IF(Q54="NA","NA",Q54/Table8s2!$G$34*100)</f>
        <v>-3.2053323256811525E-2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12918.575499999999</v>
      </c>
      <c r="D59" s="3847">
        <f>Summary2!C60</f>
        <v>12918.575500000003</v>
      </c>
      <c r="E59" s="3861">
        <f t="shared" ref="E59" si="66">IF(D59="NO",IF(C59="NO","NA",-C59),IF(C59="NO",D59,D59-C59))</f>
        <v>3.637978807091713E-12</v>
      </c>
      <c r="F59" s="3861">
        <f t="shared" ref="F59" si="67">IF(E59="NA","NA",E59/C59*100)</f>
        <v>2.8160835589742178E-14</v>
      </c>
      <c r="G59" s="3862">
        <f>IF(E59="NA","NA",E59/Table8s2!$G$35*100)</f>
        <v>6.5868952583793806E-16</v>
      </c>
      <c r="H59" s="3863">
        <f>IF(E59="NA","NA",E59/Table8s2!$G$34*100)</f>
        <v>6.2823700842115966E-16</v>
      </c>
      <c r="I59" s="3847">
        <v>7.1136858669766401</v>
      </c>
      <c r="J59" s="3847">
        <f>Summary2!D60</f>
        <v>7.1136858669767449</v>
      </c>
      <c r="K59" s="3861">
        <f t="shared" ref="K59:K61" si="68">IF(J59="NO",IF(I59="NO","NA",-I59),IF(I59="NO",J59,J59-I59))</f>
        <v>1.0480505352461478E-13</v>
      </c>
      <c r="L59" s="3861">
        <f t="shared" ref="L59:L61" si="69">IF(K59="NA","NA",K59/I59*100)</f>
        <v>1.4732876245090305E-12</v>
      </c>
      <c r="M59" s="3862">
        <f>IF(K59="NA","NA",K59/Table8s2!$G$35*100)</f>
        <v>1.8975918957245288E-17</v>
      </c>
      <c r="N59" s="3863">
        <f>IF(K59="NA","NA",K59/Table8s2!$G$34*100)</f>
        <v>1.8098624754320514E-17</v>
      </c>
      <c r="O59" s="3848">
        <v>31.855922424982001</v>
      </c>
      <c r="P59" s="3847">
        <f>Summary2!E60</f>
        <v>31.855922424982133</v>
      </c>
      <c r="Q59" s="3861">
        <f t="shared" ref="Q59" si="70">IF(P59="NO",IF(O59="NO","NA",-O59),IF(O59="NO",P59,P59-O59))</f>
        <v>1.3145040611561853E-13</v>
      </c>
      <c r="R59" s="3966">
        <f t="shared" ref="R59" si="71">IF(Q59="NA","NA",Q59/O59*100)</f>
        <v>4.126404012477526E-13</v>
      </c>
      <c r="S59" s="3967">
        <f>IF(Q59="NA","NA",Q59/Table8s2!$G$35*100)</f>
        <v>2.3800305132816126E-17</v>
      </c>
      <c r="T59" s="3968">
        <f>IF(Q59="NA","NA",Q59/Table8s2!$G$34*100)</f>
        <v>2.2699970030842677E-17</v>
      </c>
    </row>
    <row r="60" spans="2:21" ht="18" customHeight="1" x14ac:dyDescent="0.2">
      <c r="B60" s="1410" t="s">
        <v>111</v>
      </c>
      <c r="C60" s="3847">
        <v>10472.016</v>
      </c>
      <c r="D60" s="3847">
        <f>Summary2!C61</f>
        <v>10472.016000000001</v>
      </c>
      <c r="E60" s="3861">
        <f t="shared" ref="E60:E61" si="72">IF(D60="NO",IF(C60="NO","NA",-C60),IF(C60="NO",D60,D60-C60))</f>
        <v>1.8189894035458565E-12</v>
      </c>
      <c r="F60" s="3861">
        <f t="shared" ref="F60:F61" si="73">IF(E60="NA","NA",E60/C60*100)</f>
        <v>1.7370002142336839E-14</v>
      </c>
      <c r="G60" s="3862">
        <f>IF(E60="NA","NA",E60/Table8s2!$G$35*100)</f>
        <v>3.2934476291896903E-16</v>
      </c>
      <c r="H60" s="3863">
        <f>IF(E60="NA","NA",E60/Table8s2!$G$34*100)</f>
        <v>3.1411850421057983E-16</v>
      </c>
      <c r="I60" s="3847">
        <v>0.58198586697664001</v>
      </c>
      <c r="J60" s="3847">
        <f>Summary2!D61</f>
        <v>0.58198586697674437</v>
      </c>
      <c r="K60" s="3861">
        <f t="shared" si="68"/>
        <v>1.0436096431476471E-13</v>
      </c>
      <c r="L60" s="3861">
        <f t="shared" si="69"/>
        <v>1.7931872616926211E-11</v>
      </c>
      <c r="M60" s="3862">
        <f>IF(K60="NA","NA",K60/Table8s2!$G$35*100)</f>
        <v>1.8895512520985774E-17</v>
      </c>
      <c r="N60" s="3863">
        <f>IF(K60="NA","NA",K60/Table8s2!$G$34*100)</f>
        <v>1.8021935666378479E-17</v>
      </c>
      <c r="O60" s="3848">
        <v>14.193672424981999</v>
      </c>
      <c r="P60" s="3847">
        <f>Summary2!E61</f>
        <v>14.193672424982132</v>
      </c>
      <c r="Q60" s="3861">
        <f t="shared" ref="Q60:Q61" si="74">IF(P60="NO",IF(O60="NO","NA",-O60),IF(O60="NO",P60,P60-O60))</f>
        <v>1.3322676295501878E-13</v>
      </c>
      <c r="R60" s="3966">
        <f t="shared" ref="R60:R61" si="75">IF(Q60="NA","NA",Q60/O60*100)</f>
        <v>9.3863489987643385E-13</v>
      </c>
      <c r="S60" s="3967">
        <f>IF(Q60="NA","NA",Q60/Table8s2!$G$35*100)</f>
        <v>2.4121930877854182E-17</v>
      </c>
      <c r="T60" s="3968">
        <f>IF(Q60="NA","NA",Q60/Table8s2!$G$34*100)</f>
        <v>2.3006726382610826E-17</v>
      </c>
    </row>
    <row r="61" spans="2:21" ht="18" customHeight="1" x14ac:dyDescent="0.2">
      <c r="B61" s="1411" t="s">
        <v>1503</v>
      </c>
      <c r="C61" s="3847">
        <v>2446.5594999999998</v>
      </c>
      <c r="D61" s="3847">
        <f>Summary2!C62</f>
        <v>2446.5595000000003</v>
      </c>
      <c r="E61" s="3861">
        <f t="shared" si="72"/>
        <v>4.5474735088646412E-13</v>
      </c>
      <c r="F61" s="3861">
        <f t="shared" si="73"/>
        <v>1.858721812759772E-14</v>
      </c>
      <c r="G61" s="3862">
        <f>IF(E61="NA","NA",E61/Table8s2!$G$35*100)</f>
        <v>8.2336190729742257E-17</v>
      </c>
      <c r="H61" s="3863">
        <f>IF(E61="NA","NA",E61/Table8s2!$G$34*100)</f>
        <v>7.8529626052644957E-17</v>
      </c>
      <c r="I61" s="3847">
        <v>6.5317000000000007</v>
      </c>
      <c r="J61" s="3847">
        <f>Summary2!D62</f>
        <v>6.5317000000000007</v>
      </c>
      <c r="K61" s="3861">
        <f t="shared" si="68"/>
        <v>0</v>
      </c>
      <c r="L61" s="3861">
        <f t="shared" si="69"/>
        <v>0</v>
      </c>
      <c r="M61" s="3862">
        <f>IF(K61="NA","NA",K61/Table8s2!$G$35*100)</f>
        <v>0</v>
      </c>
      <c r="N61" s="3863">
        <f>IF(K61="NA","NA",K61/Table8s2!$G$34*100)</f>
        <v>0</v>
      </c>
      <c r="O61" s="3848">
        <v>17.66225</v>
      </c>
      <c r="P61" s="3847">
        <f>Summary2!E62</f>
        <v>17.66225</v>
      </c>
      <c r="Q61" s="3861">
        <f t="shared" si="74"/>
        <v>0</v>
      </c>
      <c r="R61" s="3966">
        <f t="shared" si="75"/>
        <v>0</v>
      </c>
      <c r="S61" s="3967">
        <f>IF(Q61="NA","NA",Q61/Table8s2!$G$35*100)</f>
        <v>0</v>
      </c>
      <c r="T61" s="3968">
        <f>IF(Q61="NA","NA",Q61/Table8s2!$G$34*100)</f>
        <v>0</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16595.144805259493</v>
      </c>
      <c r="D63" s="3847">
        <f>Summary2!C64</f>
        <v>16595.144805259486</v>
      </c>
      <c r="E63" s="3861">
        <f t="shared" ref="E63:E65" si="76">IF(D63="NO",IF(C63="NO","NA",-C63),IF(C63="NO",D63,D63-C63))</f>
        <v>-7.2759576141834259E-12</v>
      </c>
      <c r="F63" s="3861">
        <f t="shared" ref="F63:F65" si="77">IF(E63="NA","NA",E63/C63*100)</f>
        <v>-4.3843893497557543E-14</v>
      </c>
      <c r="G63" s="3862">
        <f>IF(E63="NA","NA",E63/Table8s2!$G$35*100)</f>
        <v>-1.3173790516758761E-15</v>
      </c>
      <c r="H63" s="3863">
        <f>IF(E63="NA","NA",E63/Table8s2!$G$34*100)</f>
        <v>-1.2564740168423193E-15</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-287134.15966234595</v>
      </c>
      <c r="D65" s="3849">
        <f>Summary2!C66</f>
        <v>-287558.61443071772</v>
      </c>
      <c r="E65" s="3977">
        <f t="shared" si="76"/>
        <v>-424.4547683717683</v>
      </c>
      <c r="F65" s="3984">
        <f t="shared" si="77"/>
        <v>0.14782454615323506</v>
      </c>
      <c r="G65" s="3985">
        <f>IF(E65="NA","NA",E65/Table8s2!$G$35*100)</f>
        <v>-7.6851440028579479E-2</v>
      </c>
      <c r="H65" s="3986">
        <f>IF(E65="NA","NA",E65/Table8s2!$G$34*100)</f>
        <v>-7.3298446206493673E-2</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7816.4186628708085</v>
      </c>
      <c r="D10" s="4019">
        <f>IF(SUM(D11:D30)=0,"NO",SUM(D11:D30))</f>
        <v>7816.4186628708076</v>
      </c>
      <c r="E10" s="4019">
        <f>IF(D10="NO",IF(C10="NO","NA",-C10),IF(C10="NO",D10,D10-C10))</f>
        <v>-9.0949470177292824E-13</v>
      </c>
      <c r="F10" s="4019">
        <f>IF(E10="NA","NA",E10/C10*100)</f>
        <v>-1.1635695847423935E-14</v>
      </c>
      <c r="G10" s="4020">
        <f>IF(E10="NA","NA",E10/$G$35*100)</f>
        <v>-1.6467238145948451E-16</v>
      </c>
      <c r="H10" s="4021">
        <f>IF(E10="NA","NA",E10/$G$34*100)</f>
        <v>-1.5705925210528991E-16</v>
      </c>
      <c r="I10" s="4022">
        <f>IF(SUM(I11:I30)=0,"NO",SUM(I11:I30))</f>
        <v>265.12979067717396</v>
      </c>
      <c r="J10" s="4022">
        <f>IF(SUM(J11:J30)=0,"NO",SUM(J11:J30))</f>
        <v>265.12979067717396</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118.51069108917444</v>
      </c>
      <c r="V10" s="4019">
        <f>IF(SUM(V11:V30)=0,"NO",SUM(V11:V30))</f>
        <v>118.51069108917444</v>
      </c>
      <c r="W10" s="4019">
        <f>IF(V10="NO",IF(U10="NO","NA",-U10),IF(U10="NO",V10,V10-U10))</f>
        <v>0</v>
      </c>
      <c r="X10" s="4023">
        <f>IF(W10="NA","NA",W10/U10*100)</f>
        <v>0</v>
      </c>
      <c r="Y10" s="4024">
        <f>IF(W10="NA","NA",W10/$G$35*100)</f>
        <v>0</v>
      </c>
      <c r="Z10" s="4021">
        <f>IF(W10="NA","NA",W10/$G$34*100)</f>
        <v>0</v>
      </c>
      <c r="AA10" s="4019" t="s">
        <v>2146</v>
      </c>
      <c r="AB10" s="4019" t="s">
        <v>2146</v>
      </c>
      <c r="AC10" s="4019" t="s">
        <v>2147</v>
      </c>
      <c r="AD10" s="4023" t="s">
        <v>2147</v>
      </c>
      <c r="AE10" s="4024" t="s">
        <v>2147</v>
      </c>
      <c r="AF10" s="4021" t="s">
        <v>2147</v>
      </c>
    </row>
    <row r="11" spans="2:32" ht="18" customHeight="1" x14ac:dyDescent="0.2">
      <c r="B11" s="1951" t="s">
        <v>1694</v>
      </c>
      <c r="C11" s="3848" t="s">
        <v>2146</v>
      </c>
      <c r="D11" s="3847" t="str">
        <f>'Table2(I)'!F25</f>
        <v>NO</v>
      </c>
      <c r="E11" s="3847" t="str">
        <f>IF(D11="NO",IF(C11="NO","NA",-C11),IF(C11="NO",D11,D11-C11))</f>
        <v>NA</v>
      </c>
      <c r="F11" s="4016" t="str">
        <f>IF(E11="NA","NA",E11/C11*100)</f>
        <v>NA</v>
      </c>
      <c r="G11" s="3871" t="str">
        <f>IF(E11="NA","NA",E11/$G$35*100)</f>
        <v>NA</v>
      </c>
      <c r="H11" s="3872" t="str">
        <f>IF(E11="NA","NA",E11/$G$34*100)</f>
        <v>NA</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265.12979067717396</v>
      </c>
      <c r="J13" s="3839">
        <f>'Table2(II)'!AH41</f>
        <v>265.12979067717396</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7423.4579708927758</v>
      </c>
      <c r="D21" s="3847">
        <f>'Table2(I)'!F46</f>
        <v>7423.4579708927758</v>
      </c>
      <c r="E21" s="3847">
        <f>IF(D21="NO",IF(C21="NO","NA",-C21),IF(C21="NO",D21,D21-C21))</f>
        <v>0</v>
      </c>
      <c r="F21" s="4016">
        <f>IF(E21="NA","NA",E21/C21*100)</f>
        <v>0</v>
      </c>
      <c r="G21" s="3871">
        <f>IF(E21="NA","NA",E21/$G$35*100)</f>
        <v>0</v>
      </c>
      <c r="H21" s="3872">
        <f>IF(E21="NA","NA",E21/$G$34*100)</f>
        <v>0</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51.336876868575885</v>
      </c>
      <c r="D22" s="3847">
        <f>'Table2(I)'!F47</f>
        <v>51.336876868575885</v>
      </c>
      <c r="E22" s="3847">
        <f t="shared" ref="E22:E25" si="0">IF(D22="NO",IF(C22="NO","NA",-C22),IF(C22="NO",D22,D22-C22))</f>
        <v>0</v>
      </c>
      <c r="F22" s="4016">
        <f t="shared" ref="F22:F25" si="1">IF(E22="NA","NA",E22/C22*100)</f>
        <v>0</v>
      </c>
      <c r="G22" s="3871">
        <f t="shared" ref="G22:G25" si="2">IF(E22="NA","NA",E22/$G$35*100)</f>
        <v>0</v>
      </c>
      <c r="H22" s="3872">
        <f t="shared" ref="H22:H25" si="3">IF(E22="NA","NA",E22/$G$34*100)</f>
        <v>0</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56.016051475947293</v>
      </c>
      <c r="D23" s="3847">
        <f>'Table2(I)'!F48</f>
        <v>56.016051475947293</v>
      </c>
      <c r="E23" s="3847">
        <f t="shared" si="0"/>
        <v>0</v>
      </c>
      <c r="F23" s="4016">
        <f t="shared" si="1"/>
        <v>0</v>
      </c>
      <c r="G23" s="3871">
        <f t="shared" si="2"/>
        <v>0</v>
      </c>
      <c r="H23" s="3872">
        <f t="shared" si="3"/>
        <v>0</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v>188.13976790689466</v>
      </c>
      <c r="D24" s="3847">
        <f>'Table2(I)'!F49</f>
        <v>188.13976790689463</v>
      </c>
      <c r="E24" s="3847">
        <f t="shared" si="0"/>
        <v>-2.8421709430404007E-14</v>
      </c>
      <c r="F24" s="4016">
        <f t="shared" si="1"/>
        <v>-1.5106699528017464E-14</v>
      </c>
      <c r="G24" s="3871">
        <f t="shared" si="2"/>
        <v>-5.1460119206088911E-18</v>
      </c>
      <c r="H24" s="3872">
        <f t="shared" si="3"/>
        <v>-4.9081016282903098E-18</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97.46799572661395</v>
      </c>
      <c r="D25" s="3847">
        <f>'Table2(I)'!F50</f>
        <v>97.467995726613921</v>
      </c>
      <c r="E25" s="3847">
        <f t="shared" si="0"/>
        <v>-2.8421709430404007E-14</v>
      </c>
      <c r="F25" s="4016">
        <f t="shared" si="1"/>
        <v>-2.9160042964383407E-14</v>
      </c>
      <c r="G25" s="3871">
        <f t="shared" si="2"/>
        <v>-5.1460119206088911E-18</v>
      </c>
      <c r="H25" s="3872">
        <f t="shared" si="3"/>
        <v>-4.9081016282903098E-18</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100.00752618577695</v>
      </c>
      <c r="V27" s="3847">
        <f>IFERROR('Table2(I)'!I53*23500,'Table2(I)'!I53)</f>
        <v>100.00752618577702</v>
      </c>
      <c r="W27" s="3847">
        <f>IF(V27="NO",IF(U27="NO","NA",-U27),IF(U27="NO",V27,V27-U27))</f>
        <v>7.1054273576010019E-14</v>
      </c>
      <c r="X27" s="4016">
        <f>IF(W27="NA","NA",W27/U27*100)</f>
        <v>7.1048926301824015E-14</v>
      </c>
      <c r="Y27" s="3871">
        <f>IF(W27="NA","NA",W27/$G$35*100)</f>
        <v>1.2865029801522231E-17</v>
      </c>
      <c r="Z27" s="3872">
        <f>IF(W27="NA","NA",W27/$G$34*100)</f>
        <v>1.2270254070725774E-17</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18.503164903397487</v>
      </c>
      <c r="V28" s="3847">
        <f>IFERROR('Table2(I)'!I54*23500,'Table2(I)'!I54)</f>
        <v>18.503164903397419</v>
      </c>
      <c r="W28" s="3847">
        <f>IF(V28="NO",IF(U28="NO","NA",-U28),IF(U28="NO",V28,V28-U28))</f>
        <v>-6.7501559897209518E-14</v>
      </c>
      <c r="X28" s="4016">
        <f>IF(W28="NA","NA",W28/U28*100)</f>
        <v>-3.6481088640579065E-13</v>
      </c>
      <c r="Y28" s="3871">
        <f>IF(W28="NA","NA",W28/$G$35*100)</f>
        <v>-1.2221778311446116E-17</v>
      </c>
      <c r="Z28" s="3872">
        <f>IF(W28="NA","NA",W28/$G$34*100)</f>
        <v>-1.1656741367189485E-17</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578026.70852755953</v>
      </c>
      <c r="F34" s="4523"/>
      <c r="G34" s="4522">
        <f>SUM(Table8s1!D10,Table8s1!J10,Table8s1!P10,D10,J10,P10,V10,AB10)</f>
        <v>579077.44343721832</v>
      </c>
      <c r="H34" s="4523"/>
      <c r="I34" s="3839">
        <f>G34-E34</f>
        <v>1050.7349096587859</v>
      </c>
      <c r="J34" s="4045">
        <f>IF(I34="NA","NA",I34/E34*100)</f>
        <v>0.1817796468843772</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552010.18517826416</v>
      </c>
      <c r="F35" s="4525"/>
      <c r="G35" s="4526">
        <f>G34-SUM(Table8s1!D41,Table8s1!J41,Table8s1!P41)</f>
        <v>552305.54979050776</v>
      </c>
      <c r="H35" s="4527"/>
      <c r="I35" s="3855">
        <f>G35-E35</f>
        <v>295.36461224360391</v>
      </c>
      <c r="J35" s="4046">
        <f>IF(I35="NA","NA",I35/E35*100)</f>
        <v>5.3507094646853291E-2</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1324521.7627859341</v>
      </c>
      <c r="D10" s="1913" t="s">
        <v>1814</v>
      </c>
      <c r="E10" s="628"/>
      <c r="F10" s="628"/>
      <c r="G10" s="628"/>
      <c r="H10" s="1847">
        <f>IF(SUM(H11:H14)=0,"NO",SUM(H11:H14))</f>
        <v>89768.612818043577</v>
      </c>
      <c r="I10" s="1847">
        <f>IF(SUM(I11:I15)=0,"NO",SUM(I11:I15))</f>
        <v>16.072969608646801</v>
      </c>
      <c r="J10" s="2192">
        <f>IF(SUM(J11:J15)=0,"NO",SUM(J11:J15))</f>
        <v>6.0065920475633563</v>
      </c>
    </row>
    <row r="11" spans="2:11" ht="18" customHeight="1" x14ac:dyDescent="0.2">
      <c r="B11" s="282" t="s">
        <v>132</v>
      </c>
      <c r="C11" s="1913">
        <f>IF(SUM(C17:C18,C21:C24,C82,C89:C92,C100)=0,"NO",SUM(C17:C18,C21:C24,C82,C89:C92,C100))</f>
        <v>1301660.5680036817</v>
      </c>
      <c r="D11" s="1909" t="s">
        <v>1814</v>
      </c>
      <c r="E11" s="1913">
        <f>IFERROR(H11*1000/$C11,"NA")</f>
        <v>68.276105148032912</v>
      </c>
      <c r="F11" s="1913">
        <f t="shared" ref="F11:G15" si="0">IFERROR(I11*1000000/$C11,"NA")</f>
        <v>11.789126164505824</v>
      </c>
      <c r="G11" s="1913">
        <f t="shared" si="0"/>
        <v>4.5685387056128803</v>
      </c>
      <c r="H11" s="1913">
        <f>IF(SUM(H17:H18,H21:H24,H82,H89:H92,H100)=0,"NO",SUM(H17:H18,H21:H24,H82,H89:H92,H100))</f>
        <v>88872.313808067614</v>
      </c>
      <c r="I11" s="1913">
        <f>IF(SUM(I17:I18,I21:I24,I82,I89:I92,I100)=0,"NO",SUM(I17:I18,I21:I24,I82,I89:I92,I100))</f>
        <v>15.345440659557717</v>
      </c>
      <c r="J11" s="3085">
        <f>IF(SUM(J17:J18,J21:J24,J82,J89:J92,J100)=0,"NO",SUM(J17:J18,J21:J24,J82,J89:J92,J100))</f>
        <v>5.946686686494866</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13000.922003700005</v>
      </c>
      <c r="D13" s="1909" t="s">
        <v>1814</v>
      </c>
      <c r="E13" s="1913">
        <f t="shared" si="1"/>
        <v>51.411918339264979</v>
      </c>
      <c r="F13" s="1913">
        <f t="shared" si="0"/>
        <v>29.761357197178231</v>
      </c>
      <c r="G13" s="1913">
        <f t="shared" si="0"/>
        <v>0.2907864687822978</v>
      </c>
      <c r="H13" s="1913">
        <f>IF(SUM(H26,H84,H94,H102)=0,"NO",SUM(H26,H84,H94,H102))</f>
        <v>668.40234038937785</v>
      </c>
      <c r="I13" s="1913">
        <f>IF(SUM(I26,I84,I94,I102)=0,"NO",SUM(I26,I84,I94,I102))</f>
        <v>0.38692508364476996</v>
      </c>
      <c r="J13" s="3085">
        <f>IF(SUM(J26,J84,J94,J102)=0,"NO",SUM(J26,J84,J94,J102))</f>
        <v>3.78049220037E-3</v>
      </c>
    </row>
    <row r="14" spans="2:11" ht="18" customHeight="1" x14ac:dyDescent="0.2">
      <c r="B14" s="282" t="s">
        <v>175</v>
      </c>
      <c r="C14" s="1913">
        <f>IF(SUM(C28,C86,C96,C103)=0,"NO",SUM(C28,C86,C96,C103))</f>
        <v>2534.9613859016131</v>
      </c>
      <c r="D14" s="1909" t="s">
        <v>1814</v>
      </c>
      <c r="E14" s="1913">
        <f t="shared" si="1"/>
        <v>89.901436311437934</v>
      </c>
      <c r="F14" s="1913">
        <f t="shared" si="0"/>
        <v>31.811135447066654</v>
      </c>
      <c r="G14" s="1913">
        <f t="shared" si="0"/>
        <v>0.99409798272083294</v>
      </c>
      <c r="H14" s="1913">
        <f>IF(SUM(H28,H86,H96,H103)=0,"NO",SUM(H28,H86,H96,H103))</f>
        <v>227.8966695865883</v>
      </c>
      <c r="I14" s="1913">
        <f>IF(SUM(I28,I86,I96,I103)=0,"NO",SUM(I28,I86,I96,I103))</f>
        <v>8.0640000000000017E-2</v>
      </c>
      <c r="J14" s="3085">
        <f>IF(SUM(J28,J86,J96,J103)=0,"NO",SUM(J28,J86,J96,J103))</f>
        <v>2.5200000000000005E-3</v>
      </c>
    </row>
    <row r="15" spans="2:11" ht="18" customHeight="1" x14ac:dyDescent="0.2">
      <c r="B15" s="282" t="s">
        <v>137</v>
      </c>
      <c r="C15" s="1913">
        <f>IF(SUM(C19,C27,C85,C95,C104)=0,"NO",SUM(C19,C27,C85,C95,C104))</f>
        <v>7325.3113926508386</v>
      </c>
      <c r="D15" s="1913" t="s">
        <v>1814</v>
      </c>
      <c r="E15" s="1913">
        <f t="shared" si="1"/>
        <v>67.260000000000048</v>
      </c>
      <c r="F15" s="1913">
        <f t="shared" si="0"/>
        <v>35.488438853961107</v>
      </c>
      <c r="G15" s="1913">
        <f t="shared" si="0"/>
        <v>7.3177597503773528</v>
      </c>
      <c r="H15" s="1913">
        <f>IF(SUM(H19,H27,H85,H95,H104)=0,"NO",SUM(H19,H27,H85,H95,H104))</f>
        <v>492.70044426969571</v>
      </c>
      <c r="I15" s="1913">
        <f>IF(SUM(I19,I27,I85,I95,I104)=0,"NO",SUM(I19,I27,I85,I95,I104))</f>
        <v>0.25996386544431394</v>
      </c>
      <c r="J15" s="3085">
        <f>IF(SUM(J19,J27,J85,J95,J104)=0,"NO",SUM(J19,J27,J85,J95,J104))</f>
        <v>5.3604868868120985E-2</v>
      </c>
    </row>
    <row r="16" spans="2:11" ht="18" customHeight="1" x14ac:dyDescent="0.2">
      <c r="B16" s="1241" t="s">
        <v>176</v>
      </c>
      <c r="C16" s="1913">
        <f>IF(SUM(C17:C19)=0,"NO",SUM(C17:C19))</f>
        <v>113984.17261339999</v>
      </c>
      <c r="D16" s="1909" t="s">
        <v>1814</v>
      </c>
      <c r="E16" s="628"/>
      <c r="F16" s="628"/>
      <c r="G16" s="628"/>
      <c r="H16" s="1913">
        <f>IF(SUM(H17:H18)=0,"NO",SUM(H17:H18))</f>
        <v>7925.9338914977989</v>
      </c>
      <c r="I16" s="1913">
        <f>IF(SUM(I17:I19)=0,"NO",SUM(I17:I19))</f>
        <v>3.7070479250238271E-2</v>
      </c>
      <c r="J16" s="3085">
        <f>IF(SUM(J17:J19)=0,"NO",SUM(J17:J19))</f>
        <v>6.0023992787256973E-2</v>
      </c>
    </row>
    <row r="17" spans="2:10" ht="18" customHeight="1" x14ac:dyDescent="0.2">
      <c r="B17" s="282" t="s">
        <v>177</v>
      </c>
      <c r="C17" s="691">
        <v>2832.5086133999998</v>
      </c>
      <c r="D17" s="1909" t="s">
        <v>1814</v>
      </c>
      <c r="E17" s="1913">
        <f t="shared" ref="E17:E19" si="2">IFERROR(H17*1000/$C17,"NA")</f>
        <v>67</v>
      </c>
      <c r="F17" s="1913">
        <f t="shared" ref="F17:G19" si="3">IFERROR(I17*1000000/$C17,"NA")</f>
        <v>0.50000000000000011</v>
      </c>
      <c r="G17" s="1913">
        <f t="shared" si="3"/>
        <v>1.9999999999999998</v>
      </c>
      <c r="H17" s="691">
        <v>189.77807709780001</v>
      </c>
      <c r="I17" s="691">
        <v>1.4162543067000001E-3</v>
      </c>
      <c r="J17" s="2911">
        <v>5.6650172267999985E-3</v>
      </c>
    </row>
    <row r="18" spans="2:10" ht="18" customHeight="1" x14ac:dyDescent="0.2">
      <c r="B18" s="282" t="s">
        <v>178</v>
      </c>
      <c r="C18" s="691">
        <v>111151.66399999999</v>
      </c>
      <c r="D18" s="1909" t="s">
        <v>1814</v>
      </c>
      <c r="E18" s="1913">
        <f t="shared" si="2"/>
        <v>69.600000000000009</v>
      </c>
      <c r="F18" s="1913">
        <f t="shared" si="3"/>
        <v>0.32077095079330775</v>
      </c>
      <c r="G18" s="1913">
        <f t="shared" si="3"/>
        <v>0.48905228769635856</v>
      </c>
      <c r="H18" s="691">
        <v>7736.1558143999991</v>
      </c>
      <c r="I18" s="691">
        <v>3.5654224943538274E-2</v>
      </c>
      <c r="J18" s="2911">
        <v>5.4358975560456976E-2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1137107.587786641</v>
      </c>
      <c r="D20" s="1909" t="s">
        <v>1814</v>
      </c>
      <c r="E20" s="628"/>
      <c r="F20" s="628"/>
      <c r="G20" s="628"/>
      <c r="H20" s="1913">
        <f>IF(SUM(H21:H24,H26,H28)=0,"NO",SUM(H21:H24,H26,H28))</f>
        <v>76876.880851256516</v>
      </c>
      <c r="I20" s="1913">
        <f>IF(SUM(I21:I24,I26:I28)=0,"NO",SUM(I21:I24,I26:I28))</f>
        <v>11.24939605523489</v>
      </c>
      <c r="J20" s="3085">
        <f>IF(SUM(J21:J24,J26:J28)=0,"NO",SUM(J21:J24,J26:J28))</f>
        <v>4.7484400784691445</v>
      </c>
    </row>
    <row r="21" spans="2:10" ht="18" customHeight="1" x14ac:dyDescent="0.2">
      <c r="B21" s="282" t="s">
        <v>167</v>
      </c>
      <c r="C21" s="1913">
        <f>IF(SUM(C31,C41,C51,C61,C72)=0,"NO",SUM(C31,C41,C51,C61,C72))</f>
        <v>622022.29366056237</v>
      </c>
      <c r="D21" s="1909" t="s">
        <v>1814</v>
      </c>
      <c r="E21" s="1913">
        <f t="shared" ref="E21:E23" si="4">IFERROR(H21*1000/$C21,"NA")</f>
        <v>67.400000000000006</v>
      </c>
      <c r="F21" s="1913">
        <f t="shared" ref="F21:G23" si="5">IFERROR(I21*1000000/$C21,"NA")</f>
        <v>10.855953970584382</v>
      </c>
      <c r="G21" s="1913">
        <f t="shared" si="5"/>
        <v>6.1385212313296176</v>
      </c>
      <c r="H21" s="1913">
        <f>IF(SUM(H31,H41,H51,H61,H72)=0,"NO",SUM(H31,H41,H51,H61,H72))</f>
        <v>41924.302592721906</v>
      </c>
      <c r="I21" s="1913">
        <f>IF(SUM(I31,I41,I51,I61,I72)=0,"NO",SUM(I31,I41,I51,I61,I72))</f>
        <v>6.7526453886563864</v>
      </c>
      <c r="J21" s="3085">
        <f>IF(SUM(J31,J41,J51,J61,J72)=0,"NO",SUM(J31,J41,J51,J61,J72))</f>
        <v>3.8182970559957083</v>
      </c>
    </row>
    <row r="22" spans="2:10" ht="18" customHeight="1" x14ac:dyDescent="0.2">
      <c r="B22" s="282" t="s">
        <v>168</v>
      </c>
      <c r="C22" s="1913">
        <f t="shared" ref="C22:C29" si="6">IF(SUM(C32,C42,C52,C62,C73)=0,"NO",SUM(C32,C42,C52,C62,C73))</f>
        <v>453605.86985103262</v>
      </c>
      <c r="D22" s="1909" t="s">
        <v>1814</v>
      </c>
      <c r="E22" s="1913">
        <f t="shared" si="4"/>
        <v>69.900000000000048</v>
      </c>
      <c r="F22" s="1913">
        <f t="shared" si="5"/>
        <v>6.0237904711880121</v>
      </c>
      <c r="G22" s="1913">
        <f t="shared" si="5"/>
        <v>1.6671687553510353</v>
      </c>
      <c r="H22" s="1913">
        <f t="shared" ref="H22:J29" si="7">IF(SUM(H32,H42,H52,H62,H73)=0,"NO",SUM(H32,H42,H52,H62,H73))</f>
        <v>31707.050302587199</v>
      </c>
      <c r="I22" s="1913">
        <f t="shared" si="7"/>
        <v>2.7324267164835998</v>
      </c>
      <c r="J22" s="3085">
        <f t="shared" si="7"/>
        <v>0.75623753345946976</v>
      </c>
    </row>
    <row r="23" spans="2:10" ht="18" customHeight="1" x14ac:dyDescent="0.2">
      <c r="B23" s="282" t="s">
        <v>169</v>
      </c>
      <c r="C23" s="1913">
        <f t="shared" si="6"/>
        <v>51640</v>
      </c>
      <c r="D23" s="1909" t="s">
        <v>1814</v>
      </c>
      <c r="E23" s="1913">
        <f t="shared" si="4"/>
        <v>60.200000000000017</v>
      </c>
      <c r="F23" s="1913">
        <f t="shared" si="5"/>
        <v>24.678748012282259</v>
      </c>
      <c r="G23" s="1913">
        <f t="shared" si="5"/>
        <v>2.2807007535095427</v>
      </c>
      <c r="H23" s="1913">
        <f t="shared" si="7"/>
        <v>3108.728000000001</v>
      </c>
      <c r="I23" s="1913">
        <f t="shared" si="7"/>
        <v>1.2744105473542557</v>
      </c>
      <c r="J23" s="3085">
        <f t="shared" si="7"/>
        <v>0.11777538691123279</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2656.0000000000045</v>
      </c>
      <c r="D26" s="1909" t="s">
        <v>1814</v>
      </c>
      <c r="E26" s="1913">
        <f t="shared" si="8"/>
        <v>51.411918339264915</v>
      </c>
      <c r="F26" s="1913">
        <f t="shared" si="9"/>
        <v>106.27117599825313</v>
      </c>
      <c r="G26" s="1913">
        <f t="shared" si="9"/>
        <v>0.99999999999999833</v>
      </c>
      <c r="H26" s="1913">
        <f t="shared" si="7"/>
        <v>136.55005510908785</v>
      </c>
      <c r="I26" s="1913">
        <f t="shared" si="7"/>
        <v>0.2822562434513608</v>
      </c>
      <c r="J26" s="3085">
        <f t="shared" si="7"/>
        <v>2.6559999999999999E-3</v>
      </c>
    </row>
    <row r="27" spans="2:10" ht="18" customHeight="1" x14ac:dyDescent="0.2">
      <c r="B27" s="282" t="s">
        <v>137</v>
      </c>
      <c r="C27" s="1913">
        <f t="shared" si="6"/>
        <v>7180.0149866646534</v>
      </c>
      <c r="D27" s="1909" t="s">
        <v>1814</v>
      </c>
      <c r="E27" s="1913">
        <f t="shared" si="8"/>
        <v>67.260000000000048</v>
      </c>
      <c r="F27" s="1913">
        <f t="shared" si="9"/>
        <v>28.921549561521271</v>
      </c>
      <c r="G27" s="1913">
        <f t="shared" si="9"/>
        <v>7.4476309871288784</v>
      </c>
      <c r="H27" s="1913">
        <f t="shared" si="7"/>
        <v>482.92780800306491</v>
      </c>
      <c r="I27" s="1913">
        <f t="shared" si="7"/>
        <v>0.20765715928928727</v>
      </c>
      <c r="J27" s="3085">
        <f t="shared" si="7"/>
        <v>5.3474102102733415E-2</v>
      </c>
    </row>
    <row r="28" spans="2:10" ht="18" customHeight="1" x14ac:dyDescent="0.2">
      <c r="B28" s="282" t="s">
        <v>181</v>
      </c>
      <c r="C28" s="1913">
        <f>C29</f>
        <v>3.4092883811491896</v>
      </c>
      <c r="D28" s="1909" t="s">
        <v>1814</v>
      </c>
      <c r="E28" s="628"/>
      <c r="F28" s="628"/>
      <c r="G28" s="628"/>
      <c r="H28" s="1913">
        <f>H29</f>
        <v>0.24990083833823548</v>
      </c>
      <c r="I28" s="1913" t="str">
        <f>I29</f>
        <v>NE</v>
      </c>
      <c r="J28" s="3085" t="str">
        <f>J29</f>
        <v>NE</v>
      </c>
    </row>
    <row r="29" spans="2:10" ht="18" customHeight="1" x14ac:dyDescent="0.2">
      <c r="B29" s="3105" t="s">
        <v>252</v>
      </c>
      <c r="C29" s="1913">
        <f t="shared" si="6"/>
        <v>3.4092883811491896</v>
      </c>
      <c r="D29" s="1909" t="s">
        <v>1814</v>
      </c>
      <c r="E29" s="3103">
        <f t="shared" ref="E29" si="10">IFERROR(H29*1000/$C29,"NA")</f>
        <v>73.299999999999969</v>
      </c>
      <c r="F29" s="3103" t="str">
        <f>IFERROR(I29*1000000/$C29,"NA")</f>
        <v>NA</v>
      </c>
      <c r="G29" s="3103" t="str">
        <f>IFERROR(J29*1000000/$C29,"NA")</f>
        <v>NA</v>
      </c>
      <c r="H29" s="1913">
        <f t="shared" si="7"/>
        <v>0.24990083833823548</v>
      </c>
      <c r="I29" s="1913" t="str">
        <f>IF(SUM(I39,I49,I59,I69,I80)=0,"NE",SUM(I39,I49,I59,I69,I80))</f>
        <v>NE</v>
      </c>
      <c r="J29" s="3085" t="str">
        <f>IF(SUM(J39,J49,J59,J69,J80)=0,"NE",SUM(J39,J49,J59,J69,J80))</f>
        <v>NE</v>
      </c>
    </row>
    <row r="30" spans="2:10" ht="18" customHeight="1" x14ac:dyDescent="0.2">
      <c r="B30" s="1242" t="s">
        <v>182</v>
      </c>
      <c r="C30" s="1913">
        <f>IF(SUM(C31:C34,C36:C38)=0,"NO",SUM(C31:C34,C36:C38))</f>
        <v>642336.75139135588</v>
      </c>
      <c r="D30" s="1909" t="s">
        <v>1814</v>
      </c>
      <c r="E30" s="628"/>
      <c r="F30" s="628"/>
      <c r="G30" s="628"/>
      <c r="H30" s="1913">
        <f>IF(SUM(H31:H34,H36,H38)=0,"NO",SUM(H31:H34,H36,H38))</f>
        <v>42800.563424229833</v>
      </c>
      <c r="I30" s="1913">
        <f>IF(SUM(I31:I34,I36:I38)=0,"NO",SUM(I31:I34,I36:I38))</f>
        <v>6.9594031857126568</v>
      </c>
      <c r="J30" s="3085">
        <f>IF(SUM(J31:J34,J36:J38)=0,"NO",SUM(J31:J34,J36:J38))</f>
        <v>3.6764172994744002</v>
      </c>
    </row>
    <row r="31" spans="2:10" ht="18" customHeight="1" x14ac:dyDescent="0.2">
      <c r="B31" s="282" t="s">
        <v>167</v>
      </c>
      <c r="C31" s="691">
        <v>535589.55078699801</v>
      </c>
      <c r="D31" s="1909" t="s">
        <v>1814</v>
      </c>
      <c r="E31" s="1913">
        <f t="shared" ref="E31:E33" si="11">IFERROR(H31*1000/$C31,"NA")</f>
        <v>67.40000000000002</v>
      </c>
      <c r="F31" s="1913">
        <f t="shared" ref="F31:G33" si="12">IFERROR(I31*1000000/$C31,"NA")</f>
        <v>10.368322296852682</v>
      </c>
      <c r="G31" s="1913">
        <f t="shared" si="12"/>
        <v>6.505003341410676</v>
      </c>
      <c r="H31" s="691">
        <v>36098.735723043676</v>
      </c>
      <c r="I31" s="691">
        <v>5.5531650813861431</v>
      </c>
      <c r="J31" s="2911">
        <v>3.4840118174940651</v>
      </c>
    </row>
    <row r="32" spans="2:10" ht="18" customHeight="1" x14ac:dyDescent="0.2">
      <c r="B32" s="282" t="s">
        <v>168</v>
      </c>
      <c r="C32" s="691">
        <v>66970.039740684602</v>
      </c>
      <c r="D32" s="1909" t="s">
        <v>1814</v>
      </c>
      <c r="E32" s="1913">
        <f t="shared" si="11"/>
        <v>69.900000000000006</v>
      </c>
      <c r="F32" s="1913">
        <f t="shared" si="12"/>
        <v>4.8344707506377205</v>
      </c>
      <c r="G32" s="1913">
        <f t="shared" si="12"/>
        <v>1.1252711534075848</v>
      </c>
      <c r="H32" s="691">
        <v>4681.2057778738545</v>
      </c>
      <c r="I32" s="691">
        <v>0.32376469829538546</v>
      </c>
      <c r="J32" s="2911">
        <v>7.5359453862751946E-2</v>
      </c>
    </row>
    <row r="33" spans="2:10" ht="18" customHeight="1" x14ac:dyDescent="0.2">
      <c r="B33" s="282" t="s">
        <v>169</v>
      </c>
      <c r="C33" s="691">
        <v>33535.396132252004</v>
      </c>
      <c r="D33" s="1909" t="s">
        <v>1814</v>
      </c>
      <c r="E33" s="1913">
        <f t="shared" si="11"/>
        <v>60.200000000000067</v>
      </c>
      <c r="F33" s="1913">
        <f t="shared" si="12"/>
        <v>26.717267977361786</v>
      </c>
      <c r="G33" s="1913">
        <f t="shared" si="12"/>
        <v>2.2536198740221476</v>
      </c>
      <c r="H33" s="691">
        <v>2018.8308471615728</v>
      </c>
      <c r="I33" s="691">
        <v>0.89597416519235873</v>
      </c>
      <c r="J33" s="2911">
        <v>7.557603520684858E-2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34.837761526684304</v>
      </c>
      <c r="D36" s="1909" t="s">
        <v>1814</v>
      </c>
      <c r="E36" s="1913">
        <f t="shared" si="13"/>
        <v>51.411918339265057</v>
      </c>
      <c r="F36" s="1913">
        <f t="shared" si="14"/>
        <v>261.0000000000004</v>
      </c>
      <c r="G36" s="1913">
        <f t="shared" si="14"/>
        <v>1.0000000000000011</v>
      </c>
      <c r="H36" s="691">
        <v>1.7910761507326833</v>
      </c>
      <c r="I36" s="691">
        <v>9.0926557584646156E-3</v>
      </c>
      <c r="J36" s="2911">
        <v>3.4837761526684342E-5</v>
      </c>
    </row>
    <row r="37" spans="2:10" ht="18" customHeight="1" x14ac:dyDescent="0.2">
      <c r="B37" s="282" t="s">
        <v>137</v>
      </c>
      <c r="C37" s="691">
        <v>6206.9269698947201</v>
      </c>
      <c r="D37" s="1909" t="s">
        <v>1814</v>
      </c>
      <c r="E37" s="1913">
        <f t="shared" si="13"/>
        <v>67.260000000000062</v>
      </c>
      <c r="F37" s="1913">
        <f t="shared" si="14"/>
        <v>28.582031968601406</v>
      </c>
      <c r="G37" s="1913">
        <f t="shared" si="14"/>
        <v>6.67563116984938</v>
      </c>
      <c r="H37" s="691">
        <v>417.47790799511927</v>
      </c>
      <c r="I37" s="691">
        <v>0.17740658508030513</v>
      </c>
      <c r="J37" s="2911">
        <v>4.143515514920796E-2</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198809.82860719887</v>
      </c>
      <c r="D40" s="1909" t="s">
        <v>1814</v>
      </c>
      <c r="E40" s="628"/>
      <c r="F40" s="628"/>
      <c r="G40" s="628"/>
      <c r="H40" s="1913">
        <f>IF(SUM(H41:H44,H46,H48)=0,"NO",SUM(H41:H44,H46,H48))</f>
        <v>13495.844663611015</v>
      </c>
      <c r="I40" s="1913">
        <f>IF(SUM(I41:I44,I46:I48)=0,"NO",SUM(I41:I44,I46:I48))</f>
        <v>2.3460743339743244</v>
      </c>
      <c r="J40" s="3085">
        <f>IF(SUM(J41:J44,J46:J48)=0,"NO",SUM(J41:J44,J46:J48))</f>
        <v>0.52265356535333984</v>
      </c>
    </row>
    <row r="41" spans="2:10" ht="18" customHeight="1" x14ac:dyDescent="0.2">
      <c r="B41" s="282" t="s">
        <v>167</v>
      </c>
      <c r="C41" s="691">
        <v>80666.010324953109</v>
      </c>
      <c r="D41" s="1909" t="s">
        <v>1814</v>
      </c>
      <c r="E41" s="1913">
        <f t="shared" ref="E41:E43" si="16">IFERROR(H41*1000/$C41,"NA")</f>
        <v>67.399999999999949</v>
      </c>
      <c r="F41" s="1913">
        <f t="shared" ref="F41:G43" si="17">IFERROR(I41*1000000/$C41,"NA")</f>
        <v>10.904744412057255</v>
      </c>
      <c r="G41" s="1913">
        <f t="shared" si="17"/>
        <v>4.0709717977828257</v>
      </c>
      <c r="H41" s="691">
        <v>5436.8890959018354</v>
      </c>
      <c r="I41" s="691">
        <v>0.87964222533398528</v>
      </c>
      <c r="J41" s="2911">
        <v>0.32838905307254235</v>
      </c>
    </row>
    <row r="42" spans="2:10" ht="18" customHeight="1" x14ac:dyDescent="0.2">
      <c r="B42" s="282" t="s">
        <v>168</v>
      </c>
      <c r="C42" s="691">
        <v>103684.57929395301</v>
      </c>
      <c r="D42" s="1909" t="s">
        <v>1814</v>
      </c>
      <c r="E42" s="1913">
        <f t="shared" si="16"/>
        <v>69.90000000000019</v>
      </c>
      <c r="F42" s="1913">
        <f t="shared" si="17"/>
        <v>10.473201267258029</v>
      </c>
      <c r="G42" s="1913">
        <f t="shared" si="17"/>
        <v>1.4066750465888216</v>
      </c>
      <c r="H42" s="691">
        <v>7247.5520926473355</v>
      </c>
      <c r="I42" s="691">
        <v>1.0859094672565441</v>
      </c>
      <c r="J42" s="2911">
        <v>0.14585051040886371</v>
      </c>
    </row>
    <row r="43" spans="2:10" ht="18" customHeight="1" x14ac:dyDescent="0.2">
      <c r="B43" s="282" t="s">
        <v>169</v>
      </c>
      <c r="C43" s="691">
        <v>13433.487211478499</v>
      </c>
      <c r="D43" s="1909" t="s">
        <v>1814</v>
      </c>
      <c r="E43" s="1913">
        <f t="shared" si="16"/>
        <v>60.19999999999991</v>
      </c>
      <c r="F43" s="1913">
        <f t="shared" si="17"/>
        <v>25.051337787830207</v>
      </c>
      <c r="G43" s="1913">
        <f t="shared" si="17"/>
        <v>2.7038691135483872</v>
      </c>
      <c r="H43" s="691">
        <v>808.69593013100439</v>
      </c>
      <c r="I43" s="691">
        <v>0.33652682580324517</v>
      </c>
      <c r="J43" s="2911">
        <v>3.6322391158363963E-2</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v>52.663760044320199</v>
      </c>
      <c r="D46" s="1909" t="s">
        <v>1814</v>
      </c>
      <c r="E46" s="1913">
        <f t="shared" si="18"/>
        <v>51.411918339264972</v>
      </c>
      <c r="F46" s="1913">
        <f t="shared" si="19"/>
        <v>260.99999999999983</v>
      </c>
      <c r="G46" s="1913">
        <f t="shared" si="19"/>
        <v>0.99999999999999933</v>
      </c>
      <c r="H46" s="691">
        <v>2.7075449308372352</v>
      </c>
      <c r="I46" s="691">
        <v>1.3745241371567563E-2</v>
      </c>
      <c r="J46" s="2911">
        <v>5.2663760044320165E-5</v>
      </c>
    </row>
    <row r="47" spans="2:10" ht="18" customHeight="1" x14ac:dyDescent="0.2">
      <c r="B47" s="282" t="s">
        <v>137</v>
      </c>
      <c r="C47" s="691">
        <v>973.08801676993301</v>
      </c>
      <c r="D47" s="1909" t="s">
        <v>1814</v>
      </c>
      <c r="E47" s="1913">
        <f t="shared" si="18"/>
        <v>67.259999999999948</v>
      </c>
      <c r="F47" s="1913">
        <f t="shared" si="19"/>
        <v>31.087192204252862</v>
      </c>
      <c r="G47" s="1913">
        <f t="shared" si="19"/>
        <v>12.371899300011439</v>
      </c>
      <c r="H47" s="691">
        <v>65.449900007945644</v>
      </c>
      <c r="I47" s="691">
        <v>3.0250574208982139E-2</v>
      </c>
      <c r="J47" s="2911">
        <v>1.2038946953525453E-2</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292169.98126363457</v>
      </c>
      <c r="D50" s="1909" t="s">
        <v>1814</v>
      </c>
      <c r="E50" s="628"/>
      <c r="F50" s="628"/>
      <c r="G50" s="628"/>
      <c r="H50" s="1913">
        <f>IF(SUM(H51:H54,H56,H58)=0,"NO",SUM(H51:H54,H56,H58))</f>
        <v>20324.937460866226</v>
      </c>
      <c r="I50" s="1913">
        <f>IF(SUM(I51:I54,I56:I58)=0,"NO",SUM(I51:I54,I56:I58))</f>
        <v>1.6623531745554809</v>
      </c>
      <c r="J50" s="3085">
        <f>IF(SUM(J51:J54,J56:J58)=0,"NO",SUM(J51:J54,J56:J58))</f>
        <v>0.54561500882817204</v>
      </c>
    </row>
    <row r="51" spans="2:10" ht="18" customHeight="1" x14ac:dyDescent="0.2">
      <c r="B51" s="282" t="s">
        <v>167</v>
      </c>
      <c r="C51" s="691">
        <v>1979.1153125411499</v>
      </c>
      <c r="D51" s="1909" t="s">
        <v>1814</v>
      </c>
      <c r="E51" s="1913">
        <f t="shared" ref="E51:E53" si="21">IFERROR(H51*1000/$C51,"NA")</f>
        <v>67.40000000000002</v>
      </c>
      <c r="F51" s="1913">
        <f t="shared" ref="F51:G53" si="22">IFERROR(I51*1000000/$C51,"NA")</f>
        <v>19.338297622834769</v>
      </c>
      <c r="G51" s="1913">
        <f t="shared" si="22"/>
        <v>1.0822919727291576</v>
      </c>
      <c r="H51" s="691">
        <v>133.39237206527355</v>
      </c>
      <c r="I51" s="691">
        <v>3.8272720943830413E-2</v>
      </c>
      <c r="J51" s="2911">
        <v>2.1419806158686442E-3</v>
      </c>
    </row>
    <row r="52" spans="2:10" ht="18" customHeight="1" x14ac:dyDescent="0.2">
      <c r="B52" s="282" t="s">
        <v>168</v>
      </c>
      <c r="C52" s="691">
        <v>282951.25081639498</v>
      </c>
      <c r="D52" s="1909" t="s">
        <v>1814</v>
      </c>
      <c r="E52" s="1913">
        <f t="shared" si="21"/>
        <v>69.899999999999991</v>
      </c>
      <c r="F52" s="1913">
        <f t="shared" si="22"/>
        <v>4.6748425642761857</v>
      </c>
      <c r="G52" s="1913">
        <f t="shared" si="22"/>
        <v>1.8908825023538405</v>
      </c>
      <c r="H52" s="691">
        <v>19778.292432066009</v>
      </c>
      <c r="I52" s="691">
        <v>1.32275255093167</v>
      </c>
      <c r="J52" s="2911">
        <v>0.5350275691878541</v>
      </c>
    </row>
    <row r="53" spans="2:10" ht="18" customHeight="1" x14ac:dyDescent="0.2">
      <c r="B53" s="282" t="s">
        <v>169</v>
      </c>
      <c r="C53" s="691">
        <v>4671.1166562694998</v>
      </c>
      <c r="D53" s="1909" t="s">
        <v>1814</v>
      </c>
      <c r="E53" s="1913">
        <f t="shared" si="21"/>
        <v>60.199999999999939</v>
      </c>
      <c r="F53" s="1913">
        <f t="shared" si="22"/>
        <v>8.9720637360664846</v>
      </c>
      <c r="G53" s="1913">
        <f t="shared" si="22"/>
        <v>1.258148956338369</v>
      </c>
      <c r="H53" s="691">
        <v>281.2012227074236</v>
      </c>
      <c r="I53" s="691">
        <v>4.190955635865172E-2</v>
      </c>
      <c r="J53" s="2911">
        <v>5.8769605460202426E-3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2568.498478429</v>
      </c>
      <c r="D56" s="1909" t="s">
        <v>1814</v>
      </c>
      <c r="E56" s="1913">
        <f t="shared" si="23"/>
        <v>51.411918339264915</v>
      </c>
      <c r="F56" s="1913">
        <f t="shared" si="24"/>
        <v>100.99999999999984</v>
      </c>
      <c r="G56" s="1913">
        <f t="shared" si="24"/>
        <v>0.99999999999999822</v>
      </c>
      <c r="H56" s="691">
        <v>132.05143402751793</v>
      </c>
      <c r="I56" s="691">
        <v>0.2594183463213286</v>
      </c>
      <c r="J56" s="2911">
        <v>2.5684984784289954E-3</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3791.0265244512793</v>
      </c>
      <c r="D60" s="1909" t="s">
        <v>1814</v>
      </c>
      <c r="E60" s="628"/>
      <c r="F60" s="628"/>
      <c r="G60" s="628"/>
      <c r="H60" s="1913">
        <f>IF(SUM(H61:H64,H66,H68)=0,"NO",SUM(H61:H64,H66,H68))</f>
        <v>255.5353025494652</v>
      </c>
      <c r="I60" s="1913">
        <f>IF(SUM(I61:I64,I66:I68)=0,"NO",SUM(I61:I64,I66:I68))</f>
        <v>0.28156536099242735</v>
      </c>
      <c r="J60" s="3085">
        <f>IF(SUM(J61:J64,J66:J68)=0,"NO",SUM(J61:J64,J66:J68))</f>
        <v>3.7542048132323644E-3</v>
      </c>
    </row>
    <row r="61" spans="2:10" ht="18" customHeight="1" x14ac:dyDescent="0.2">
      <c r="B61" s="282" t="s">
        <v>167</v>
      </c>
      <c r="C61" s="691">
        <v>3787.6172360701303</v>
      </c>
      <c r="D61" s="1909" t="s">
        <v>1814</v>
      </c>
      <c r="E61" s="1913">
        <f t="shared" ref="E61:E63" si="26">IFERROR(H61*1000/$C61,"NA")</f>
        <v>67.400000000000048</v>
      </c>
      <c r="F61" s="1913">
        <f t="shared" ref="F61:G63" si="27">IFERROR(I61*1000000/$C61,"NA")</f>
        <v>74.338388343740746</v>
      </c>
      <c r="G61" s="1913">
        <f t="shared" si="27"/>
        <v>0.99117851124987666</v>
      </c>
      <c r="H61" s="691">
        <v>255.28540171112695</v>
      </c>
      <c r="I61" s="691">
        <v>0.28156536099242735</v>
      </c>
      <c r="J61" s="2911">
        <v>3.7542048132323644E-3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3.4092883811491896</v>
      </c>
      <c r="D68" s="1909" t="s">
        <v>1814</v>
      </c>
      <c r="E68" s="628"/>
      <c r="F68" s="628"/>
      <c r="G68" s="628"/>
      <c r="H68" s="1913">
        <f>H69</f>
        <v>0.24990083833823548</v>
      </c>
      <c r="I68" s="1913" t="str">
        <f>I69</f>
        <v>NE</v>
      </c>
      <c r="J68" s="3085" t="str">
        <f>J69</f>
        <v>NE</v>
      </c>
    </row>
    <row r="69" spans="2:10" ht="18" customHeight="1" x14ac:dyDescent="0.2">
      <c r="B69" s="3105" t="s">
        <v>252</v>
      </c>
      <c r="C69" s="691">
        <v>3.4092883811491896</v>
      </c>
      <c r="D69" s="1909" t="s">
        <v>1814</v>
      </c>
      <c r="E69" s="3103">
        <f t="shared" ref="E69" si="30">IFERROR(H69*1000/$C69,"NA")</f>
        <v>73.299999999999969</v>
      </c>
      <c r="F69" s="3103" t="str">
        <f>IFERROR(I69*1000000/$C69,"NA")</f>
        <v>NA</v>
      </c>
      <c r="G69" s="3103" t="str">
        <f>IFERROR(J69*1000000/$C69,"NA")</f>
        <v>NA</v>
      </c>
      <c r="H69" s="691">
        <v>0.24990083833823548</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38852</v>
      </c>
      <c r="D81" s="1909" t="s">
        <v>1814</v>
      </c>
      <c r="E81" s="628"/>
      <c r="F81" s="628"/>
      <c r="G81" s="628"/>
      <c r="H81" s="1913">
        <f>IF(SUM(H82:H84,H86)=0,"NO",SUM(H82:H84,H86))</f>
        <v>2715.7548000000006</v>
      </c>
      <c r="I81" s="1913">
        <f>IF(SUM(I82:I86)=0,"NO",SUM(I82:I86))</f>
        <v>0.15540799999999999</v>
      </c>
      <c r="J81" s="3085">
        <f>IF(SUM(J82:J86)=0,"NO",SUM(J82:J86))</f>
        <v>1.1655599999999999</v>
      </c>
    </row>
    <row r="82" spans="2:10" ht="18" customHeight="1" x14ac:dyDescent="0.2">
      <c r="B82" s="282" t="s">
        <v>132</v>
      </c>
      <c r="C82" s="691">
        <v>38852</v>
      </c>
      <c r="D82" s="1909" t="s">
        <v>1814</v>
      </c>
      <c r="E82" s="1913">
        <f t="shared" ref="E82:E85" si="36">IFERROR(H82*1000/$C82,"NA")</f>
        <v>69.90000000000002</v>
      </c>
      <c r="F82" s="1913">
        <f t="shared" ref="F82:G85" si="37">IFERROR(I82*1000000/$C82,"NA")</f>
        <v>4</v>
      </c>
      <c r="G82" s="1913">
        <f t="shared" si="37"/>
        <v>30</v>
      </c>
      <c r="H82" s="691">
        <v>2715.7548000000006</v>
      </c>
      <c r="I82" s="691">
        <v>0.15540799999999999</v>
      </c>
      <c r="J82" s="2911">
        <v>1.1655599999999999</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t="s">
        <v>2146</v>
      </c>
      <c r="D84" s="1909" t="s">
        <v>1814</v>
      </c>
      <c r="E84" s="1913" t="str">
        <f t="shared" si="36"/>
        <v>NA</v>
      </c>
      <c r="F84" s="1913" t="str">
        <f t="shared" si="37"/>
        <v>NA</v>
      </c>
      <c r="G84" s="1913" t="str">
        <f t="shared" si="37"/>
        <v>NA</v>
      </c>
      <c r="H84" s="691" t="s">
        <v>2146</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23657.768175182999</v>
      </c>
      <c r="D88" s="1909" t="s">
        <v>1814</v>
      </c>
      <c r="E88" s="628"/>
      <c r="F88" s="628"/>
      <c r="G88" s="628"/>
      <c r="H88" s="1913">
        <f>IF(SUM(H89:H92,H94,H96)=0,"NO",SUM(H89:H92,H94,H96))</f>
        <v>1678.9488169785079</v>
      </c>
      <c r="I88" s="3334">
        <f>IF(SUM(I89:I92,I94:I96)=0,"NE",SUM(I89:I92,I94:I96))</f>
        <v>4.5156668538063576</v>
      </c>
      <c r="J88" s="3335">
        <f>IF(SUM(J89:J92,J94:J96)=0,"NE",SUM(J89:J92,J94:J96))</f>
        <v>3.1407281877602361E-2</v>
      </c>
    </row>
    <row r="89" spans="2:10" ht="18" customHeight="1" x14ac:dyDescent="0.2">
      <c r="B89" s="282" t="s">
        <v>190</v>
      </c>
      <c r="C89" s="691">
        <v>4310</v>
      </c>
      <c r="D89" s="1909" t="s">
        <v>1814</v>
      </c>
      <c r="E89" s="1913">
        <f t="shared" ref="E89:E91" si="39">IFERROR(H89*1000/$C89,"NA")</f>
        <v>73.599999999999994</v>
      </c>
      <c r="F89" s="1913">
        <f t="shared" ref="F89:G91" si="40">IFERROR(I89*1000000/$C89,"NA")</f>
        <v>7.0000000000000009</v>
      </c>
      <c r="G89" s="1913">
        <f t="shared" si="40"/>
        <v>2.0000000000000004</v>
      </c>
      <c r="H89" s="691">
        <v>317.21600000000001</v>
      </c>
      <c r="I89" s="3336">
        <v>3.0170000000000002E-2</v>
      </c>
      <c r="J89" s="3337">
        <v>8.6200000000000009E-3</v>
      </c>
    </row>
    <row r="90" spans="2:10" ht="18" customHeight="1" x14ac:dyDescent="0.2">
      <c r="B90" s="282" t="s">
        <v>191</v>
      </c>
      <c r="C90" s="691">
        <v>4648.6202991608898</v>
      </c>
      <c r="D90" s="1909" t="s">
        <v>1814</v>
      </c>
      <c r="E90" s="1913">
        <f t="shared" si="39"/>
        <v>69.900000000000006</v>
      </c>
      <c r="F90" s="1913">
        <f t="shared" si="40"/>
        <v>7.0000000000000009</v>
      </c>
      <c r="G90" s="1913">
        <f t="shared" si="40"/>
        <v>2</v>
      </c>
      <c r="H90" s="691">
        <v>324.93855891134626</v>
      </c>
      <c r="I90" s="3336">
        <v>3.2540342094126234E-2</v>
      </c>
      <c r="J90" s="3337">
        <v>9.2972405983217793E-3</v>
      </c>
    </row>
    <row r="91" spans="2:10" ht="18" customHeight="1" x14ac:dyDescent="0.2">
      <c r="B91" s="282" t="s">
        <v>167</v>
      </c>
      <c r="C91" s="691">
        <v>11940</v>
      </c>
      <c r="D91" s="1909" t="s">
        <v>1814</v>
      </c>
      <c r="E91" s="1913">
        <f t="shared" si="39"/>
        <v>67.399999999999991</v>
      </c>
      <c r="F91" s="1913">
        <f t="shared" si="40"/>
        <v>359.99999999999983</v>
      </c>
      <c r="G91" s="1913">
        <f t="shared" si="40"/>
        <v>0.89999999999999969</v>
      </c>
      <c r="H91" s="691">
        <v>804.75599999999986</v>
      </c>
      <c r="I91" s="3336">
        <v>4.2983999999999982</v>
      </c>
      <c r="J91" s="3337">
        <v>1.0745999999999997E-2</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100</v>
      </c>
      <c r="D94" s="1909" t="s">
        <v>1814</v>
      </c>
      <c r="E94" s="1913">
        <f t="shared" ref="E94:E95" si="43">IFERROR(H94*1000/$C94,"NA")</f>
        <v>51.411918339265014</v>
      </c>
      <c r="F94" s="1913">
        <f t="shared" si="42"/>
        <v>243.00000000000009</v>
      </c>
      <c r="G94" s="1913">
        <f t="shared" si="42"/>
        <v>1.0000000000000002</v>
      </c>
      <c r="H94" s="691">
        <v>5.1411918339265013</v>
      </c>
      <c r="I94" s="3336">
        <v>2.4300000000000006E-2</v>
      </c>
      <c r="J94" s="3337">
        <v>1.0000000000000002E-4</v>
      </c>
    </row>
    <row r="95" spans="2:10" ht="18" customHeight="1" x14ac:dyDescent="0.2">
      <c r="B95" s="282" t="s">
        <v>137</v>
      </c>
      <c r="C95" s="691">
        <v>137.82364364509201</v>
      </c>
      <c r="D95" s="1909" t="s">
        <v>1814</v>
      </c>
      <c r="E95" s="1913">
        <f t="shared" si="43"/>
        <v>67.259999999999906</v>
      </c>
      <c r="F95" s="1913">
        <f t="shared" si="42"/>
        <v>359.99999999999943</v>
      </c>
      <c r="G95" s="1913">
        <f t="shared" si="42"/>
        <v>0.89999999999999847</v>
      </c>
      <c r="H95" s="691">
        <v>9.2700182715688744</v>
      </c>
      <c r="I95" s="3336">
        <v>4.9616511712233038E-2</v>
      </c>
      <c r="J95" s="3337">
        <v>1.240412792805826E-4</v>
      </c>
    </row>
    <row r="96" spans="2:10" ht="18" customHeight="1" x14ac:dyDescent="0.2">
      <c r="B96" s="282" t="s">
        <v>183</v>
      </c>
      <c r="C96" s="1913">
        <f>IF(SUM(C97:C98)=0,"NO",SUM(C97:C98))</f>
        <v>2521.3242323770164</v>
      </c>
      <c r="D96" s="1909" t="s">
        <v>1814</v>
      </c>
      <c r="E96" s="628"/>
      <c r="F96" s="628"/>
      <c r="G96" s="628"/>
      <c r="H96" s="1913">
        <f>IF(SUM(H97:H98)=0,"NO",SUM(H97:H98))</f>
        <v>226.89706623323534</v>
      </c>
      <c r="I96" s="3334">
        <f>IF(SUM(I97:I98)=0,"NE",SUM(I97:I98))</f>
        <v>8.0640000000000017E-2</v>
      </c>
      <c r="J96" s="3335">
        <f>IF(SUM(J97:J98)=0,"NE",SUM(J97:J98))</f>
        <v>2.5200000000000005E-3</v>
      </c>
    </row>
    <row r="97" spans="2:10" ht="18" customHeight="1" x14ac:dyDescent="0.2">
      <c r="B97" s="2572" t="s">
        <v>2260</v>
      </c>
      <c r="C97" s="691">
        <v>2520</v>
      </c>
      <c r="D97" s="1909" t="s">
        <v>1814</v>
      </c>
      <c r="E97" s="3103">
        <f t="shared" ref="E97" si="44">IFERROR(H97*1000/$C97,"NA")</f>
        <v>90.000000000000014</v>
      </c>
      <c r="F97" s="3103">
        <f>IFERROR(I97*1000000/$C97,"NA")</f>
        <v>32.000000000000007</v>
      </c>
      <c r="G97" s="3103">
        <f>IFERROR(J97*1000000/$C97,"NA")</f>
        <v>1.0000000000000002</v>
      </c>
      <c r="H97" s="691">
        <v>226.80000000000004</v>
      </c>
      <c r="I97" s="3336">
        <v>8.0640000000000017E-2</v>
      </c>
      <c r="J97" s="3337">
        <v>2.5200000000000005E-3</v>
      </c>
    </row>
    <row r="98" spans="2:10" ht="18" customHeight="1" x14ac:dyDescent="0.2">
      <c r="B98" s="2572" t="s">
        <v>252</v>
      </c>
      <c r="C98" s="691">
        <v>1.3242323770162399</v>
      </c>
      <c r="D98" s="1909" t="s">
        <v>1814</v>
      </c>
      <c r="E98" s="3103">
        <f t="shared" ref="E98" si="45">IFERROR(H98*1000/$C98,"NA")</f>
        <v>73.300000000000196</v>
      </c>
      <c r="F98" s="3103" t="str">
        <f>IFERROR(I98*1000000/$C98,"NA")</f>
        <v>NA</v>
      </c>
      <c r="G98" s="3103" t="str">
        <f>IFERROR(J98*1000000/$C98,"NA")</f>
        <v>NA</v>
      </c>
      <c r="H98" s="691">
        <v>9.7066233235290636E-2</v>
      </c>
      <c r="I98" s="3336" t="s">
        <v>2154</v>
      </c>
      <c r="J98" s="3337" t="s">
        <v>2154</v>
      </c>
    </row>
    <row r="99" spans="2:10" ht="18" customHeight="1" x14ac:dyDescent="0.2">
      <c r="B99" s="1241" t="s">
        <v>193</v>
      </c>
      <c r="C99" s="1913">
        <f>IF(SUM(C100:C104)=0,"NO",SUM(C100:C104))</f>
        <v>10920.234210710238</v>
      </c>
      <c r="D99" s="1909" t="s">
        <v>1814</v>
      </c>
      <c r="E99" s="628"/>
      <c r="F99" s="628"/>
      <c r="G99" s="628"/>
      <c r="H99" s="1913">
        <f>IF(SUM(H100:H103)=0,"NO",SUM(H100:H103))</f>
        <v>571.09445831074197</v>
      </c>
      <c r="I99" s="1913">
        <f>IF(SUM(I100:I104)=0,"NO",SUM(I100:I104))</f>
        <v>0.11542822035531529</v>
      </c>
      <c r="J99" s="3085">
        <f>IF(SUM(J100:J104)=0,"NO",SUM(J100:J104))</f>
        <v>1.1606944293534342E-3</v>
      </c>
    </row>
    <row r="100" spans="2:10" ht="18" customHeight="1" x14ac:dyDescent="0.2">
      <c r="B100" s="282" t="s">
        <v>132</v>
      </c>
      <c r="C100" s="1913">
        <f>IF(SUM(C106,C113:C116)=0,"NO",SUM(C106,C113:C116))</f>
        <v>657.61157952569761</v>
      </c>
      <c r="D100" s="1909" t="s">
        <v>1814</v>
      </c>
      <c r="E100" s="3103">
        <f t="shared" ref="E100:E104" si="46">IFERROR(H100*1000/$C100,"NA")</f>
        <v>66.351724494928192</v>
      </c>
      <c r="F100" s="3103">
        <f t="shared" ref="F100:G104" si="47">IFERROR(I100*1000000/$C100,"NA")</f>
        <v>49.222347548166333</v>
      </c>
      <c r="G100" s="3103">
        <f t="shared" si="47"/>
        <v>0.19688939019266535</v>
      </c>
      <c r="H100" s="1913">
        <f>IF(SUM(H106,H113:H116)=0,"NO",SUM(H106,H113:H116))</f>
        <v>43.633662349363654</v>
      </c>
      <c r="I100" s="1913">
        <f>IF(SUM(I106,I113:I116)=0,"NO",SUM(I106,I113:I116))</f>
        <v>3.2369185719112507E-2</v>
      </c>
      <c r="J100" s="3085">
        <f>IF(SUM(J106,J113:J116)=0,"NO",SUM(J106,J113:J116))</f>
        <v>1.2947674287645006E-4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10244.9220037</v>
      </c>
      <c r="D102" s="1909" t="s">
        <v>1814</v>
      </c>
      <c r="E102" s="3103">
        <f t="shared" si="46"/>
        <v>51.411918339264993</v>
      </c>
      <c r="F102" s="3103">
        <f t="shared" si="47"/>
        <v>7.8447488584474909</v>
      </c>
      <c r="G102" s="3103">
        <f t="shared" si="47"/>
        <v>0.10000000000000002</v>
      </c>
      <c r="H102" s="1913">
        <f t="shared" si="48"/>
        <v>526.71109344636352</v>
      </c>
      <c r="I102" s="1913">
        <f t="shared" si="48"/>
        <v>8.0368840193409147E-2</v>
      </c>
      <c r="J102" s="3085">
        <f t="shared" si="48"/>
        <v>1.02449220037E-3</v>
      </c>
    </row>
    <row r="103" spans="2:10" ht="18" customHeight="1" x14ac:dyDescent="0.2">
      <c r="B103" s="282" t="s">
        <v>175</v>
      </c>
      <c r="C103" s="1913">
        <f>IF(SUM(C109,C120)=0,"NO",SUM(C109,C120))</f>
        <v>10.2278651434476</v>
      </c>
      <c r="D103" s="1909" t="s">
        <v>1814</v>
      </c>
      <c r="E103" s="3103">
        <f t="shared" si="46"/>
        <v>73.299999999999741</v>
      </c>
      <c r="F103" s="3103" t="str">
        <f t="shared" si="47"/>
        <v>NA</v>
      </c>
      <c r="G103" s="3103" t="str">
        <f t="shared" si="47"/>
        <v>NA</v>
      </c>
      <c r="H103" s="1913">
        <f t="shared" si="48"/>
        <v>0.74970251501470653</v>
      </c>
      <c r="I103" s="1913" t="str">
        <f t="shared" si="48"/>
        <v>NO</v>
      </c>
      <c r="J103" s="3085" t="str">
        <f t="shared" si="48"/>
        <v>NO</v>
      </c>
    </row>
    <row r="104" spans="2:10" ht="18" customHeight="1" x14ac:dyDescent="0.2">
      <c r="B104" s="282" t="s">
        <v>137</v>
      </c>
      <c r="C104" s="1913">
        <f>IF(SUM(C110,C121)=0,"NO",SUM(C110,C121))</f>
        <v>7.4727623410933894</v>
      </c>
      <c r="D104" s="1909" t="s">
        <v>1814</v>
      </c>
      <c r="E104" s="3103">
        <f t="shared" si="46"/>
        <v>67.260000000000048</v>
      </c>
      <c r="F104" s="3103">
        <f t="shared" si="47"/>
        <v>360.00000000000017</v>
      </c>
      <c r="G104" s="3103">
        <f t="shared" si="47"/>
        <v>0.90000000000000069</v>
      </c>
      <c r="H104" s="1913">
        <f t="shared" si="48"/>
        <v>0.50261799506194171</v>
      </c>
      <c r="I104" s="1913">
        <f t="shared" si="48"/>
        <v>2.6901944427936216E-3</v>
      </c>
      <c r="J104" s="3085">
        <f t="shared" si="48"/>
        <v>6.7254861069840554E-6</v>
      </c>
    </row>
    <row r="105" spans="2:10" ht="18" customHeight="1" x14ac:dyDescent="0.2">
      <c r="B105" s="1244" t="s">
        <v>194</v>
      </c>
      <c r="C105" s="1913">
        <f>IF(SUM(C106:C110)=0,"NO",SUM(C106:C110))</f>
        <v>10244.9220037</v>
      </c>
      <c r="D105" s="1909" t="s">
        <v>1814</v>
      </c>
      <c r="E105" s="628"/>
      <c r="F105" s="628"/>
      <c r="G105" s="628"/>
      <c r="H105" s="1913">
        <f>IF(SUM(H106:H109)=0,"NO",SUM(H106:H109))</f>
        <v>526.71109344636352</v>
      </c>
      <c r="I105" s="1913">
        <f>IF(SUM(I106:I110)=0,"NO",SUM(I106:I110))</f>
        <v>8.0368840193409147E-2</v>
      </c>
      <c r="J105" s="3085">
        <f>IF(SUM(J106:J110)=0,"NO",SUM(J106:J110))</f>
        <v>1.02449220037E-3</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10244.9220037</v>
      </c>
      <c r="D108" s="1909" t="s">
        <v>1814</v>
      </c>
      <c r="E108" s="3103">
        <f t="shared" si="49"/>
        <v>51.411918339264993</v>
      </c>
      <c r="F108" s="3103">
        <f t="shared" si="50"/>
        <v>7.8447488584474909</v>
      </c>
      <c r="G108" s="3103">
        <f t="shared" si="50"/>
        <v>0.10000000000000002</v>
      </c>
      <c r="H108" s="691">
        <v>526.71109344636352</v>
      </c>
      <c r="I108" s="691">
        <v>8.0368840193409147E-2</v>
      </c>
      <c r="J108" s="2911">
        <v>1.02449220037E-3</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675.31220701023858</v>
      </c>
      <c r="D111" s="1909" t="s">
        <v>1814</v>
      </c>
      <c r="E111" s="628"/>
      <c r="F111" s="628"/>
      <c r="G111" s="628"/>
      <c r="H111" s="1913">
        <f>H112</f>
        <v>44.383364864378358</v>
      </c>
      <c r="I111" s="1913">
        <f>I112</f>
        <v>3.5059380161906128E-2</v>
      </c>
      <c r="J111" s="3085">
        <f>J112</f>
        <v>1.3620222898343411E-4</v>
      </c>
    </row>
    <row r="112" spans="2:10" ht="18" customHeight="1" x14ac:dyDescent="0.2">
      <c r="B112" s="3089" t="s">
        <v>2148</v>
      </c>
      <c r="C112" s="3099">
        <f>IF(SUM(C113:C116,C118:C121)=0,"NO",SUM(C113:C116,C118:C121))</f>
        <v>675.31220701023858</v>
      </c>
      <c r="D112" s="3099" t="s">
        <v>1814</v>
      </c>
      <c r="E112" s="628"/>
      <c r="F112" s="628"/>
      <c r="G112" s="628"/>
      <c r="H112" s="3099">
        <f>IF(SUM(H113:H116,H118:H120)=0,"NO",SUM(H113:H116,H118:H120))</f>
        <v>44.383364864378358</v>
      </c>
      <c r="I112" s="3099">
        <f>IF(SUM(I113:I116,I118:I121)=0,"NO",SUM(I113:I116,I118:I121))</f>
        <v>3.5059380161906128E-2</v>
      </c>
      <c r="J112" s="3100">
        <f>IF(SUM(J113:J116,J118:J121)=0,"NO",SUM(J113:J116,J118:J121))</f>
        <v>1.3620222898343411E-4</v>
      </c>
    </row>
    <row r="113" spans="2:10" ht="18" customHeight="1" x14ac:dyDescent="0.2">
      <c r="B113" s="282" t="s">
        <v>167</v>
      </c>
      <c r="C113" s="691">
        <v>657.61157952569761</v>
      </c>
      <c r="D113" s="1913" t="s">
        <v>1814</v>
      </c>
      <c r="E113" s="1913">
        <f t="shared" ref="E113:E115" si="51">IFERROR(H113*1000/$C113,"NA")</f>
        <v>66.351724494928192</v>
      </c>
      <c r="F113" s="1913">
        <f t="shared" ref="F113:G115" si="52">IFERROR(I113*1000000/$C113,"NA")</f>
        <v>49.222347548166333</v>
      </c>
      <c r="G113" s="1913">
        <f t="shared" si="52"/>
        <v>0.19688939019266535</v>
      </c>
      <c r="H113" s="691">
        <v>43.633662349363654</v>
      </c>
      <c r="I113" s="691">
        <v>3.2369185719112507E-2</v>
      </c>
      <c r="J113" s="2911">
        <v>1.2947674287645006E-4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10.2278651434476</v>
      </c>
      <c r="D120" s="1909" t="s">
        <v>1814</v>
      </c>
      <c r="E120" s="3103">
        <f t="shared" si="53"/>
        <v>73.299999999999741</v>
      </c>
      <c r="F120" s="3103" t="str">
        <f t="shared" si="54"/>
        <v>NA</v>
      </c>
      <c r="G120" s="3103" t="str">
        <f t="shared" si="54"/>
        <v>NA</v>
      </c>
      <c r="H120" s="691">
        <v>0.74970251501470653</v>
      </c>
      <c r="I120" s="691" t="s">
        <v>2154</v>
      </c>
      <c r="J120" s="2911" t="s">
        <v>2154</v>
      </c>
    </row>
    <row r="121" spans="2:10" ht="18" customHeight="1" thickBot="1" x14ac:dyDescent="0.25">
      <c r="B121" s="2185" t="s">
        <v>137</v>
      </c>
      <c r="C121" s="1559">
        <v>7.4727623410933894</v>
      </c>
      <c r="D121" s="2880" t="s">
        <v>1814</v>
      </c>
      <c r="E121" s="3104">
        <f t="shared" si="53"/>
        <v>67.260000000000048</v>
      </c>
      <c r="F121" s="3104">
        <f t="shared" si="54"/>
        <v>360.00000000000017</v>
      </c>
      <c r="G121" s="3104">
        <f t="shared" si="54"/>
        <v>0.90000000000000069</v>
      </c>
      <c r="H121" s="1559">
        <v>0.50261799506194171</v>
      </c>
      <c r="I121" s="1559">
        <v>2.6901944427936216E-3</v>
      </c>
      <c r="J121" s="1561">
        <v>6.7254861069840554E-6</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406124.39352045348</v>
      </c>
      <c r="D10" s="3109" t="s">
        <v>1814</v>
      </c>
      <c r="E10" s="2135"/>
      <c r="F10" s="2135"/>
      <c r="G10" s="2135"/>
      <c r="H10" s="3109">
        <f>IF(SUM(H11:H15)=0,"NO",SUM(H11:H15))</f>
        <v>20619.975763741699</v>
      </c>
      <c r="I10" s="3109">
        <f>IF(SUM(I11:I16)=0,"NO",SUM(I11:I16))</f>
        <v>39.246759312967512</v>
      </c>
      <c r="J10" s="3109">
        <f>IF(SUM(J11:J16)=0,"NO",SUM(J11:J16))</f>
        <v>0.66598351676016176</v>
      </c>
      <c r="K10" s="420" t="str">
        <f>IF(SUM(K11:K16)=0,"NO",SUM(K11:K16))</f>
        <v>NO</v>
      </c>
    </row>
    <row r="11" spans="2:12" ht="18" customHeight="1" x14ac:dyDescent="0.2">
      <c r="B11" s="282" t="s">
        <v>132</v>
      </c>
      <c r="C11" s="1913">
        <f>IF(SUM(C18,C39,C60)=0,"NO",SUM(C18,C39,C60))</f>
        <v>148107.88460227865</v>
      </c>
      <c r="D11" s="3109" t="s">
        <v>1814</v>
      </c>
      <c r="E11" s="1913">
        <f t="shared" ref="E11:E16" si="0">IFERROR(H11*1000/$C11,"NA")</f>
        <v>68.244634551803657</v>
      </c>
      <c r="F11" s="1913">
        <f t="shared" ref="F11:G16" si="1">IFERROR(I11*1000000/$C11,"NA")</f>
        <v>9.5147503818105932</v>
      </c>
      <c r="G11" s="1913">
        <f t="shared" si="1"/>
        <v>2.5656013415293413</v>
      </c>
      <c r="H11" s="1913">
        <f>IF(SUM(H18,H39,H60)=0,"NO",SUM(H18,H39,H60))</f>
        <v>10107.568458923213</v>
      </c>
      <c r="I11" s="1913">
        <f>IF(SUM(I18,I39,I60)=0,"NO",SUM(I18,I39,I60))</f>
        <v>1.40920955156869</v>
      </c>
      <c r="J11" s="1913">
        <f>IF(SUM(J18,J39,J60)=0,"NO",SUM(J18,J39,J60))</f>
        <v>0.37998578742667899</v>
      </c>
      <c r="K11" s="3085" t="str">
        <f>IF(SUM(K18,K39,K60)=0,"NO",SUM(K18,K39,K60))</f>
        <v>NO</v>
      </c>
    </row>
    <row r="12" spans="2:12" ht="18" customHeight="1" x14ac:dyDescent="0.2">
      <c r="B12" s="282" t="s">
        <v>133</v>
      </c>
      <c r="C12" s="1913">
        <f t="shared" ref="C12:C16" si="2">IF(SUM(C19,C40,C61)=0,"NO",SUM(C19,C40,C61))</f>
        <v>961.32093178383229</v>
      </c>
      <c r="D12" s="3109" t="s">
        <v>1814</v>
      </c>
      <c r="E12" s="1913">
        <f t="shared" si="0"/>
        <v>94.229767196671403</v>
      </c>
      <c r="F12" s="1913">
        <f t="shared" si="1"/>
        <v>0.95238095238095233</v>
      </c>
      <c r="G12" s="1913">
        <f t="shared" si="1"/>
        <v>0.66666666666666652</v>
      </c>
      <c r="H12" s="1913">
        <f t="shared" ref="H12:K16" si="3">IF(SUM(H19,H40,H61)=0,"NO",SUM(H19,H40,H61))</f>
        <v>90.585047603277758</v>
      </c>
      <c r="I12" s="1913">
        <f t="shared" si="3"/>
        <v>9.1554374455603065E-4</v>
      </c>
      <c r="J12" s="1913">
        <f t="shared" si="3"/>
        <v>6.408806211892214E-4</v>
      </c>
      <c r="K12" s="3085" t="str">
        <f t="shared" si="3"/>
        <v>NO</v>
      </c>
    </row>
    <row r="13" spans="2:12" ht="18" customHeight="1" x14ac:dyDescent="0.2">
      <c r="B13" s="282" t="s">
        <v>134</v>
      </c>
      <c r="C13" s="1913">
        <f t="shared" si="2"/>
        <v>202685.10989298046</v>
      </c>
      <c r="D13" s="3109" t="s">
        <v>1814</v>
      </c>
      <c r="E13" s="1913">
        <f t="shared" si="0"/>
        <v>51.41878583344392</v>
      </c>
      <c r="F13" s="1913">
        <f t="shared" si="1"/>
        <v>0.90909090909090895</v>
      </c>
      <c r="G13" s="1913">
        <f t="shared" si="1"/>
        <v>0.90909090909090895</v>
      </c>
      <c r="H13" s="1913">
        <f t="shared" si="3"/>
        <v>10421.822257215208</v>
      </c>
      <c r="I13" s="1913">
        <f t="shared" si="3"/>
        <v>0.18425919081180039</v>
      </c>
      <c r="J13" s="1913">
        <f t="shared" si="3"/>
        <v>0.18425919081180039</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54370.078093410608</v>
      </c>
      <c r="D16" s="3109" t="s">
        <v>1814</v>
      </c>
      <c r="E16" s="1913">
        <f t="shared" si="0"/>
        <v>76.989352951893551</v>
      </c>
      <c r="F16" s="1913">
        <f t="shared" si="1"/>
        <v>692.52015717457186</v>
      </c>
      <c r="G16" s="1913">
        <f t="shared" si="1"/>
        <v>1.8594355837930223</v>
      </c>
      <c r="H16" s="1913">
        <f t="shared" si="3"/>
        <v>4185.9171323556047</v>
      </c>
      <c r="I16" s="1913">
        <f t="shared" si="3"/>
        <v>37.652375026842464</v>
      </c>
      <c r="J16" s="1913">
        <f t="shared" si="3"/>
        <v>0.10109765790049317</v>
      </c>
      <c r="K16" s="3085" t="str">
        <f t="shared" si="3"/>
        <v>NO</v>
      </c>
    </row>
    <row r="17" spans="2:11" ht="18" customHeight="1" x14ac:dyDescent="0.2">
      <c r="B17" s="1241" t="s">
        <v>1942</v>
      </c>
      <c r="C17" s="3109">
        <f>IF(SUM(C18:C23)=0,"NO",SUM(C18:C23))</f>
        <v>92080.921960650085</v>
      </c>
      <c r="D17" s="3109" t="s">
        <v>1814</v>
      </c>
      <c r="E17" s="628"/>
      <c r="F17" s="628"/>
      <c r="G17" s="628"/>
      <c r="H17" s="3078">
        <f>IF(SUM(H18:H22)=0,"NO",SUM(H18:H22))</f>
        <v>5353.5481620515729</v>
      </c>
      <c r="I17" s="3078">
        <f>IF(SUM(I18:I23)=0,"NO",SUM(I18:I23))</f>
        <v>0.1174916808038028</v>
      </c>
      <c r="J17" s="3110">
        <f>IF(SUM(J18:J23)=0,"NO",SUM(J18:J23))</f>
        <v>9.7868896520849333E-2</v>
      </c>
      <c r="K17" s="3085" t="str">
        <f>IF(SUM(K18:K23)=0,"NO",SUM(K18:K23))</f>
        <v>NO</v>
      </c>
    </row>
    <row r="18" spans="2:11" ht="18" customHeight="1" x14ac:dyDescent="0.2">
      <c r="B18" s="282" t="s">
        <v>132</v>
      </c>
      <c r="C18" s="3109">
        <f>IF(SUM(C26,C33)=0,"NO",SUM(C26,C33))</f>
        <v>38383.570654246272</v>
      </c>
      <c r="D18" s="3109" t="s">
        <v>1814</v>
      </c>
      <c r="E18" s="1913">
        <f t="shared" ref="E18" si="4">IFERROR(H18*1000/$C18,"NA")</f>
        <v>68.518038503843641</v>
      </c>
      <c r="F18" s="1913">
        <f t="shared" ref="F18:G23" si="5">IFERROR(I18*1000000/$C18,"NA")</f>
        <v>1.7252431269899036</v>
      </c>
      <c r="G18" s="1913">
        <f t="shared" si="5"/>
        <v>1.2463503947272869</v>
      </c>
      <c r="H18" s="3109">
        <f>IF(SUM(H26,H33)=0,"NO",SUM(H26,H33))</f>
        <v>2629.9669720026486</v>
      </c>
      <c r="I18" s="3109">
        <f>IF(SUM(I26,I33)=0,"NO",SUM(I26,I33))</f>
        <v>6.6220991460569742E-2</v>
      </c>
      <c r="J18" s="3109">
        <f>IF(SUM(J26,J33)=0,"NO",SUM(J26,J33))</f>
        <v>4.7839378435962553E-2</v>
      </c>
      <c r="K18" s="3085" t="str">
        <f>IF(SUM(K26,K33)=0,"NO",SUM(K26,K33))</f>
        <v>NO</v>
      </c>
    </row>
    <row r="19" spans="2:11" ht="18" customHeight="1" x14ac:dyDescent="0.2">
      <c r="B19" s="282" t="s">
        <v>133</v>
      </c>
      <c r="C19" s="3109">
        <f t="shared" ref="C19:C21" si="6">IF(SUM(C27,C34)=0,"NO",SUM(C27,C34))</f>
        <v>940.32093178383229</v>
      </c>
      <c r="D19" s="3109" t="s">
        <v>1814</v>
      </c>
      <c r="E19" s="1913">
        <f t="shared" ref="E19:E23" si="7">IFERROR(H19*1000/$C19,"NA")</f>
        <v>94.212565740952229</v>
      </c>
      <c r="F19" s="1913">
        <f t="shared" si="5"/>
        <v>0.95238095238095222</v>
      </c>
      <c r="G19" s="1913">
        <f t="shared" si="5"/>
        <v>0.66666666666666652</v>
      </c>
      <c r="H19" s="3109">
        <f t="shared" ref="H19:K21" si="8">IF(SUM(H27,H34)=0,"NO",SUM(H27,H34))</f>
        <v>88.590047603277753</v>
      </c>
      <c r="I19" s="3109">
        <f t="shared" si="8"/>
        <v>8.955437445560306E-4</v>
      </c>
      <c r="J19" s="3109">
        <f t="shared" si="8"/>
        <v>6.2688062118922139E-4</v>
      </c>
      <c r="K19" s="3085" t="str">
        <f t="shared" si="8"/>
        <v>NO</v>
      </c>
    </row>
    <row r="20" spans="2:11" ht="18" customHeight="1" x14ac:dyDescent="0.2">
      <c r="B20" s="282" t="s">
        <v>134</v>
      </c>
      <c r="C20" s="3109">
        <f t="shared" si="6"/>
        <v>51238.109892980421</v>
      </c>
      <c r="D20" s="3109" t="s">
        <v>1814</v>
      </c>
      <c r="E20" s="1913">
        <f t="shared" si="7"/>
        <v>51.426392346424905</v>
      </c>
      <c r="F20" s="1913">
        <f t="shared" si="5"/>
        <v>0.90909090909090906</v>
      </c>
      <c r="G20" s="1913">
        <f t="shared" si="5"/>
        <v>0.90909090909090906</v>
      </c>
      <c r="H20" s="3109">
        <f t="shared" si="8"/>
        <v>2634.9911424456468</v>
      </c>
      <c r="I20" s="3109">
        <f t="shared" si="8"/>
        <v>4.6580099902709476E-2</v>
      </c>
      <c r="J20" s="3109">
        <f t="shared" si="8"/>
        <v>4.6580099902709476E-2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1518.9204816395543</v>
      </c>
      <c r="D23" s="3109" t="s">
        <v>1814</v>
      </c>
      <c r="E23" s="1913">
        <f t="shared" si="7"/>
        <v>58.386931732187371</v>
      </c>
      <c r="F23" s="1913">
        <f t="shared" si="5"/>
        <v>2.4985150584519791</v>
      </c>
      <c r="G23" s="1913">
        <f t="shared" si="5"/>
        <v>1.858252354291376</v>
      </c>
      <c r="H23" s="3109">
        <f>IF(SUM(H31,H37)=0,"NO",SUM(H31,H37))</f>
        <v>88.685106468109822</v>
      </c>
      <c r="I23" s="3109">
        <f>IF(SUM(I31,I37)=0,"NO",SUM(I31,I37))</f>
        <v>3.7950456959675591E-3</v>
      </c>
      <c r="J23" s="3109">
        <f>IF(SUM(J31,J37)=0,"NO",SUM(J31,J37))</f>
        <v>2.8225375609880927E-3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92080.921960650085</v>
      </c>
      <c r="D25" s="3078" t="s">
        <v>1814</v>
      </c>
      <c r="E25" s="628"/>
      <c r="F25" s="628"/>
      <c r="G25" s="628"/>
      <c r="H25" s="3078">
        <f>IF(SUM(H26:H30)=0,"NO",SUM(H26:H30))</f>
        <v>5353.5481620515729</v>
      </c>
      <c r="I25" s="3078">
        <f>IF(SUM(I26:I31)=0,"NO",SUM(I26:I31))</f>
        <v>0.1174916808038028</v>
      </c>
      <c r="J25" s="3110">
        <f>IF(SUM(J26:J31)=0,"NO",SUM(J26:J31))</f>
        <v>9.7868896520849333E-2</v>
      </c>
      <c r="K25" s="3085" t="str">
        <f>IF(SUM(K26:K31)=0,"NO",SUM(K26:K31))</f>
        <v>NO</v>
      </c>
    </row>
    <row r="26" spans="2:11" ht="18" customHeight="1" x14ac:dyDescent="0.2">
      <c r="B26" s="282" t="s">
        <v>132</v>
      </c>
      <c r="C26" s="691">
        <v>38383.570654246272</v>
      </c>
      <c r="D26" s="3078" t="s">
        <v>1814</v>
      </c>
      <c r="E26" s="1913">
        <f t="shared" ref="E26:E31" si="9">IFERROR(H26*1000/$C26,"NA")</f>
        <v>68.518038503843641</v>
      </c>
      <c r="F26" s="1913">
        <f t="shared" ref="F26:G31" si="10">IFERROR(I26*1000000/$C26,"NA")</f>
        <v>1.7252431269899036</v>
      </c>
      <c r="G26" s="1913">
        <f t="shared" si="10"/>
        <v>1.2463503947272869</v>
      </c>
      <c r="H26" s="691">
        <v>2629.9669720026486</v>
      </c>
      <c r="I26" s="691">
        <v>6.6220991460569742E-2</v>
      </c>
      <c r="J26" s="691">
        <v>4.7839378435962553E-2</v>
      </c>
      <c r="K26" s="2911" t="s">
        <v>2146</v>
      </c>
    </row>
    <row r="27" spans="2:11" ht="18" customHeight="1" x14ac:dyDescent="0.2">
      <c r="B27" s="282" t="s">
        <v>133</v>
      </c>
      <c r="C27" s="691">
        <v>940.32093178383229</v>
      </c>
      <c r="D27" s="3078" t="s">
        <v>1814</v>
      </c>
      <c r="E27" s="1913">
        <f t="shared" si="9"/>
        <v>94.212565740952229</v>
      </c>
      <c r="F27" s="1913">
        <f t="shared" si="10"/>
        <v>0.95238095238095222</v>
      </c>
      <c r="G27" s="1913">
        <f t="shared" si="10"/>
        <v>0.66666666666666652</v>
      </c>
      <c r="H27" s="691">
        <v>88.590047603277753</v>
      </c>
      <c r="I27" s="691">
        <v>8.955437445560306E-4</v>
      </c>
      <c r="J27" s="691">
        <v>6.2688062118922139E-4</v>
      </c>
      <c r="K27" s="2911" t="s">
        <v>2146</v>
      </c>
    </row>
    <row r="28" spans="2:11" ht="18" customHeight="1" x14ac:dyDescent="0.2">
      <c r="B28" s="282" t="s">
        <v>134</v>
      </c>
      <c r="C28" s="691">
        <v>51238.109892980421</v>
      </c>
      <c r="D28" s="3078" t="s">
        <v>1814</v>
      </c>
      <c r="E28" s="1913">
        <f t="shared" si="9"/>
        <v>51.426392346424905</v>
      </c>
      <c r="F28" s="1913">
        <f t="shared" si="10"/>
        <v>0.90909090909090906</v>
      </c>
      <c r="G28" s="1913">
        <f t="shared" si="10"/>
        <v>0.90909090909090906</v>
      </c>
      <c r="H28" s="691">
        <v>2634.9911424456468</v>
      </c>
      <c r="I28" s="691">
        <v>4.6580099902709476E-2</v>
      </c>
      <c r="J28" s="691">
        <v>4.6580099902709476E-2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1518.9204816395543</v>
      </c>
      <c r="D31" s="3078" t="s">
        <v>1814</v>
      </c>
      <c r="E31" s="1913">
        <f t="shared" si="9"/>
        <v>58.386931732187371</v>
      </c>
      <c r="F31" s="1913">
        <f t="shared" si="10"/>
        <v>2.4985150584519791</v>
      </c>
      <c r="G31" s="1913">
        <f t="shared" si="10"/>
        <v>1.858252354291376</v>
      </c>
      <c r="H31" s="691">
        <v>88.685106468109822</v>
      </c>
      <c r="I31" s="691">
        <v>3.7950456959675591E-3</v>
      </c>
      <c r="J31" s="691">
        <v>2.8225375609880927E-3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224209.87155980346</v>
      </c>
      <c r="D38" s="3078" t="s">
        <v>1814</v>
      </c>
      <c r="E38" s="628"/>
      <c r="F38" s="628"/>
      <c r="G38" s="628"/>
      <c r="H38" s="1913">
        <f>IF(SUM(H39:H43)=0,"NO",SUM(H39:H43))</f>
        <v>9031.4857424817255</v>
      </c>
      <c r="I38" s="1913">
        <f>IF(SUM(I39:I44)=0,"NO",SUM(I39:I44))</f>
        <v>38.52757716116804</v>
      </c>
      <c r="J38" s="1913">
        <f>IF(SUM(J39:J44)=0,"NO",SUM(J39:J44))</f>
        <v>0.24729342543411764</v>
      </c>
      <c r="K38" s="3085" t="str">
        <f>IF(SUM(K39:K44)=0,"NO",SUM(K39:K44))</f>
        <v>NO</v>
      </c>
    </row>
    <row r="39" spans="2:11" ht="18" customHeight="1" x14ac:dyDescent="0.2">
      <c r="B39" s="282" t="s">
        <v>132</v>
      </c>
      <c r="C39" s="3109">
        <f>IF(SUM(C47,C54)=0,"NO",SUM(C47,C54))</f>
        <v>20463.713948032386</v>
      </c>
      <c r="D39" s="3078" t="s">
        <v>1814</v>
      </c>
      <c r="E39" s="1913">
        <f t="shared" ref="E39:E44" si="13">IFERROR(H39*1000/$C39,"NA")</f>
        <v>62.164603167885829</v>
      </c>
      <c r="F39" s="1913">
        <f t="shared" ref="F39:G44" si="14">IFERROR(I39*1000000/$C39,"NA")</f>
        <v>36.250457765741253</v>
      </c>
      <c r="G39" s="1913">
        <f t="shared" si="14"/>
        <v>0.57888432698551107</v>
      </c>
      <c r="H39" s="1913">
        <f>IF(SUM(H47,H54)=0,"NO",SUM(H47,H54))</f>
        <v>1272.1186569205634</v>
      </c>
      <c r="I39" s="1913">
        <f>IF(SUM(I47,I54)=0,"NO",SUM(I47,I54))</f>
        <v>0.74181899820335817</v>
      </c>
      <c r="J39" s="1913">
        <f>IF(SUM(J47,J54)=0,"NO",SUM(J47,J54))</f>
        <v>1.1846123276430743E-2</v>
      </c>
      <c r="K39" s="3085" t="str">
        <f>IF(SUM(K47,K54)=0,"NO",SUM(K47,K54))</f>
        <v>NO</v>
      </c>
    </row>
    <row r="40" spans="2:11" ht="18" customHeight="1" x14ac:dyDescent="0.2">
      <c r="B40" s="282" t="s">
        <v>133</v>
      </c>
      <c r="C40" s="3109">
        <f t="shared" ref="C40:C42" si="15">IF(SUM(C48,C55)=0,"NO",SUM(C48,C55))</f>
        <v>21.000000000000004</v>
      </c>
      <c r="D40" s="3078" t="s">
        <v>1814</v>
      </c>
      <c r="E40" s="1913">
        <f t="shared" si="13"/>
        <v>95</v>
      </c>
      <c r="F40" s="1913">
        <f t="shared" si="14"/>
        <v>0.95238095238095244</v>
      </c>
      <c r="G40" s="1913">
        <f t="shared" si="14"/>
        <v>0.66666666666666663</v>
      </c>
      <c r="H40" s="1913">
        <f t="shared" ref="H40:K42" si="16">IF(SUM(H48,H55)=0,"NO",SUM(H48,H55))</f>
        <v>1.9950000000000003</v>
      </c>
      <c r="I40" s="1913">
        <f t="shared" si="16"/>
        <v>2.0000000000000005E-5</v>
      </c>
      <c r="J40" s="1913">
        <f t="shared" si="16"/>
        <v>1.4000000000000001E-5</v>
      </c>
      <c r="K40" s="3085" t="str">
        <f t="shared" si="16"/>
        <v>NO</v>
      </c>
    </row>
    <row r="41" spans="2:11" ht="18" customHeight="1" x14ac:dyDescent="0.2">
      <c r="B41" s="282" t="s">
        <v>134</v>
      </c>
      <c r="C41" s="3109">
        <f t="shared" si="15"/>
        <v>150874.00000000003</v>
      </c>
      <c r="D41" s="3078" t="s">
        <v>1814</v>
      </c>
      <c r="E41" s="1913">
        <f t="shared" si="13"/>
        <v>51.416228677977394</v>
      </c>
      <c r="F41" s="1913">
        <f t="shared" si="14"/>
        <v>0.90909090909090895</v>
      </c>
      <c r="G41" s="1913">
        <f t="shared" si="14"/>
        <v>0.90909090909090895</v>
      </c>
      <c r="H41" s="1913">
        <f t="shared" si="16"/>
        <v>7757.3720855611627</v>
      </c>
      <c r="I41" s="1913">
        <f t="shared" si="16"/>
        <v>0.13715818181818182</v>
      </c>
      <c r="J41" s="1913">
        <f t="shared" si="16"/>
        <v>0.13715818181818182</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52851.15761177105</v>
      </c>
      <c r="D44" s="3078" t="s">
        <v>1814</v>
      </c>
      <c r="E44" s="1913">
        <f t="shared" si="13"/>
        <v>77.52397886881775</v>
      </c>
      <c r="F44" s="1913">
        <f t="shared" si="14"/>
        <v>712.35109470452505</v>
      </c>
      <c r="G44" s="1913">
        <f t="shared" si="14"/>
        <v>1.8594695893211084</v>
      </c>
      <c r="H44" s="1913">
        <f>IF(SUM(H52,H58)=0,"NO",SUM(H52,H58))</f>
        <v>4097.2320258874952</v>
      </c>
      <c r="I44" s="1913">
        <f>IF(SUM(I52,I58)=0,"NO",SUM(I52,I58))</f>
        <v>37.648579981146497</v>
      </c>
      <c r="J44" s="1913">
        <f>IF(SUM(J52,J58)=0,"NO",SUM(J52,J58))</f>
        <v>9.8275120339505084E-2</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220080.66042387096</v>
      </c>
      <c r="D46" s="3078" t="s">
        <v>1814</v>
      </c>
      <c r="E46" s="628"/>
      <c r="F46" s="628"/>
      <c r="G46" s="628"/>
      <c r="H46" s="1913">
        <f>IF(SUM(H47:H51)=0,"NO",SUM(H47:H51))</f>
        <v>8755.9889855611636</v>
      </c>
      <c r="I46" s="1913">
        <f>IF(SUM(I47:I52)=0,"NO",SUM(I47:I52))</f>
        <v>37.785768413415873</v>
      </c>
      <c r="J46" s="1913">
        <f>IF(SUM(J47:J52)=0,"NO",SUM(J47:J52))</f>
        <v>0.24564031183143392</v>
      </c>
      <c r="K46" s="3085" t="str">
        <f>IF(SUM(K47:K52)=0,"NO",SUM(K47:K52))</f>
        <v>NO</v>
      </c>
    </row>
    <row r="47" spans="2:11" ht="18" customHeight="1" x14ac:dyDescent="0.2">
      <c r="B47" s="282" t="s">
        <v>132</v>
      </c>
      <c r="C47" s="691">
        <v>16381.000000000004</v>
      </c>
      <c r="D47" s="3078" t="s">
        <v>1814</v>
      </c>
      <c r="E47" s="1913">
        <f t="shared" ref="E47:E52" si="17">IFERROR(H47*1000/$C47,"NA")</f>
        <v>60.840113546181549</v>
      </c>
      <c r="F47" s="1913">
        <f t="shared" ref="F47:G52" si="18">IFERROR(I47*1000000/$C47,"NA")</f>
        <v>1.0224795858151574</v>
      </c>
      <c r="G47" s="1913">
        <f t="shared" si="18"/>
        <v>0.62480050930084496</v>
      </c>
      <c r="H47" s="691">
        <v>996.6219000000001</v>
      </c>
      <c r="I47" s="691">
        <v>1.6749238095238098E-2</v>
      </c>
      <c r="J47" s="691">
        <v>1.0234857142857143E-2</v>
      </c>
      <c r="K47" s="2911" t="s">
        <v>2146</v>
      </c>
    </row>
    <row r="48" spans="2:11" ht="18" customHeight="1" x14ac:dyDescent="0.2">
      <c r="B48" s="282" t="s">
        <v>133</v>
      </c>
      <c r="C48" s="691">
        <v>21.000000000000004</v>
      </c>
      <c r="D48" s="3078" t="s">
        <v>1814</v>
      </c>
      <c r="E48" s="1913">
        <f t="shared" si="17"/>
        <v>95</v>
      </c>
      <c r="F48" s="1913">
        <f t="shared" si="18"/>
        <v>0.95238095238095244</v>
      </c>
      <c r="G48" s="1913">
        <f t="shared" si="18"/>
        <v>0.66666666666666663</v>
      </c>
      <c r="H48" s="691">
        <v>1.9950000000000003</v>
      </c>
      <c r="I48" s="691">
        <v>2.0000000000000005E-5</v>
      </c>
      <c r="J48" s="691">
        <v>1.4000000000000001E-5</v>
      </c>
      <c r="K48" s="2911" t="s">
        <v>2146</v>
      </c>
    </row>
    <row r="49" spans="2:11" ht="18" customHeight="1" x14ac:dyDescent="0.2">
      <c r="B49" s="282" t="s">
        <v>134</v>
      </c>
      <c r="C49" s="691">
        <v>150874.00000000003</v>
      </c>
      <c r="D49" s="3078" t="s">
        <v>1814</v>
      </c>
      <c r="E49" s="1913">
        <f t="shared" si="17"/>
        <v>51.416228677977394</v>
      </c>
      <c r="F49" s="1913">
        <f t="shared" si="18"/>
        <v>0.90909090909090895</v>
      </c>
      <c r="G49" s="1913">
        <f t="shared" si="18"/>
        <v>0.90909090909090895</v>
      </c>
      <c r="H49" s="691">
        <v>7757.3720855611627</v>
      </c>
      <c r="I49" s="691">
        <v>0.13715818181818182</v>
      </c>
      <c r="J49" s="691">
        <v>0.13715818181818182</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52804.660423870911</v>
      </c>
      <c r="D52" s="3078" t="s">
        <v>1814</v>
      </c>
      <c r="E52" s="1913">
        <f t="shared" si="17"/>
        <v>77.533016823995112</v>
      </c>
      <c r="F52" s="1913">
        <f t="shared" si="18"/>
        <v>712.66135775566079</v>
      </c>
      <c r="G52" s="1913">
        <f t="shared" si="18"/>
        <v>1.8603144510704503</v>
      </c>
      <c r="H52" s="691">
        <v>4094.1046250293321</v>
      </c>
      <c r="I52" s="691">
        <v>37.63184099350245</v>
      </c>
      <c r="J52" s="691">
        <v>9.8233272870394961E-2</v>
      </c>
      <c r="K52" s="2911" t="s">
        <v>2146</v>
      </c>
    </row>
    <row r="53" spans="2:11" ht="18" customHeight="1" x14ac:dyDescent="0.2">
      <c r="B53" s="1242" t="s">
        <v>205</v>
      </c>
      <c r="C53" s="3078">
        <f>IF(SUM(C54:C58)=0,"NO",SUM(C54:C58))</f>
        <v>4129.2111359325199</v>
      </c>
      <c r="D53" s="3078" t="s">
        <v>1814</v>
      </c>
      <c r="E53" s="628"/>
      <c r="F53" s="628"/>
      <c r="G53" s="628"/>
      <c r="H53" s="3078">
        <f>IF(SUM(H54:H57)=0,"NO",SUM(H54:H57))</f>
        <v>275.49675692056337</v>
      </c>
      <c r="I53" s="3078">
        <f>IF(SUM(I54:I58)=0,"NO",SUM(I54:I58))</f>
        <v>0.74180874775216932</v>
      </c>
      <c r="J53" s="3078">
        <f>IF(SUM(J54:J58)=0,"NO",SUM(J54:J58))</f>
        <v>1.6531136026837233E-3</v>
      </c>
      <c r="K53" s="2921"/>
    </row>
    <row r="54" spans="2:11" ht="18" customHeight="1" x14ac:dyDescent="0.2">
      <c r="B54" s="282" t="s">
        <v>132</v>
      </c>
      <c r="C54" s="691">
        <v>4082.7139480323831</v>
      </c>
      <c r="D54" s="3078" t="s">
        <v>1814</v>
      </c>
      <c r="E54" s="1913">
        <f t="shared" ref="E54:E58" si="19">IFERROR(H54*1000/$C54,"NA")</f>
        <v>67.478829138479284</v>
      </c>
      <c r="F54" s="1913">
        <f t="shared" ref="F54:G58" si="20">IFERROR(I54*1000000/$C54,"NA")</f>
        <v>177.59504323283758</v>
      </c>
      <c r="G54" s="1913">
        <f t="shared" si="20"/>
        <v>0.394655651628528</v>
      </c>
      <c r="H54" s="691">
        <v>275.49675692056337</v>
      </c>
      <c r="I54" s="691">
        <v>0.72506976010812008</v>
      </c>
      <c r="J54" s="691">
        <v>1.6112661335736004E-3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v>46.497187900136694</v>
      </c>
      <c r="D58" s="3078" t="s">
        <v>1814</v>
      </c>
      <c r="E58" s="1913">
        <f t="shared" si="19"/>
        <v>67.259999999999991</v>
      </c>
      <c r="F58" s="1913">
        <f t="shared" si="20"/>
        <v>359.99999999999983</v>
      </c>
      <c r="G58" s="1913">
        <f t="shared" si="20"/>
        <v>0.89999999999999947</v>
      </c>
      <c r="H58" s="691">
        <v>3.1274008581631931</v>
      </c>
      <c r="I58" s="691">
        <v>1.67389876440492E-2</v>
      </c>
      <c r="J58" s="691">
        <v>4.1847469110123001E-5</v>
      </c>
      <c r="K58" s="2921"/>
    </row>
    <row r="59" spans="2:11" ht="18" customHeight="1" x14ac:dyDescent="0.2">
      <c r="B59" s="1245" t="s">
        <v>206</v>
      </c>
      <c r="C59" s="3078">
        <f>IF(SUM(C60:C65)=0,"NO",SUM(C60:C65))</f>
        <v>89833.600000000006</v>
      </c>
      <c r="D59" s="3078" t="s">
        <v>1814</v>
      </c>
      <c r="E59" s="628"/>
      <c r="F59" s="628"/>
      <c r="G59" s="628"/>
      <c r="H59" s="1913">
        <f>IF(SUM(H60:H64)=0,"NO",SUM(H60:H64))</f>
        <v>6234.9418592083994</v>
      </c>
      <c r="I59" s="1913">
        <f>IF(SUM(I60:I65)=0,"NO",SUM(I60:I65))</f>
        <v>0.60169047099567108</v>
      </c>
      <c r="J59" s="1913">
        <f>IF(SUM(J60:J65)=0,"NO",SUM(J60:J65))</f>
        <v>0.32082119480519478</v>
      </c>
      <c r="K59" s="3085" t="str">
        <f>IF(SUM(K60:K65)=0,"NO",SUM(K60:K65))</f>
        <v>NO</v>
      </c>
    </row>
    <row r="60" spans="2:11" ht="18" customHeight="1" x14ac:dyDescent="0.2">
      <c r="B60" s="282" t="s">
        <v>132</v>
      </c>
      <c r="C60" s="1913">
        <f>IF(SUM(C67,C74:C77,C84:C87)=0,"NO",SUM(C67,C74:C77,C84:C87))</f>
        <v>89260.6</v>
      </c>
      <c r="D60" s="3078" t="s">
        <v>1814</v>
      </c>
      <c r="E60" s="1913">
        <f t="shared" ref="E60:E65" si="21">IFERROR(H60*1000/$C60,"NA")</f>
        <v>69.520962552346731</v>
      </c>
      <c r="F60" s="1913">
        <f t="shared" ref="F60:G65" si="22">IFERROR(I60*1000000/$C60,"NA")</f>
        <v>6.7349935123084768</v>
      </c>
      <c r="G60" s="1913">
        <f t="shared" si="22"/>
        <v>3.5883725374273268</v>
      </c>
      <c r="H60" s="1913">
        <f>IF(SUM(H67,H74:H77,H84:H87)=0,"NO",SUM(H67,H74:H77,H84:H87))</f>
        <v>6205.4828300000008</v>
      </c>
      <c r="I60" s="1913">
        <f>IF(SUM(I67,I74:I77,I84:I87)=0,"NO",SUM(I67,I74:I77,I84:I87))</f>
        <v>0.60116956190476201</v>
      </c>
      <c r="J60" s="1913">
        <f>IF(SUM(J67,J74:J77,J84:J87)=0,"NO",SUM(J67,J74:J77,J84:J87))</f>
        <v>0.3203002857142857</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f>IF(SUM(C69,C79,C89)=0,"NO",SUM(C69,C79,C89))</f>
        <v>573.00000000000011</v>
      </c>
      <c r="D62" s="3078" t="s">
        <v>1814</v>
      </c>
      <c r="E62" s="1913">
        <f t="shared" si="21"/>
        <v>51.411918339265</v>
      </c>
      <c r="F62" s="1913">
        <f t="shared" si="22"/>
        <v>0.90909090909090884</v>
      </c>
      <c r="G62" s="1913">
        <f t="shared" si="22"/>
        <v>0.90909090909090884</v>
      </c>
      <c r="H62" s="1913">
        <f>IF(SUM(H69,H79,H89)=0,"NO",SUM(H69,H79,H89))</f>
        <v>29.459029208398849</v>
      </c>
      <c r="I62" s="1913">
        <f>IF(SUM(I69,I79,I89)=0,"NO",SUM(I69,I79,I89))</f>
        <v>5.2090909090909087E-4</v>
      </c>
      <c r="J62" s="1913">
        <f>IF(SUM(J69,J79,J89)=0,"NO",SUM(J69,J79,J89))</f>
        <v>5.2090909090909087E-4</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89833.600000000006</v>
      </c>
      <c r="D66" s="3078" t="s">
        <v>1814</v>
      </c>
      <c r="E66" s="2108"/>
      <c r="F66" s="2108"/>
      <c r="G66" s="2108"/>
      <c r="H66" s="1913">
        <f>IF(SUM(H67:H71)=0,"NO",SUM(H67:H71))</f>
        <v>6234.9418592083994</v>
      </c>
      <c r="I66" s="1913">
        <f>IF(SUM(I67:I72)=0,"NO",SUM(I67:I72))</f>
        <v>0.60169047099567108</v>
      </c>
      <c r="J66" s="1913">
        <f>IF(SUM(J67:J72)=0,"NO",SUM(J67:J72))</f>
        <v>0.32082119480519478</v>
      </c>
      <c r="K66" s="3085" t="str">
        <f>IF(SUM(K67:K72)=0,"NO",SUM(K67:K72))</f>
        <v>NO</v>
      </c>
    </row>
    <row r="67" spans="2:11" ht="18" customHeight="1" x14ac:dyDescent="0.2">
      <c r="B67" s="282" t="s">
        <v>132</v>
      </c>
      <c r="C67" s="691">
        <v>89260.6</v>
      </c>
      <c r="D67" s="3078" t="s">
        <v>1814</v>
      </c>
      <c r="E67" s="1913">
        <f t="shared" ref="E67:E72" si="23">IFERROR(H67*1000/$C67,"NA")</f>
        <v>69.520962552346731</v>
      </c>
      <c r="F67" s="1913">
        <f t="shared" ref="F67:G72" si="24">IFERROR(I67*1000000/$C67,"NA")</f>
        <v>6.7349935123084768</v>
      </c>
      <c r="G67" s="1913">
        <f t="shared" si="24"/>
        <v>3.5883725374273268</v>
      </c>
      <c r="H67" s="691">
        <v>6205.4828300000008</v>
      </c>
      <c r="I67" s="691">
        <v>0.60116956190476201</v>
      </c>
      <c r="J67" s="691">
        <v>0.3203002857142857</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v>573.00000000000011</v>
      </c>
      <c r="D69" s="3078" t="s">
        <v>1814</v>
      </c>
      <c r="E69" s="1913">
        <f t="shared" si="23"/>
        <v>51.411918339265</v>
      </c>
      <c r="F69" s="1913">
        <f t="shared" si="24"/>
        <v>0.90909090909090884</v>
      </c>
      <c r="G69" s="1913">
        <f t="shared" si="24"/>
        <v>0.90909090909090884</v>
      </c>
      <c r="H69" s="691">
        <v>29.459029208398849</v>
      </c>
      <c r="I69" s="691">
        <v>5.2090909090909087E-4</v>
      </c>
      <c r="J69" s="691">
        <v>5.2090909090909087E-4</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12400.98076332838</v>
      </c>
      <c r="D93" s="3078" t="s">
        <v>1814</v>
      </c>
      <c r="E93" s="2134"/>
      <c r="F93" s="2134"/>
      <c r="G93" s="2134"/>
      <c r="H93" s="3109">
        <f>IF(SUM(H94:H98)=0,"NO",SUM(H94:H98))</f>
        <v>864.17412252301733</v>
      </c>
      <c r="I93" s="3109">
        <f>IF(SUM(I94:I99)=0,"NO",SUM(I94:I99))</f>
        <v>3.1638174172767992E-2</v>
      </c>
      <c r="J93" s="3113">
        <f>IF(SUM(J94:J99)=0,"NO",SUM(J94:J99))</f>
        <v>2.4425571840387569E-2</v>
      </c>
      <c r="K93" s="449" t="str">
        <f>IF(SUM(K94:K99)=0,"NO",SUM(K94:K99))</f>
        <v>NO</v>
      </c>
    </row>
    <row r="94" spans="2:11" ht="18" customHeight="1" x14ac:dyDescent="0.2">
      <c r="B94" s="282" t="s">
        <v>132</v>
      </c>
      <c r="C94" s="691">
        <f>IF(SUM(C102,C110)=0,"NO",SUM(C102,C110))</f>
        <v>12400.494140927332</v>
      </c>
      <c r="D94" s="1913" t="s">
        <v>1814</v>
      </c>
      <c r="E94" s="1913">
        <f t="shared" ref="E94:E99" si="32">IFERROR(H94*1000/$C94,"NA")</f>
        <v>69.688684394506936</v>
      </c>
      <c r="F94" s="1913">
        <f t="shared" ref="F94:G99" si="33">IFERROR(I94*1000000/$C94,"NA")</f>
        <v>2.5202449397230242</v>
      </c>
      <c r="G94" s="1913">
        <f t="shared" si="33"/>
        <v>1.9696079604258367</v>
      </c>
      <c r="H94" s="691">
        <f t="shared" ref="H94:K97" si="34">IF(SUM(H102,H110)=0,"NO",SUM(H102,H110))</f>
        <v>864.17412252301733</v>
      </c>
      <c r="I94" s="691">
        <f t="shared" si="34"/>
        <v>3.1252282608737122E-2</v>
      </c>
      <c r="J94" s="691">
        <f t="shared" si="34"/>
        <v>2.4424111973184424E-2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f>IF(SUM(C107,C114)=0,"NO",SUM(C107,C114))</f>
        <v>0.48662240104775301</v>
      </c>
      <c r="D99" s="1913" t="s">
        <v>1814</v>
      </c>
      <c r="E99" s="1913">
        <f t="shared" si="32"/>
        <v>67.259999999999948</v>
      </c>
      <c r="F99" s="1913">
        <f t="shared" si="33"/>
        <v>792.99999999999932</v>
      </c>
      <c r="G99" s="1913">
        <f t="shared" si="33"/>
        <v>2.9999999999999973</v>
      </c>
      <c r="H99" s="691">
        <f>IF(SUM(H107,H114)=0,"NO",SUM(H107,H114))</f>
        <v>3.2730222694471844E-2</v>
      </c>
      <c r="I99" s="691">
        <f>IF(SUM(I107,I114)=0,"NO",SUM(I107,I114))</f>
        <v>3.8589156403086782E-4</v>
      </c>
      <c r="J99" s="691">
        <f>IF(SUM(J107,J114)=0,"NO",SUM(J107,J114))</f>
        <v>1.4598672031432578E-6</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12400.98076332838</v>
      </c>
      <c r="D108" s="1913" t="s">
        <v>1814</v>
      </c>
      <c r="E108" s="1931"/>
      <c r="F108" s="1931"/>
      <c r="G108" s="1931"/>
      <c r="H108" s="3078">
        <f>H109</f>
        <v>864.17412252301733</v>
      </c>
      <c r="I108" s="3078">
        <f>I109</f>
        <v>3.1638174172767992E-2</v>
      </c>
      <c r="J108" s="3110">
        <f>J109</f>
        <v>2.4425571840387569E-2</v>
      </c>
      <c r="K108" s="2921"/>
    </row>
    <row r="109" spans="2:11" ht="18" customHeight="1" x14ac:dyDescent="0.2">
      <c r="B109" s="3125" t="s">
        <v>2149</v>
      </c>
      <c r="C109" s="3099">
        <f>IF(SUM(C110:C114)=0,"NO",SUM(C110:C114))</f>
        <v>12400.98076332838</v>
      </c>
      <c r="D109" s="1913" t="s">
        <v>1814</v>
      </c>
      <c r="E109" s="628"/>
      <c r="F109" s="628"/>
      <c r="G109" s="628"/>
      <c r="H109" s="3099">
        <f>IF(SUM(H110:H113)=0,"NO",SUM(H110:H113))</f>
        <v>864.17412252301733</v>
      </c>
      <c r="I109" s="3099">
        <f>IF(SUM(I110:I114)=0,"NO",SUM(I110:I114))</f>
        <v>3.1638174172767992E-2</v>
      </c>
      <c r="J109" s="3099">
        <f>IF(SUM(J110:J114)=0,"NO",SUM(J110:J114))</f>
        <v>2.4425571840387569E-2</v>
      </c>
      <c r="K109" s="2921"/>
    </row>
    <row r="110" spans="2:11" ht="18" customHeight="1" x14ac:dyDescent="0.2">
      <c r="B110" s="282" t="s">
        <v>132</v>
      </c>
      <c r="C110" s="691">
        <v>12400.494140927332</v>
      </c>
      <c r="D110" s="1913" t="s">
        <v>1814</v>
      </c>
      <c r="E110" s="1913">
        <f t="shared" ref="E110:E114" si="37">IFERROR(H110*1000/$C110,"NA")</f>
        <v>69.688684394506936</v>
      </c>
      <c r="F110" s="1913">
        <f t="shared" ref="F110:G114" si="38">IFERROR(I110*1000000/$C110,"NA")</f>
        <v>2.5202449397230242</v>
      </c>
      <c r="G110" s="1913">
        <f t="shared" si="38"/>
        <v>1.9696079604258367</v>
      </c>
      <c r="H110" s="691">
        <v>864.17412252301733</v>
      </c>
      <c r="I110" s="691">
        <v>3.1252282608737122E-2</v>
      </c>
      <c r="J110" s="691">
        <v>2.4424111973184424E-2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0.48662240104775301</v>
      </c>
      <c r="D114" s="2880" t="s">
        <v>1814</v>
      </c>
      <c r="E114" s="2880">
        <f t="shared" si="37"/>
        <v>67.259999999999948</v>
      </c>
      <c r="F114" s="2880">
        <f t="shared" si="38"/>
        <v>792.99999999999932</v>
      </c>
      <c r="G114" s="2880">
        <f t="shared" si="38"/>
        <v>2.9999999999999973</v>
      </c>
      <c r="H114" s="1559">
        <v>3.2730222694471844E-2</v>
      </c>
      <c r="I114" s="1559">
        <v>3.8589156403086782E-4</v>
      </c>
      <c r="J114" s="1559">
        <v>1.4598672031432578E-6</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890523.25200000009</v>
      </c>
      <c r="G11" s="3361">
        <v>1141400</v>
      </c>
      <c r="H11" s="3361">
        <v>645200</v>
      </c>
      <c r="I11" s="3381"/>
      <c r="J11" s="3361">
        <v>-12678.015869999988</v>
      </c>
      <c r="K11" s="3369">
        <f t="shared" ref="K11:K28" si="0">IF((SUM(F11:G11)-SUM(H11:J11))=0,"NO",(SUM(F11:G11)-SUM(H11:J11)))</f>
        <v>1399401.2678700001</v>
      </c>
      <c r="L11" s="2577">
        <f>IF(K11="NO","NA",1)</f>
        <v>1</v>
      </c>
      <c r="M11" s="5" t="s">
        <v>1814</v>
      </c>
      <c r="N11" s="3369">
        <f>K11</f>
        <v>1399401.2678700001</v>
      </c>
      <c r="O11" s="3342">
        <v>18.980716253443529</v>
      </c>
      <c r="P11" s="3369">
        <f>IFERROR(N11*O11/1000,"NA")</f>
        <v>26561.638390149594</v>
      </c>
      <c r="Q11" s="3369" t="str">
        <f>'Table1.A(d)'!G11</f>
        <v>NA</v>
      </c>
      <c r="R11" s="3369">
        <f>IF(SUM(P11,-SUM(Q11))=0,"NO",SUM(P11,-SUM(Q11)))</f>
        <v>26561.638390149594</v>
      </c>
      <c r="S11" s="2577">
        <f>IF(R11="NO","NA",1)</f>
        <v>1</v>
      </c>
      <c r="T11" s="3375">
        <f>IF(R11="NO","NO",R11*S11*44/12)</f>
        <v>97392.674097215175</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124216.79649999998</v>
      </c>
      <c r="G13" s="3361" t="s">
        <v>2146</v>
      </c>
      <c r="H13" s="3361" t="s">
        <v>2146</v>
      </c>
      <c r="I13" s="3381"/>
      <c r="J13" s="3361" t="s">
        <v>2146</v>
      </c>
      <c r="K13" s="3369">
        <f t="shared" si="0"/>
        <v>124216.79649999998</v>
      </c>
      <c r="L13" s="2577">
        <f t="shared" si="1"/>
        <v>1</v>
      </c>
      <c r="M13" s="5" t="s">
        <v>1814</v>
      </c>
      <c r="N13" s="3369">
        <f t="shared" si="2"/>
        <v>124216.79649999998</v>
      </c>
      <c r="O13" s="3342">
        <v>16.223803471589001</v>
      </c>
      <c r="P13" s="3369">
        <f t="shared" si="3"/>
        <v>2015.268894286364</v>
      </c>
      <c r="Q13" s="3369" t="str">
        <f>'Table1.A(d)'!G13</f>
        <v>NA</v>
      </c>
      <c r="R13" s="3369">
        <f>IF(SUM(P13,-SUM(Q13))=0,"NO",SUM(P13,-SUM(Q13)))</f>
        <v>2015.268894286364</v>
      </c>
      <c r="S13" s="2577">
        <f t="shared" si="4"/>
        <v>1</v>
      </c>
      <c r="T13" s="3375">
        <f t="shared" si="5"/>
        <v>7389.3192790500007</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121690.88438999999</v>
      </c>
      <c r="H15" s="3361">
        <v>6800</v>
      </c>
      <c r="I15" s="3361" t="s">
        <v>2146</v>
      </c>
      <c r="J15" s="3361">
        <v>-558.86668000000111</v>
      </c>
      <c r="K15" s="3369">
        <f t="shared" si="0"/>
        <v>115449.75107</v>
      </c>
      <c r="L15" s="2577">
        <f>IF(K15="NO","NA",1)</f>
        <v>1</v>
      </c>
      <c r="M15" s="5" t="s">
        <v>1814</v>
      </c>
      <c r="N15" s="3369">
        <f t="shared" si="2"/>
        <v>115449.75107</v>
      </c>
      <c r="O15" s="3342">
        <v>18.382236568675651</v>
      </c>
      <c r="P15" s="3369">
        <f t="shared" si="3"/>
        <v>2122.2246359634551</v>
      </c>
      <c r="Q15" s="3369" t="str">
        <f>'Table1.A(d)'!G15</f>
        <v>NA</v>
      </c>
      <c r="R15" s="3369">
        <f>IF(SUM(P15,-SUM(Q15))=0,"NO",SUM(P15,-SUM(Q15)))</f>
        <v>2122.2246359634551</v>
      </c>
      <c r="S15" s="2577">
        <f>IF(R15="NO","NA",1)</f>
        <v>1</v>
      </c>
      <c r="T15" s="3375">
        <f>IF(R15="NO","NO",R15*S15*44/12)</f>
        <v>7781.4903318660026</v>
      </c>
    </row>
    <row r="16" spans="2:20" ht="18" customHeight="1" x14ac:dyDescent="0.2">
      <c r="B16" s="1727"/>
      <c r="C16" s="1567"/>
      <c r="D16" s="36" t="s">
        <v>178</v>
      </c>
      <c r="E16" s="2575" t="s">
        <v>2150</v>
      </c>
      <c r="F16" s="3382"/>
      <c r="G16" s="3361">
        <v>82900</v>
      </c>
      <c r="H16" s="3361">
        <v>100</v>
      </c>
      <c r="I16" s="3361">
        <v>150460</v>
      </c>
      <c r="J16" s="3361">
        <v>-393.93600000000038</v>
      </c>
      <c r="K16" s="3369">
        <f t="shared" si="0"/>
        <v>-67266.064000000013</v>
      </c>
      <c r="L16" s="2577">
        <f t="shared" ref="L16:L28" si="6">IF(K16="NO","NA",1)</f>
        <v>1</v>
      </c>
      <c r="M16" s="5" t="s">
        <v>1814</v>
      </c>
      <c r="N16" s="3369">
        <f t="shared" si="2"/>
        <v>-67266.064000000013</v>
      </c>
      <c r="O16" s="3342">
        <v>18.981818181818181</v>
      </c>
      <c r="P16" s="3369">
        <f t="shared" si="3"/>
        <v>-1276.8321966545457</v>
      </c>
      <c r="Q16" s="3369" t="str">
        <f>'Table1.A(d)'!G16</f>
        <v>NA</v>
      </c>
      <c r="R16" s="3369">
        <f t="shared" ref="R16:R44" si="7">IF(SUM(P16,-SUM(Q16))=0,"NO",SUM(P16,-SUM(Q16)))</f>
        <v>-1276.8321966545457</v>
      </c>
      <c r="S16" s="2577">
        <f t="shared" ref="S16:S28" si="8">IF(R16="NO","NA",1)</f>
        <v>1</v>
      </c>
      <c r="T16" s="3375">
        <f t="shared" ref="T16:T28" si="9">IF(R16="NO","NO",R16*S16*44/12)</f>
        <v>-4681.7180544000012</v>
      </c>
    </row>
    <row r="17" spans="2:20" ht="18" customHeight="1" x14ac:dyDescent="0.2">
      <c r="B17" s="1727"/>
      <c r="C17" s="1567"/>
      <c r="D17" s="36" t="s">
        <v>247</v>
      </c>
      <c r="E17" s="2575" t="s">
        <v>2150</v>
      </c>
      <c r="F17" s="3381"/>
      <c r="G17" s="3361">
        <v>24.56999999999999</v>
      </c>
      <c r="H17" s="3361" t="s">
        <v>2146</v>
      </c>
      <c r="I17" s="3361" t="s">
        <v>2146</v>
      </c>
      <c r="J17" s="3361">
        <v>48.355350000000008</v>
      </c>
      <c r="K17" s="3369">
        <f t="shared" si="0"/>
        <v>-23.785350000000019</v>
      </c>
      <c r="L17" s="2577">
        <f t="shared" si="6"/>
        <v>1</v>
      </c>
      <c r="M17" s="5" t="s">
        <v>1814</v>
      </c>
      <c r="N17" s="3369">
        <f t="shared" si="2"/>
        <v>-23.785350000000019</v>
      </c>
      <c r="O17" s="3342">
        <v>18.790909090909089</v>
      </c>
      <c r="P17" s="3369">
        <f t="shared" si="3"/>
        <v>-0.44694834954545487</v>
      </c>
      <c r="Q17" s="3369" t="str">
        <f>'Table1.A(d)'!G17</f>
        <v>NA</v>
      </c>
      <c r="R17" s="3369">
        <f t="shared" si="7"/>
        <v>-0.44694834954545487</v>
      </c>
      <c r="S17" s="2577">
        <f t="shared" si="8"/>
        <v>1</v>
      </c>
      <c r="T17" s="3375">
        <f t="shared" si="9"/>
        <v>-1.6388106150000012</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433300</v>
      </c>
      <c r="H19" s="3361">
        <v>5000</v>
      </c>
      <c r="I19" s="3361">
        <v>1665</v>
      </c>
      <c r="J19" s="3361">
        <v>3544.5290400000008</v>
      </c>
      <c r="K19" s="3369">
        <f t="shared" si="0"/>
        <v>423090.47096000001</v>
      </c>
      <c r="L19" s="2577">
        <f t="shared" si="6"/>
        <v>1</v>
      </c>
      <c r="M19" s="5" t="s">
        <v>1814</v>
      </c>
      <c r="N19" s="3369">
        <f t="shared" si="2"/>
        <v>423090.47096000001</v>
      </c>
      <c r="O19" s="3342">
        <v>19.06363636363637</v>
      </c>
      <c r="P19" s="3369">
        <f t="shared" si="3"/>
        <v>8065.6428873010937</v>
      </c>
      <c r="Q19" s="3369" t="str">
        <f>'Table1.A(d)'!G19</f>
        <v>NA</v>
      </c>
      <c r="R19" s="3369">
        <f t="shared" si="7"/>
        <v>8065.6428873010937</v>
      </c>
      <c r="S19" s="2577">
        <f t="shared" si="8"/>
        <v>1</v>
      </c>
      <c r="T19" s="3375">
        <f t="shared" si="9"/>
        <v>29574.023920104009</v>
      </c>
    </row>
    <row r="20" spans="2:20" ht="18" customHeight="1" x14ac:dyDescent="0.2">
      <c r="B20" s="1727"/>
      <c r="C20" s="1567"/>
      <c r="D20" s="36" t="s">
        <v>190</v>
      </c>
      <c r="E20" s="2575" t="s">
        <v>2150</v>
      </c>
      <c r="F20" s="3381"/>
      <c r="G20" s="3361">
        <v>64400.000000000007</v>
      </c>
      <c r="H20" s="3361">
        <v>19300</v>
      </c>
      <c r="I20" s="3361">
        <v>31659.999999999996</v>
      </c>
      <c r="J20" s="3361">
        <v>-767.9751</v>
      </c>
      <c r="K20" s="3369">
        <f t="shared" si="0"/>
        <v>14207.975100000011</v>
      </c>
      <c r="L20" s="2577">
        <f t="shared" si="6"/>
        <v>1</v>
      </c>
      <c r="M20" s="5" t="s">
        <v>1814</v>
      </c>
      <c r="N20" s="3369">
        <f t="shared" si="2"/>
        <v>14207.975100000011</v>
      </c>
      <c r="O20" s="3342">
        <v>20.072727272727271</v>
      </c>
      <c r="P20" s="3369">
        <f t="shared" si="3"/>
        <v>285.19280928000018</v>
      </c>
      <c r="Q20" s="3369" t="str">
        <f>'Table1.A(d)'!G20</f>
        <v>NA</v>
      </c>
      <c r="R20" s="3369">
        <f t="shared" si="7"/>
        <v>285.19280928000018</v>
      </c>
      <c r="S20" s="2577">
        <f t="shared" si="8"/>
        <v>1</v>
      </c>
      <c r="T20" s="3375">
        <f t="shared" si="9"/>
        <v>1045.7069673600006</v>
      </c>
    </row>
    <row r="21" spans="2:20" ht="18" customHeight="1" x14ac:dyDescent="0.2">
      <c r="B21" s="1727"/>
      <c r="C21" s="1567"/>
      <c r="D21" s="36" t="s">
        <v>169</v>
      </c>
      <c r="E21" s="2575" t="s">
        <v>2150</v>
      </c>
      <c r="F21" s="3381"/>
      <c r="G21" s="3361">
        <v>27600</v>
      </c>
      <c r="H21" s="3361">
        <v>57100</v>
      </c>
      <c r="I21" s="3381"/>
      <c r="J21" s="3361">
        <v>2327.5990400000005</v>
      </c>
      <c r="K21" s="3369">
        <f t="shared" si="0"/>
        <v>-31827.599040000001</v>
      </c>
      <c r="L21" s="2577">
        <f t="shared" si="6"/>
        <v>1</v>
      </c>
      <c r="M21" s="5" t="s">
        <v>1814</v>
      </c>
      <c r="N21" s="3369">
        <f t="shared" si="2"/>
        <v>-31827.599040000001</v>
      </c>
      <c r="O21" s="3342">
        <v>16.418181818181822</v>
      </c>
      <c r="P21" s="3369">
        <f t="shared" si="3"/>
        <v>-522.55130787490918</v>
      </c>
      <c r="Q21" s="3369" t="str">
        <f>'Table1.A(d)'!G21</f>
        <v>NA</v>
      </c>
      <c r="R21" s="3369">
        <f t="shared" si="7"/>
        <v>-522.55130787490918</v>
      </c>
      <c r="S21" s="2577">
        <f t="shared" si="8"/>
        <v>1</v>
      </c>
      <c r="T21" s="3375">
        <f t="shared" si="9"/>
        <v>-1916.0214622080002</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15.40909090909091</v>
      </c>
      <c r="P22" s="3369" t="str">
        <f t="shared" si="3"/>
        <v>NA</v>
      </c>
      <c r="Q22" s="3369">
        <f>'Table1.A(d)'!G22</f>
        <v>331.33007877272735</v>
      </c>
      <c r="R22" s="3369">
        <f t="shared" si="7"/>
        <v>-331.33007877272735</v>
      </c>
      <c r="S22" s="2577">
        <f t="shared" si="8"/>
        <v>1</v>
      </c>
      <c r="T22" s="3375">
        <f t="shared" si="9"/>
        <v>-1214.8769555000001</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22800</v>
      </c>
      <c r="H24" s="3361">
        <v>66.97296</v>
      </c>
      <c r="I24" s="3381"/>
      <c r="J24" s="3361">
        <v>1774.0825199999999</v>
      </c>
      <c r="K24" s="3369">
        <f t="shared" si="0"/>
        <v>20958.944520000001</v>
      </c>
      <c r="L24" s="2577">
        <f t="shared" si="6"/>
        <v>1</v>
      </c>
      <c r="M24" s="5" t="s">
        <v>1814</v>
      </c>
      <c r="N24" s="3369">
        <f t="shared" si="2"/>
        <v>20958.944520000001</v>
      </c>
      <c r="O24" s="3342">
        <v>22.009090909090911</v>
      </c>
      <c r="P24" s="3369">
        <f t="shared" si="3"/>
        <v>461.28731529927279</v>
      </c>
      <c r="Q24" s="3369">
        <f>'Table1.A(d)'!G24</f>
        <v>708.69272727272732</v>
      </c>
      <c r="R24" s="3369">
        <f t="shared" si="7"/>
        <v>-247.40541197345453</v>
      </c>
      <c r="S24" s="2577">
        <f t="shared" si="8"/>
        <v>1</v>
      </c>
      <c r="T24" s="3375">
        <f t="shared" si="9"/>
        <v>-907.15317723599992</v>
      </c>
    </row>
    <row r="25" spans="2:20" ht="18" customHeight="1" x14ac:dyDescent="0.2">
      <c r="B25" s="1727"/>
      <c r="C25" s="1567"/>
      <c r="D25" s="36" t="s">
        <v>252</v>
      </c>
      <c r="E25" s="2575" t="s">
        <v>2150</v>
      </c>
      <c r="F25" s="3381"/>
      <c r="G25" s="3361">
        <v>20500</v>
      </c>
      <c r="H25" s="3361">
        <v>11200</v>
      </c>
      <c r="I25" s="3361" t="s">
        <v>2146</v>
      </c>
      <c r="J25" s="3361">
        <v>-1115.8834399999998</v>
      </c>
      <c r="K25" s="3369">
        <f t="shared" si="0"/>
        <v>10415.88344</v>
      </c>
      <c r="L25" s="2577">
        <f t="shared" si="6"/>
        <v>1</v>
      </c>
      <c r="M25" s="5" t="s">
        <v>1814</v>
      </c>
      <c r="N25" s="3369">
        <f t="shared" si="2"/>
        <v>10415.88344</v>
      </c>
      <c r="O25" s="3342">
        <v>18.991363636363641</v>
      </c>
      <c r="P25" s="3369">
        <f t="shared" si="3"/>
        <v>197.81183000301823</v>
      </c>
      <c r="Q25" s="3369">
        <f>'Table1.A(d)'!G25</f>
        <v>258.28254545454547</v>
      </c>
      <c r="R25" s="3369">
        <f t="shared" si="7"/>
        <v>-60.470715451527241</v>
      </c>
      <c r="S25" s="2577">
        <f t="shared" si="8"/>
        <v>1</v>
      </c>
      <c r="T25" s="3375">
        <f t="shared" si="9"/>
        <v>-221.7259566555999</v>
      </c>
    </row>
    <row r="26" spans="2:20" ht="18" customHeight="1" x14ac:dyDescent="0.2">
      <c r="B26" s="1727"/>
      <c r="C26" s="1567"/>
      <c r="D26" s="36" t="s">
        <v>253</v>
      </c>
      <c r="E26" s="2575" t="s">
        <v>2150</v>
      </c>
      <c r="F26" s="3381"/>
      <c r="G26" s="3361">
        <v>28679.712402387668</v>
      </c>
      <c r="H26" s="3361" t="s">
        <v>2146</v>
      </c>
      <c r="I26" s="3381"/>
      <c r="J26" s="3361" t="s">
        <v>2146</v>
      </c>
      <c r="K26" s="3369">
        <f t="shared" si="0"/>
        <v>28679.712402387668</v>
      </c>
      <c r="L26" s="2577">
        <f t="shared" si="6"/>
        <v>1</v>
      </c>
      <c r="M26" s="5" t="s">
        <v>1814</v>
      </c>
      <c r="N26" s="3369">
        <f t="shared" si="2"/>
        <v>28679.712402387668</v>
      </c>
      <c r="O26" s="3342">
        <v>25.26136363636364</v>
      </c>
      <c r="P26" s="3369">
        <f t="shared" si="3"/>
        <v>724.48864398304318</v>
      </c>
      <c r="Q26" s="3369">
        <f>'Table1.A(d)'!G26</f>
        <v>724.48864398304318</v>
      </c>
      <c r="R26" s="3369" t="str">
        <f t="shared" si="7"/>
        <v>NO</v>
      </c>
      <c r="S26" s="2577" t="str">
        <f t="shared" si="8"/>
        <v>NA</v>
      </c>
      <c r="T26" s="3375" t="str">
        <f t="shared" si="9"/>
        <v>NO</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47400</v>
      </c>
      <c r="H28" s="3361">
        <v>1600</v>
      </c>
      <c r="I28" s="3381"/>
      <c r="J28" s="3361">
        <v>4690.9341399999976</v>
      </c>
      <c r="K28" s="3369">
        <f t="shared" si="0"/>
        <v>41109.065860000002</v>
      </c>
      <c r="L28" s="2577">
        <f t="shared" si="6"/>
        <v>1</v>
      </c>
      <c r="M28" s="5" t="s">
        <v>1814</v>
      </c>
      <c r="N28" s="3369">
        <f t="shared" si="2"/>
        <v>41109.065860000002</v>
      </c>
      <c r="O28" s="3342">
        <v>19.036361677817549</v>
      </c>
      <c r="P28" s="3369">
        <f t="shared" si="3"/>
        <v>782.56704594818177</v>
      </c>
      <c r="Q28" s="3369">
        <f>'Table1.A(d)'!G28</f>
        <v>398.32787721818181</v>
      </c>
      <c r="R28" s="3369">
        <f t="shared" si="7"/>
        <v>384.23916872999996</v>
      </c>
      <c r="S28" s="2577">
        <f t="shared" si="8"/>
        <v>1</v>
      </c>
      <c r="T28" s="3375">
        <f t="shared" si="9"/>
        <v>1408.8769520099997</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2078412.4193323876</v>
      </c>
      <c r="O31" s="3364"/>
      <c r="P31" s="3371">
        <f>SUM(P11:P29)</f>
        <v>39416.291999335037</v>
      </c>
      <c r="Q31" s="3371">
        <f>SUM(Q11:Q29)</f>
        <v>2421.1218727012251</v>
      </c>
      <c r="R31" s="3369">
        <f t="shared" si="7"/>
        <v>36995.170126633813</v>
      </c>
      <c r="S31" s="2578"/>
      <c r="T31" s="3377">
        <f>SUM(T11:T29)</f>
        <v>135648.9571309906</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t="s">
        <v>2147</v>
      </c>
      <c r="P34" s="3369" t="str">
        <f t="shared" si="13"/>
        <v>NA</v>
      </c>
      <c r="Q34" s="3369" t="str">
        <f>'Table1.A(d)'!G34</f>
        <v>NA</v>
      </c>
      <c r="R34" s="3369" t="str">
        <f t="shared" si="7"/>
        <v>NO</v>
      </c>
      <c r="S34" s="2577" t="str">
        <f t="shared" si="14"/>
        <v>NA</v>
      </c>
      <c r="T34" s="3375" t="str">
        <f t="shared" si="15"/>
        <v>NO</v>
      </c>
    </row>
    <row r="35" spans="2:20" ht="18" customHeight="1" x14ac:dyDescent="0.2">
      <c r="B35" s="1727"/>
      <c r="C35" s="1567"/>
      <c r="D35" s="31" t="s">
        <v>261</v>
      </c>
      <c r="E35" s="2575" t="s">
        <v>2150</v>
      </c>
      <c r="F35" s="3361">
        <v>9883644.2646736018</v>
      </c>
      <c r="G35" s="3361" t="s">
        <v>2146</v>
      </c>
      <c r="H35" s="3361">
        <v>8496730</v>
      </c>
      <c r="I35" s="3361" t="s">
        <v>2146</v>
      </c>
      <c r="J35" s="3361">
        <v>41581.5</v>
      </c>
      <c r="K35" s="3369">
        <f t="shared" si="10"/>
        <v>1345332.7646736018</v>
      </c>
      <c r="L35" s="2577">
        <f t="shared" si="11"/>
        <v>1</v>
      </c>
      <c r="M35" s="55" t="s">
        <v>1814</v>
      </c>
      <c r="N35" s="3369">
        <f t="shared" si="12"/>
        <v>1345332.7646736018</v>
      </c>
      <c r="O35" s="3342">
        <v>24.40200859879868</v>
      </c>
      <c r="P35" s="3369">
        <f t="shared" si="13"/>
        <v>32828.821691810837</v>
      </c>
      <c r="Q35" s="3369">
        <f>'Table1.A(d)'!G35</f>
        <v>495.81044710363642</v>
      </c>
      <c r="R35" s="3369">
        <f t="shared" si="7"/>
        <v>32333.011244707202</v>
      </c>
      <c r="S35" s="2577">
        <f t="shared" si="14"/>
        <v>1</v>
      </c>
      <c r="T35" s="3375">
        <f t="shared" si="15"/>
        <v>118554.37456392641</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746610.03694580006</v>
      </c>
      <c r="G37" s="3361" t="s">
        <v>2146</v>
      </c>
      <c r="H37" s="3361" t="s">
        <v>2146</v>
      </c>
      <c r="I37" s="3381"/>
      <c r="J37" s="3361">
        <v>7313.9000000000005</v>
      </c>
      <c r="K37" s="3369">
        <f t="shared" si="10"/>
        <v>739296.13694580004</v>
      </c>
      <c r="L37" s="2577">
        <f t="shared" si="11"/>
        <v>1</v>
      </c>
      <c r="M37" s="55" t="s">
        <v>1814</v>
      </c>
      <c r="N37" s="3369">
        <f t="shared" si="12"/>
        <v>739296.13694580004</v>
      </c>
      <c r="O37" s="3342">
        <v>25.439209302968461</v>
      </c>
      <c r="P37" s="3369">
        <f t="shared" si="13"/>
        <v>18807.109164640242</v>
      </c>
      <c r="Q37" s="3369">
        <f>'Table1.A(d)'!G37</f>
        <v>1.5465680454545501</v>
      </c>
      <c r="R37" s="3369">
        <f t="shared" si="7"/>
        <v>18805.562596594787</v>
      </c>
      <c r="S37" s="2577">
        <f t="shared" si="14"/>
        <v>1</v>
      </c>
      <c r="T37" s="3375">
        <f t="shared" si="15"/>
        <v>68953.729520847555</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t="s">
        <v>2146</v>
      </c>
      <c r="I40" s="3381"/>
      <c r="J40" s="3361" t="s">
        <v>2146</v>
      </c>
      <c r="K40" s="3369" t="str">
        <f t="shared" ref="K40:K42" si="16">IF((SUM(F40:G40)-SUM(H40:J40))=0,"NO",(SUM(F40:G40)-SUM(H40:J40)))</f>
        <v>NO</v>
      </c>
      <c r="L40" s="2577" t="str">
        <f t="shared" ref="L40:L42" si="17">IF(K40="NO","NA",1)</f>
        <v>NA</v>
      </c>
      <c r="M40" s="55" t="s">
        <v>1814</v>
      </c>
      <c r="N40" s="3369" t="str">
        <f t="shared" ref="N40:N42" si="18">K40</f>
        <v>NO</v>
      </c>
      <c r="O40" s="3342" t="s">
        <v>2147</v>
      </c>
      <c r="P40" s="3369" t="str">
        <f t="shared" ref="P40:P42" si="19">IFERROR(N40*O40/1000,"NA")</f>
        <v>NA</v>
      </c>
      <c r="Q40" s="3369" t="str">
        <f>'Table1.A(d)'!G40</f>
        <v>NA</v>
      </c>
      <c r="R40" s="3369" t="str">
        <f t="shared" si="7"/>
        <v>NO</v>
      </c>
      <c r="S40" s="2577" t="str">
        <f t="shared" ref="S40:S42" si="20">IF(R40="NO","NA",1)</f>
        <v>NA</v>
      </c>
      <c r="T40" s="3375" t="str">
        <f t="shared" ref="T40:T42" si="21">IF(R40="NO","NO",R40*S40*44/12)</f>
        <v>NO</v>
      </c>
    </row>
    <row r="41" spans="2:20" ht="18" customHeight="1" x14ac:dyDescent="0.2">
      <c r="B41" s="1727"/>
      <c r="C41" s="1567"/>
      <c r="D41" s="31" t="s">
        <v>266</v>
      </c>
      <c r="E41" s="2575" t="s">
        <v>2150</v>
      </c>
      <c r="F41" s="3381"/>
      <c r="G41" s="3361">
        <v>1130</v>
      </c>
      <c r="H41" s="3361">
        <v>16300</v>
      </c>
      <c r="I41" s="3381"/>
      <c r="J41" s="3361">
        <v>28.7</v>
      </c>
      <c r="K41" s="3369">
        <f t="shared" si="16"/>
        <v>-15198.7</v>
      </c>
      <c r="L41" s="2577">
        <f t="shared" si="17"/>
        <v>1</v>
      </c>
      <c r="M41" s="55" t="s">
        <v>1814</v>
      </c>
      <c r="N41" s="3369">
        <f t="shared" si="18"/>
        <v>-15198.7</v>
      </c>
      <c r="O41" s="3342">
        <v>29.206287134517279</v>
      </c>
      <c r="P41" s="3369">
        <f t="shared" si="19"/>
        <v>-443.89759627138778</v>
      </c>
      <c r="Q41" s="3369">
        <f>'Table1.A(d)'!G41</f>
        <v>1561.0505538816219</v>
      </c>
      <c r="R41" s="3369">
        <f t="shared" si="7"/>
        <v>-2004.9481501530097</v>
      </c>
      <c r="S41" s="2577">
        <f t="shared" si="20"/>
        <v>1</v>
      </c>
      <c r="T41" s="3375">
        <f t="shared" si="21"/>
        <v>-7351.4765505610349</v>
      </c>
    </row>
    <row r="42" spans="2:20" ht="18" customHeight="1" x14ac:dyDescent="0.2">
      <c r="B42" s="1727"/>
      <c r="C42" s="1568"/>
      <c r="D42" s="31" t="s">
        <v>267</v>
      </c>
      <c r="E42" s="2575" t="s">
        <v>2150</v>
      </c>
      <c r="F42" s="3381"/>
      <c r="G42" s="3361" t="s">
        <v>2146</v>
      </c>
      <c r="H42" s="3361" t="s">
        <v>2146</v>
      </c>
      <c r="I42" s="3381"/>
      <c r="J42" s="3361">
        <v>1365.2</v>
      </c>
      <c r="K42" s="3369">
        <f t="shared" si="16"/>
        <v>-1365.2</v>
      </c>
      <c r="L42" s="2577">
        <f t="shared" si="17"/>
        <v>1</v>
      </c>
      <c r="M42" s="55" t="s">
        <v>1814</v>
      </c>
      <c r="N42" s="3369">
        <f t="shared" si="18"/>
        <v>-1365.2</v>
      </c>
      <c r="O42" s="3342">
        <v>22.309090909090909</v>
      </c>
      <c r="P42" s="3369">
        <f t="shared" si="19"/>
        <v>-30.456370909090911</v>
      </c>
      <c r="Q42" s="3369">
        <f>'Table1.A(d)'!G42</f>
        <v>218.97478786771208</v>
      </c>
      <c r="R42" s="3369">
        <f t="shared" si="7"/>
        <v>-249.43115877680299</v>
      </c>
      <c r="S42" s="2577">
        <f t="shared" si="20"/>
        <v>1</v>
      </c>
      <c r="T42" s="3375">
        <f t="shared" si="21"/>
        <v>-914.58091551494419</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2068065.0016194019</v>
      </c>
      <c r="O45" s="3364"/>
      <c r="P45" s="3371">
        <f>SUM(P33:P43)</f>
        <v>51161.576889270596</v>
      </c>
      <c r="Q45" s="3371">
        <f>SUM(Q33:Q43)</f>
        <v>2277.3823568984249</v>
      </c>
      <c r="R45" s="3371">
        <f>SUM(R33:R43)</f>
        <v>48884.194532372174</v>
      </c>
      <c r="S45" s="41"/>
      <c r="T45" s="3377">
        <f>SUM(T33:T43)</f>
        <v>179242.04661869802</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2103264.3769999999</v>
      </c>
      <c r="G47" s="3361">
        <v>217900</v>
      </c>
      <c r="H47" s="3361">
        <v>1026300</v>
      </c>
      <c r="I47" s="3361" t="s">
        <v>2146</v>
      </c>
      <c r="J47" s="3361">
        <v>-32415.7</v>
      </c>
      <c r="K47" s="3369">
        <f t="shared" ref="K47" si="22">IF((SUM(F47:G47)-SUM(H47:J47))=0,"NO",(SUM(F47:G47)-SUM(H47:J47)))</f>
        <v>1327280.0769999998</v>
      </c>
      <c r="L47" s="2577">
        <f t="shared" ref="L47" si="23">IF(K47="NO","NA",1)</f>
        <v>1</v>
      </c>
      <c r="M47" s="55" t="s">
        <v>1814</v>
      </c>
      <c r="N47" s="3369">
        <f t="shared" ref="N47" si="24">K47</f>
        <v>1327280.0769999998</v>
      </c>
      <c r="O47" s="3342">
        <v>13.98867567159048</v>
      </c>
      <c r="P47" s="3369">
        <f t="shared" ref="P47" si="25">IFERROR(N47*O47/1000,"NA")</f>
        <v>18566.890522516638</v>
      </c>
      <c r="Q47" s="3369">
        <f>'Table1.A(d)'!G47</f>
        <v>620.94069866978271</v>
      </c>
      <c r="R47" s="3369">
        <f t="shared" ref="R47" si="26">IF(SUM(P47,-SUM(Q47))=0,"NO",SUM(P47,-SUM(Q47)))</f>
        <v>17945.949823846855</v>
      </c>
      <c r="S47" s="2577">
        <f t="shared" ref="S47" si="27">IF(R47="NO","NA",1)</f>
        <v>1</v>
      </c>
      <c r="T47" s="3375">
        <f t="shared" ref="T47" si="28">IF(R47="NO","NO",R47*S47*44/12)</f>
        <v>65801.816020771803</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1327280.0769999998</v>
      </c>
      <c r="O50" s="3366"/>
      <c r="P50" s="3371">
        <f>SUM(P47:P48)</f>
        <v>18566.890522516638</v>
      </c>
      <c r="Q50" s="3371">
        <f>SUM(Q47:Q48)</f>
        <v>620.94069866978271</v>
      </c>
      <c r="R50" s="3371">
        <f>SUM(R47:R48)</f>
        <v>17945.949823846855</v>
      </c>
      <c r="S50" s="2354"/>
      <c r="T50" s="3377">
        <f>SUM(T47:T48)</f>
        <v>65801.816020771803</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2153</v>
      </c>
      <c r="G52" s="3390" t="s">
        <v>2153</v>
      </c>
      <c r="H52" s="3390" t="s">
        <v>2153</v>
      </c>
      <c r="I52" s="3361" t="s">
        <v>2146</v>
      </c>
      <c r="J52" s="3390">
        <v>-551.23</v>
      </c>
      <c r="K52" s="3369">
        <f t="shared" ref="K52:K53" si="29">IF((SUM(F52:G52)-SUM(H52:J52))=0,"NO",(SUM(F52:G52)-SUM(H52:J52)))</f>
        <v>551.23</v>
      </c>
      <c r="L52" s="2577">
        <f t="shared" ref="L52:L53" si="30">IF(K52="NO","NA",1)</f>
        <v>1</v>
      </c>
      <c r="M52" s="55" t="s">
        <v>1814</v>
      </c>
      <c r="N52" s="3369">
        <f t="shared" ref="N52:N53" si="31">K52</f>
        <v>551.23</v>
      </c>
      <c r="O52" s="3342">
        <v>0.70151432731428731</v>
      </c>
      <c r="P52" s="3369">
        <f t="shared" ref="P52:P53" si="32">IFERROR(N52*O52/1000,"NA")</f>
        <v>0.38669574264545464</v>
      </c>
      <c r="Q52" s="3374" t="str">
        <f>'Table1.A(d)'!G52</f>
        <v>NA</v>
      </c>
      <c r="R52" s="3369">
        <f t="shared" ref="R52:R53" si="33">IF(SUM(P52,-SUM(Q52))=0,"NO",SUM(P52,-SUM(Q52)))</f>
        <v>0.38669574264545464</v>
      </c>
      <c r="S52" s="2577">
        <f t="shared" ref="S52:S53" si="34">IF(R52="NO","NA",1)</f>
        <v>1</v>
      </c>
      <c r="T52" s="3375">
        <f t="shared" ref="T52:T53" si="35">IF(R52="NO","NO",R52*S52*44/12)</f>
        <v>1.4178843897000004</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551.23</v>
      </c>
      <c r="O54" s="3367"/>
      <c r="P54" s="3373">
        <f>SUM(P51:P53)</f>
        <v>0.38669574264545464</v>
      </c>
      <c r="Q54" s="3373">
        <f>SUM(Q51:Q53)</f>
        <v>0</v>
      </c>
      <c r="R54" s="3373">
        <f>SUM(R51:R53)</f>
        <v>0.38669574264545464</v>
      </c>
      <c r="S54" s="2374"/>
      <c r="T54" s="3379">
        <f>SUM(T51:T53)</f>
        <v>1.4178843897000004</v>
      </c>
    </row>
    <row r="55" spans="2:20" ht="18" customHeight="1" thickBot="1" x14ac:dyDescent="0.25">
      <c r="B55" s="2370" t="s">
        <v>278</v>
      </c>
      <c r="C55" s="2371"/>
      <c r="D55" s="2371"/>
      <c r="E55" s="100"/>
      <c r="F55" s="3391"/>
      <c r="G55" s="3391"/>
      <c r="H55" s="3391"/>
      <c r="I55" s="3391"/>
      <c r="J55" s="3391"/>
      <c r="K55" s="3392"/>
      <c r="L55" s="2372"/>
      <c r="M55" s="2373"/>
      <c r="N55" s="3373">
        <f>SUM(N31,N45,N50,N54)</f>
        <v>5474308.7279517893</v>
      </c>
      <c r="O55" s="3367"/>
      <c r="P55" s="3373">
        <f>SUM(P31,P45,P50,P54)</f>
        <v>109145.14610686492</v>
      </c>
      <c r="Q55" s="3373">
        <f>SUM(Q31,Q45,Q50,Q54)</f>
        <v>5319.4449282694331</v>
      </c>
      <c r="R55" s="3373">
        <f>SUM(R31,R45,R50,R54)</f>
        <v>103825.70117859548</v>
      </c>
      <c r="S55" s="2374"/>
      <c r="T55" s="3379">
        <f>SUM(T31,T45,T50,T54)</f>
        <v>380694.23765485012</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2078.4124193323878</v>
      </c>
      <c r="D10" s="4136">
        <f>C10-'Table1.A(d)'!E31/1000</f>
        <v>1950.4242713629426</v>
      </c>
      <c r="E10" s="4135">
        <f>'Table1.A(b)'!T31</f>
        <v>135648.9571309906</v>
      </c>
      <c r="F10" s="4135">
        <f>'Table1.A(a)s1'!C11/1000</f>
        <v>1907.363252172376</v>
      </c>
      <c r="G10" s="4135">
        <f>'Table1.A(a)s1'!H11</f>
        <v>130218.11157202959</v>
      </c>
      <c r="H10" s="4135">
        <f>100*((D10-F10)/F10)</f>
        <v>2.2576202588323246</v>
      </c>
      <c r="I10" s="4137">
        <f>100*((E10-G10)/G10)</f>
        <v>4.1705761920506426</v>
      </c>
      <c r="L10"/>
    </row>
    <row r="11" spans="2:12" ht="18" customHeight="1" x14ac:dyDescent="0.2">
      <c r="B11" s="50" t="s">
        <v>299</v>
      </c>
      <c r="C11" s="4135">
        <f>'Table1.A(b)'!N45/1000</f>
        <v>2068.0650016194018</v>
      </c>
      <c r="D11" s="4135">
        <f>C11-'Table1.A(d)'!E45/1000</f>
        <v>1948.8944363213175</v>
      </c>
      <c r="E11" s="4135">
        <f>'Table1.A(b)'!T45</f>
        <v>179242.04661869802</v>
      </c>
      <c r="F11" s="4135">
        <f>'Table1.A(a)s1'!C12/1000</f>
        <v>1988.4400409535067</v>
      </c>
      <c r="G11" s="4135">
        <f>'Table1.A(a)s1'!H12</f>
        <v>179824.34194858858</v>
      </c>
      <c r="H11" s="4135">
        <f t="shared" ref="H11:H13" si="0">100*((D11-F11)/F11)</f>
        <v>-1.9887753121902594</v>
      </c>
      <c r="I11" s="4137">
        <f t="shared" ref="I11:I13" si="1">100*((E11-G11)/G11)</f>
        <v>-0.32381340789615692</v>
      </c>
      <c r="L11"/>
    </row>
    <row r="12" spans="2:12" ht="18" customHeight="1" x14ac:dyDescent="0.2">
      <c r="B12" s="50" t="s">
        <v>300</v>
      </c>
      <c r="C12" s="4135">
        <f>'Table1.A(b)'!N50/1000</f>
        <v>1327.2800769999999</v>
      </c>
      <c r="D12" s="4135">
        <f>C12-'Table1.A(d)'!E50/1000</f>
        <v>1278.1753639369999</v>
      </c>
      <c r="E12" s="4135">
        <f>'Table1.A(b)'!T50</f>
        <v>65801.816020771803</v>
      </c>
      <c r="F12" s="4135">
        <f>'Table1.A(a)s1'!C13/1000</f>
        <v>1258.9163313838872</v>
      </c>
      <c r="G12" s="4135">
        <f>'Table1.A(a)s1'!H13</f>
        <v>64491.892505657939</v>
      </c>
      <c r="H12" s="4135">
        <f t="shared" si="0"/>
        <v>1.5298103672975569</v>
      </c>
      <c r="I12" s="4137">
        <f t="shared" si="1"/>
        <v>2.0311444806786261</v>
      </c>
      <c r="L12"/>
    </row>
    <row r="13" spans="2:12" ht="18" customHeight="1" x14ac:dyDescent="0.2">
      <c r="B13" s="50" t="s">
        <v>275</v>
      </c>
      <c r="C13" s="4135">
        <f>'Table1.A(b)'!N54/1000</f>
        <v>0.55123</v>
      </c>
      <c r="D13" s="4135">
        <f>C13-SUM('Table1.A(d)'!E54)/1000</f>
        <v>0.55123</v>
      </c>
      <c r="E13" s="4135">
        <f>'Table1.A(b)'!T54</f>
        <v>1.4178843897000004</v>
      </c>
      <c r="F13" s="4135">
        <f>'Table1.A(a)s1'!C14/1000</f>
        <v>3.086186385901613</v>
      </c>
      <c r="G13" s="4135">
        <f>'Table1.A(a)s1'!H14</f>
        <v>229.31455397628829</v>
      </c>
      <c r="H13" s="4135">
        <f t="shared" si="0"/>
        <v>-82.138797497191305</v>
      </c>
      <c r="I13" s="4137">
        <f t="shared" si="1"/>
        <v>-99.381685826253047</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5474.3087279517886</v>
      </c>
      <c r="D15" s="4138">
        <f>SUM(D10:D14)</f>
        <v>5178.0453016212605</v>
      </c>
      <c r="E15" s="4138">
        <f>SUM(E10:E14)</f>
        <v>380694.23765485012</v>
      </c>
      <c r="F15" s="4138">
        <f>SUM(F10:F14)</f>
        <v>5157.8058108956711</v>
      </c>
      <c r="G15" s="4138">
        <f>SUM(G10:G14)</f>
        <v>374763.66058025236</v>
      </c>
      <c r="H15" s="4139">
        <f t="shared" ref="H15" si="2">100*((D15-F15)/F15)</f>
        <v>0.39240505493313038</v>
      </c>
      <c r="I15" s="4140">
        <f t="shared" ref="I15" si="3">100*((E15-G15)/G15)</f>
        <v>1.5824845625147754</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D7F9BB66-26BC-4FB5-8B4E-F270C2DFD009}">
  <ds:schemaRefs>
    <ds:schemaRef ds:uri="http://schemas.microsoft.com/PowerBIAddIn"/>
  </ds:schemaRefs>
</ds:datastoreItem>
</file>

<file path=customXml/itemProps3.xml><?xml version="1.0" encoding="utf-8"?>
<ds:datastoreItem xmlns:ds="http://schemas.openxmlformats.org/officeDocument/2006/customXml" ds:itemID="{8CFB9632-6857-4DC1-9474-031D28923B82}"/>
</file>

<file path=customXml/itemProps4.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5.xml><?xml version="1.0" encoding="utf-8"?>
<ds:datastoreItem xmlns:ds="http://schemas.openxmlformats.org/officeDocument/2006/customXml" ds:itemID="{32A9FEB2-8205-4368-A3A5-444D049B327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2023-04-13T05:51:56Z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