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D4F53378-79DE-4AEB-AFD2-CA9A7854C28D}" xr6:coauthVersionLast="47" xr6:coauthVersionMax="47" xr10:uidLastSave="{00000000-0000-0000-0000-000000000000}"/>
  <bookViews>
    <workbookView xWindow="1950" yWindow="1950" windowWidth="8370" windowHeight="631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<sst xmlns="http://schemas.openxmlformats.org/spreadsheetml/2006/main" count="19150" uniqueCount="2523">
  <si>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</si>
  <si>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</si>
  <si>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</si>
  <si>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</si>
  <si>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</si>
  <si>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</si>
  <si>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</si>
  <si>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</si>
  <si>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</si>
  <si>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</si>
  <si>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</si>
  <si>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</si>
  <si>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</si>
  <si>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</si>
  <si>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</si>
  <si>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</si>
  <si>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</si>
  <si>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</si>
  <si>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</si>
  <si>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</si>
  <si>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</si>
  <si>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</si>
  <si>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</si>
  <si>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</si>
  <si>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</si>
  <si>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</si>
  <si>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</si>
  <si>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</si>
  <si>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</si>
  <si>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</si>
  <si>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</si>
  <si>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</si>
  <si>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</si>
  <si>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</si>
  <si>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</si>
  <si>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</si>
  <si>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</si>
  <si>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</si>
  <si>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</si>
  <si>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</si>
  <si>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</si>
  <si>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</si>
  <si>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</si>
  <si>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</si>
  <si>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</si>
  <si>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</si>
  <si>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</si>
  <si>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</si>
  <si>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</si>
  <si>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</si>
  <si>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</si>
  <si>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</si>
  <si>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</si>
  <si>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</si>
  <si>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</si>
  <si>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</si>
  <si>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</si>
  <si>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</si>
  <si>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</si>
  <si>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</si>
  <si>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</si>
  <si>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</si>
  <si>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</si>
  <si>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</si>
  <si>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</si>
  <si>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</si>
  <si>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</si>
  <si>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</si>
  <si>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</si>
  <si>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</si>
  <si>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</si>
  <si>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</si>
  <si>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</si>
  <si>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</si>
  <si>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</si>
  <si>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</si>
  <si>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</si>
  <si>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</si>
  <si>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</si>
  <si>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</si>
  <si>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</si>
  <si>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</si>
  <si>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</si>
  <si>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</si>
  <si>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</si>
  <si>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</si>
  <si>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</si>
  <si>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</si>
  <si>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</si>
  <si>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</si>
  <si>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</si>
  <si>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</si>
  <si>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</si>
  <si>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</si>
  <si>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</si>
  <si>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</si>
  <si>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</si>
  <si>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</si>
  <si>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</si>
  <si>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</si>
  <si>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</si>
  <si>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</si>
  <si>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</si>
  <si>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</si>
  <si>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</si>
  <si>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</si>
  <si>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</si>
  <si>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</si>
  <si>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</si>
  <si>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</si>
  <si>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</si>
  <si>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</si>
  <si>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</si>
  <si>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</si>
  <si>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</si>
  <si>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</si>
  <si>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</si>
  <si>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</si>
  <si>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</si>
  <si>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</si>
  <si>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</si>
  <si>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</si>
  <si>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</si>
  <si>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</si>
  <si>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</si>
  <si>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</si>
  <si>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</si>
  <si>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</si>
  <si>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</si>
  <si>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</si>
  <si>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</si>
  <si>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</si>
  <si>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</si>
  <si>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</si>
  <si>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</si>
  <si>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</si>
  <si>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</si>
  <si>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</si>
  <si>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</si>
  <si>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</si>
  <si>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</si>
  <si>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</si>
  <si>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</si>
  <si>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</si>
  <si>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</si>
  <si>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</si>
  <si>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</si>
  <si>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</si>
  <si>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</si>
  <si>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</si>
  <si>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</si>
  <si>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</si>
  <si>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</si>
  <si>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</si>
  <si>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</si>
  <si>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</si>
  <si>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</si>
  <si>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</si>
  <si>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</si>
  <si>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</si>
  <si>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</si>
  <si>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</si>
  <si>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</si>
  <si>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</si>
  <si>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</si>
  <si>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</si>
  <si>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</si>
  <si>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</si>
  <si>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</si>
  <si>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</si>
  <si>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</si>
  <si>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</si>
  <si>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</si>
  <si>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</si>
  <si>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</si>
  <si>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</si>
  <si>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</si>
  <si>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</si>
  <si>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</si>
  <si>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</si>
  <si>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</si>
  <si>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</si>
  <si>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</si>
  <si>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</si>
  <si>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</si>
  <si>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</si>
  <si>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</si>
  <si>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</si>
  <si>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</si>
  <si>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</si>
  <si>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</si>
  <si>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</si>
  <si>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</si>
  <si>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</si>
  <si>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</si>
  <si>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</si>
  <si>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</si>
  <si>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</si>
  <si>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</si>
  <si>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</si>
  <si>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</si>
  <si>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</si>
  <si>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</si>
  <si>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</si>
  <si>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</si>
  <si>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</si>
  <si>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</si>
  <si>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</si>
  <si>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</si>
  <si>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</si>
  <si>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</si>
  <si>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</si>
  <si>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</si>
  <si>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</si>
  <si>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</si>
  <si>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</si>
  <si>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</si>
  <si>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</si>
  <si>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</si>
  <si>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</si>
  <si>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</si>
  <si>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</si>
  <si>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</si>
  <si>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</si>
  <si>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</si>
  <si>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</si>
  <si>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</si>
  <si>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</si>
  <si>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</si>
  <si>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</si>
  <si>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</si>
  <si>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</si>
  <si>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</si>
  <si>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</si>
  <si>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</si>
  <si>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</si>
  <si>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</si>
  <si>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</si>
  <si>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</si>
  <si>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</si>
  <si>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</si>
  <si>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</si>
  <si>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</si>
  <si>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</si>
  <si>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</si>
  <si>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</si>
  <si>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</si>
  <si>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</si>
  <si>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</si>
  <si>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</si>
  <si>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</si>
  <si>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</si>
  <si>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</si>
  <si>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</si>
  <si>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</si>
  <si>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</si>
  <si>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</si>
  <si>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</si>
  <si>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</si>
  <si>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</si>
  <si>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</si>
  <si>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</si>
  <si>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</si>
  <si>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</si>
  <si>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</si>
  <si>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</si>
  <si>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</si>
  <si>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</si>
  <si>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</si>
  <si>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</si>
  <si>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</si>
  <si>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</si>
  <si>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</si>
  <si>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</si>
  <si>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</si>
  <si>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</si>
  <si>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</si>
  <si>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</si>
  <si>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</si>
  <si>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</si>
  <si>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</si>
  <si>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</si>
  <si>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</si>
  <si>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</si>
  <si>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</si>
  <si>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</si>
  <si>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</si>
  <si>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</si>
  <si>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</si>
  <si>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</si>
  <si>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</si>
  <si>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</si>
  <si>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</si>
  <si>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</si>
  <si>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</si>
  <si>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</si>
  <si>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</si>
  <si>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</si>
  <si>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</si>
  <si>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</si>
  <si>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</si>
  <si>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</si>
  <si>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</si>
  <si>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</si>
  <si>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</si>
  <si>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</si>
  <si>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</si>
  <si>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</si>
  <si>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</si>
  <si>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</si>
  <si>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</si>
  <si>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</si>
  <si>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</si>
  <si>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</si>
  <si>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</si>
  <si>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</si>
  <si>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</si>
  <si>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</si>
  <si>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</si>
  <si>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</si>
  <si>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</si>
  <si>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</si>
  <si>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</si>
  <si>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</si>
  <si>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</si>
  <si>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</si>
  <si>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</si>
  <si>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</si>
  <si>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</si>
  <si>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</si>
  <si>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</si>
  <si>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</si>
  <si>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</si>
  <si>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</si>
  <si>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</si>
  <si>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</si>
  <si>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</si>
  <si>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</si>
  <si>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</si>
  <si>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</si>
  <si>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</si>
  <si>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</si>
  <si>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</si>
  <si>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</si>
  <si>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</si>
  <si>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</si>
  <si>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</si>
  <si>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</si>
  <si>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</si>
  <si>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</si>
  <si>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</si>
  <si>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</si>
  <si>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</si>
  <si>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</si>
  <si>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</si>
  <si>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</si>
  <si>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</si>
  <si>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</si>
  <si>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</si>
  <si>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</si>
  <si>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</si>
  <si>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</si>
  <si>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</si>
  <si>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</si>
  <si>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</si>
  <si>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</si>
  <si>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</si>
  <si>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</si>
  <si>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</si>
  <si>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</si>
  <si>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</si>
  <si>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</si>
  <si>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</si>
  <si>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</si>
  <si>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</si>
  <si>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</si>
  <si>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</si>
  <si>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</si>
  <si>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</si>
  <si>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</si>
  <si>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</si>
  <si>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</si>
  <si>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</si>
  <si>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</si>
  <si>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</si>
  <si>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</si>
  <si>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</si>
  <si>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</si>
  <si>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</si>
  <si>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</si>
  <si>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</si>
  <si>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</si>
  <si>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</si>
  <si>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</si>
  <si>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</si>
  <si>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</si>
  <si>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</si>
  <si>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</si>
  <si>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</si>
  <si>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</si>
  <si>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</si>
  <si>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</si>
  <si>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</si>
  <si>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</si>
  <si>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</si>
  <si>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</si>
  <si>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</si>
  <si>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</si>
  <si>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</si>
  <si>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</si>
  <si>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</si>
  <si>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</si>
  <si>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</si>
  <si>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</si>
  <si>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</si>
  <si>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</si>
  <si>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</si>
  <si>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</si>
  <si>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</si>
  <si>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</si>
  <si>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</si>
  <si>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</si>
  <si>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</si>
  <si>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</si>
  <si>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</si>
  <si>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</si>
  <si>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</si>
  <si>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</si>
  <si>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</si>
  <si>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</si>
  <si>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</si>
  <si>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</si>
  <si>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</si>
  <si>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</si>
  <si>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</si>
  <si>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</si>
  <si>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</si>
  <si>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</si>
  <si>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</si>
  <si>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</si>
  <si>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</si>
  <si>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</si>
  <si>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</si>
  <si>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</si>
  <si>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</si>
  <si>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</si>
  <si>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</si>
  <si>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</si>
  <si>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</si>
  <si>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</si>
  <si>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</si>
  <si>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</si>
  <si>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</si>
  <si>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</si>
  <si>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</si>
  <si>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</si>
  <si>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</si>
  <si>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</si>
  <si>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</si>
  <si>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</si>
  <si>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</si>
  <si>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</si>
  <si>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</si>
  <si>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</si>
  <si>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</si>
  <si>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</si>
  <si>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</si>
  <si>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</si>
  <si>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</si>
  <si>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</si>
  <si>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</si>
  <si>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</si>
  <si>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</si>
  <si>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</si>
  <si>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</si>
  <si>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</si>
  <si>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</si>
  <si>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</si>
  <si>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</si>
  <si>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</si>
  <si>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</si>
  <si>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</si>
  <si>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</si>
  <si>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</si>
  <si>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</si>
  <si>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</si>
  <si>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</si>
  <si>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</si>
  <si>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</si>
  <si>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</si>
  <si>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</si>
  <si>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</si>
  <si>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</si>
  <si>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</si>
  <si>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</si>
  <si>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</si>
  <si>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</si>
  <si>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</si>
  <si>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</si>
  <si>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</si>
  <si>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</si>
  <si>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</si>
  <si>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</si>
  <si>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</si>
  <si>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</si>
  <si>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</si>
  <si>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</si>
  <si>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</si>
  <si>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</si>
  <si>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</si>
  <si>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</si>
  <si>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</si>
  <si>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</si>
  <si>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</si>
  <si>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</si>
  <si>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</si>
  <si>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</si>
  <si>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</si>
  <si>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</si>
  <si>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</si>
  <si>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</si>
  <si>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</si>
  <si>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</si>
  <si>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</si>
  <si>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</si>
  <si>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</si>
  <si>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</si>
  <si>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</si>
  <si>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</si>
  <si>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</si>
  <si>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</si>
  <si>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</si>
  <si>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</si>
  <si>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</si>
  <si>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</si>
  <si>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</si>
  <si>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</si>
  <si>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</si>
  <si>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</si>
  <si>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</si>
  <si>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</si>
  <si>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</si>
  <si>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</si>
  <si>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</si>
  <si>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</si>
  <si>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</si>
  <si>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</si>
  <si>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</si>
  <si>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</si>
  <si>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</si>
  <si>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</si>
  <si>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</si>
  <si>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</si>
  <si>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</si>
  <si>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</si>
  <si>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</si>
  <si>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</si>
  <si>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</si>
  <si>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</si>
  <si>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</si>
  <si>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</si>
  <si>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</si>
  <si>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</si>
  <si>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</si>
  <si>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</si>
  <si>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</si>
  <si>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</si>
  <si>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</si>
  <si>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</si>
  <si>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</si>
  <si>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</si>
  <si>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</si>
  <si>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</si>
  <si>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</si>
  <si>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</si>
  <si>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</si>
  <si>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</si>
  <si>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</si>
  <si>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</si>
  <si>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</si>
  <si>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</si>
  <si>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</si>
  <si>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</si>
  <si>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</si>
  <si>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</si>
  <si>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</si>
  <si>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</si>
  <si>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</si>
  <si>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</si>
  <si>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</si>
  <si>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</si>
  <si>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</si>
  <si>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</si>
  <si>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</si>
  <si>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</si>
  <si>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</si>
  <si>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</si>
  <si>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</si>
  <si>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</si>
  <si>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</si>
  <si>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</si>
  <si>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</si>
  <si>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</si>
  <si>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</si>
  <si>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</si>
  <si>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</si>
  <si>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</si>
  <si>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</si>
  <si>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</si>
  <si>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</si>
  <si>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</si>
  <si>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</si>
  <si>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</si>
  <si>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</si>
  <si>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</si>
  <si>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</si>
  <si>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</si>
  <si>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</si>
  <si>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</si>
  <si>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</si>
  <si>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</si>
  <si>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</si>
  <si>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</si>
  <si>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</si>
  <si>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</si>
  <si>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</si>
  <si>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</si>
  <si>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</si>
  <si>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</si>
  <si>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</si>
  <si>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</si>
  <si>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</si>
  <si>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</si>
  <si>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</si>
  <si>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</si>
  <si>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</si>
  <si>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</si>
  <si>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</si>
  <si>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</si>
  <si>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</si>
  <si>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</si>
  <si>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</si>
  <si>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</si>
  <si>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</si>
  <si>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</si>
  <si>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</si>
  <si>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</si>
  <si>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</si>
  <si>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</si>
  <si>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</si>
  <si>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</si>
  <si>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</si>
  <si>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</si>
  <si>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</si>
  <si>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</si>
  <si>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</si>
  <si>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</si>
  <si>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</si>
  <si>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</si>
  <si>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</si>
  <si>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</si>
  <si>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</si>
  <si>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</si>
  <si>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</si>
  <si>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</si>
  <si>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</si>
  <si>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</si>
  <si>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</si>
  <si>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</si>
  <si>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</si>
  <si>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</si>
  <si>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</si>
  <si>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</si>
  <si>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</si>
  <si>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</si>
  <si>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</si>
  <si>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</si>
  <si>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</si>
  <si>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</si>
  <si>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</si>
  <si>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</si>
  <si>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</si>
  <si>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</si>
  <si>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</si>
  <si>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</si>
  <si>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</si>
  <si>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</si>
  <si>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</si>
  <si>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</si>
  <si>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</si>
  <si>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</si>
  <si>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</si>
  <si>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</si>
  <si>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</si>
  <si>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</si>
  <si>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</si>
  <si>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</si>
  <si>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</si>
  <si>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</si>
  <si>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</si>
  <si>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</si>
  <si>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</si>
  <si>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</si>
  <si>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</si>
  <si>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</si>
  <si>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</si>
  <si>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</si>
  <si>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</si>
  <si>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</si>
  <si>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</si>
  <si>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</si>
  <si>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</si>
  <si>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</si>
  <si>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</si>
  <si>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</si>
  <si>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</si>
  <si>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</si>
  <si>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</si>
  <si>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</si>
  <si>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</si>
  <si>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</si>
  <si>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</si>
  <si>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</si>
  <si>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</si>
  <si>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</si>
  <si>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</si>
  <si>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</si>
  <si>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</si>
  <si>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</si>
  <si>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</si>
  <si>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</si>
  <si>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</si>
  <si>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</si>
  <si>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</si>
  <si>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</si>
  <si>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</si>
  <si>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</si>
  <si>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</si>
  <si>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</si>
  <si>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</si>
  <si>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</si>
  <si>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</si>
  <si>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</si>
  <si>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</si>
  <si>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</si>
  <si>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</si>
  <si>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</si>
  <si>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</si>
  <si>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</si>
  <si>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</si>
  <si>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</si>
  <si>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</si>
  <si>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</si>
  <si>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</si>
  <si>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</si>
  <si>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</si>
  <si>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</si>
  <si>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</si>
  <si>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</si>
  <si>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</si>
  <si>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</si>
  <si>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</si>
  <si>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</si>
  <si>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</si>
  <si>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</si>
  <si>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</si>
  <si>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</si>
  <si>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</si>
  <si>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</si>
  <si>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</si>
  <si>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</si>
  <si>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</si>
  <si>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</si>
  <si>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</si>
  <si>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</si>
  <si>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</si>
  <si>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</si>
  <si>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</si>
  <si>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</si>
  <si>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</si>
  <si>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</si>
  <si>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</si>
  <si>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</si>
  <si>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</si>
  <si>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</si>
  <si>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</si>
  <si>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</si>
  <si>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</si>
  <si>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</si>
  <si>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</si>
  <si>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</si>
  <si>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</si>
  <si>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</si>
  <si>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</si>
  <si>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</si>
  <si>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</si>
  <si>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</si>
  <si>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</si>
  <si>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</si>
  <si>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</si>
  <si>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</si>
  <si>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</si>
  <si>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</si>
  <si>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</si>
  <si>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</si>
  <si>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</si>
  <si>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</si>
  <si>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</si>
  <si>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</si>
  <si>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</si>
  <si>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</si>
  <si>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</si>
  <si>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</si>
  <si>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</si>
  <si>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</si>
  <si>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</si>
  <si>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</si>
  <si>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</si>
  <si>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</si>
  <si>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</si>
  <si>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</si>
  <si>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</si>
  <si>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</si>
  <si>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</si>
  <si>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</si>
  <si>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</si>
  <si>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</si>
  <si>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</si>
  <si>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</si>
  <si>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</si>
  <si>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</si>
  <si>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</si>
  <si>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</si>
  <si>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</si>
  <si>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</si>
  <si>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</si>
  <si>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</si>
  <si>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</si>
  <si>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</si>
  <si>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</si>
  <si>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</si>
  <si>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</si>
  <si>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</si>
  <si>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</si>
  <si>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</si>
  <si>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</si>
  <si>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</si>
  <si>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</si>
  <si>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</si>
  <si>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</si>
  <si>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</si>
  <si>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</si>
  <si>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</si>
  <si>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</si>
  <si>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</si>
  <si>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</si>
  <si>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</si>
  <si>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</si>
  <si>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</si>
  <si>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</si>
  <si>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</si>
  <si>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</si>
  <si>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</si>
  <si>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</si>
  <si>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</si>
  <si>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</si>
  <si>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</si>
  <si>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</si>
  <si>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</si>
  <si>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</si>
  <si>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</si>
  <si>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</si>
  <si>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</si>
  <si>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</si>
  <si>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</si>
  <si>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</si>
  <si>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</si>
  <si>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</si>
  <si>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</si>
  <si>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</si>
  <si>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</si>
  <si>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</si>
  <si>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</si>
  <si>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</si>
  <si>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</si>
  <si>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</si>
  <si>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</si>
  <si>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</si>
  <si>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</si>
  <si>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</si>
  <si>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</si>
  <si>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</si>
  <si>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</si>
  <si>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</si>
  <si>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</si>
  <si>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</si>
  <si>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</si>
  <si>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</si>
  <si>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</si>
  <si>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</si>
  <si>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</si>
  <si>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</si>
  <si>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</si>
  <si>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</si>
  <si>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</si>
  <si>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</si>
  <si>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</si>
  <si>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</si>
  <si>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</si>
  <si>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</si>
  <si>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</si>
  <si>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</si>
  <si>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</si>
  <si>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</si>
  <si>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</si>
  <si>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</si>
  <si>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</si>
  <si>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</si>
  <si>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</si>
  <si>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</si>
  <si>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</si>
  <si>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</si>
  <si>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</si>
  <si>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</si>
  <si>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</si>
  <si>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</si>
  <si>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</si>
  <si>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</si>
  <si>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</si>
  <si>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</si>
  <si>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</si>
  <si>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</si>
  <si>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</si>
  <si>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</si>
  <si>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</si>
  <si>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</si>
  <si>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</si>
  <si>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</si>
  <si>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</si>
  <si>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</si>
  <si>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</si>
  <si>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</si>
  <si>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</si>
  <si>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</si>
  <si>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</si>
  <si>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</si>
  <si>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</si>
  <si>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</si>
  <si>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</si>
  <si>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</si>
  <si>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</si>
  <si>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</si>
  <si>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</si>
  <si>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</si>
  <si>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</si>
  <si>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</si>
  <si>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</si>
  <si>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</si>
  <si>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</si>
  <si>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</si>
  <si>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</si>
  <si>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</si>
  <si>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</si>
  <si>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</si>
  <si>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</si>
  <si>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</si>
  <si>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</si>
  <si>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</si>
  <si>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</si>
  <si>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</si>
  <si>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</si>
  <si>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</si>
  <si>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</si>
  <si>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</si>
  <si>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</si>
  <si>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</si>
  <si>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</si>
  <si>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</si>
  <si>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</si>
  <si>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</si>
  <si>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</si>
  <si>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</si>
  <si>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</si>
  <si>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</si>
  <si>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</si>
  <si>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</si>
  <si>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</si>
  <si>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</si>
  <si>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</si>
  <si>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</si>
  <si>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</si>
  <si>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</si>
  <si>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</si>
  <si>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</si>
  <si>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</si>
  <si>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</si>
  <si>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</si>
  <si>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</si>
  <si>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</si>
  <si>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</si>
  <si>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</si>
  <si>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</si>
  <si>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</si>
  <si>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</si>
  <si>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</si>
  <si>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</si>
  <si>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</si>
  <si>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</si>
  <si>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</si>
  <si>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</si>
  <si>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</si>
  <si>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</si>
  <si>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</si>
  <si>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</si>
  <si>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</si>
  <si>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</si>
  <si>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</si>
  <si>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</si>
  <si>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</si>
  <si>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</si>
  <si>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</si>
  <si>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</si>
  <si>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</si>
  <si>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</si>
  <si>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</si>
  <si>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</si>
  <si>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</si>
  <si>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</si>
  <si>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</si>
  <si>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</si>
  <si>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</si>
  <si>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</si>
  <si>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</si>
  <si>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</si>
  <si>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</si>
  <si>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</si>
  <si>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</si>
  <si>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</si>
  <si>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</si>
  <si>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</si>
  <si>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</si>
  <si>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</si>
  <si>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</si>
  <si>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</si>
  <si>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</si>
  <si>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</si>
  <si>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</si>
  <si>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</si>
  <si>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</si>
  <si>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</si>
  <si>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</si>
  <si>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</si>
  <si>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</si>
  <si>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</si>
  <si>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</si>
  <si>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</si>
  <si>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</si>
  <si>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</si>
  <si>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</si>
  <si>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</si>
  <si>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</si>
  <si>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</si>
  <si>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</si>
  <si>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</si>
  <si>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</si>
  <si>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</si>
  <si>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</si>
  <si>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</si>
  <si>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</si>
  <si>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</si>
  <si>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</si>
  <si>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</si>
  <si>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</si>
  <si>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</si>
  <si>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</si>
  <si>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</si>
  <si>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</si>
  <si>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</si>
  <si>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</si>
  <si>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</si>
  <si>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</si>
  <si>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</si>
  <si>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</si>
  <si>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</si>
  <si>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</si>
  <si>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</si>
  <si>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</si>
  <si>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</si>
  <si>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</si>
  <si>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</si>
  <si>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</si>
  <si>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</si>
  <si>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</si>
  <si>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</si>
  <si>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</si>
  <si>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</si>
  <si>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</si>
  <si>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</si>
  <si>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</si>
  <si>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</si>
  <si>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</si>
  <si>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</si>
  <si>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</si>
  <si>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</si>
  <si>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</si>
  <si>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</si>
  <si>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</si>
  <si>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</si>
  <si>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</si>
  <si>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</si>
  <si>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</si>
  <si>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</si>
  <si>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</si>
  <si>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</si>
  <si>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</si>
  <si>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</si>
  <si>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</si>
  <si>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</si>
  <si>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</si>
  <si>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</si>
  <si>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</si>
  <si>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</si>
  <si>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</si>
  <si>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</si>
  <si>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</si>
  <si>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</si>
  <si>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</si>
  <si>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</si>
  <si>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</si>
  <si>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</si>
  <si>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</si>
  <si>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</si>
  <si>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</si>
  <si>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</si>
  <si>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</si>
  <si>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</si>
  <si>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</si>
  <si>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</si>
  <si>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</si>
  <si>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</si>
  <si>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</si>
  <si>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</si>
  <si>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</si>
  <si>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</si>
  <si>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</si>
  <si>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</si>
  <si>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</si>
  <si>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</si>
  <si>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</si>
  <si>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</si>
  <si>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</si>
  <si>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</si>
  <si>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</si>
  <si>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</si>
  <si>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</si>
  <si>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</si>
  <si>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</si>
  <si>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</si>
  <si>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</si>
  <si>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</si>
  <si>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</si>
  <si>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</si>
  <si>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</si>
  <si>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</si>
  <si>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</si>
  <si>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</si>
  <si>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</si>
  <si>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</si>
  <si>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</si>
  <si>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</si>
  <si>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</si>
  <si>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</si>
  <si>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</si>
  <si>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</si>
  <si>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</si>
  <si>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</si>
  <si>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</si>
  <si>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</si>
  <si>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</si>
  <si>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</si>
  <si>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</si>
  <si>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</si>
  <si>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</si>
  <si>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</si>
  <si>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</si>
  <si>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</si>
  <si>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</si>
  <si>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</si>
  <si>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</si>
  <si>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</si>
  <si>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</si>
  <si>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</si>
  <si>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</si>
  <si>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</si>
  <si>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</si>
  <si>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</si>
  <si>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</si>
  <si>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</si>
  <si>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</si>
  <si>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</si>
  <si>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</si>
  <si>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</si>
  <si>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</si>
  <si>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</si>
  <si>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</si>
  <si>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</si>
  <si>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</si>
  <si>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</si>
  <si>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</si>
  <si>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</si>
  <si>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</si>
  <si>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</si>
  <si>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</si>
  <si>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</si>
  <si>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</si>
  <si>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</si>
  <si>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</si>
  <si>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</si>
  <si>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</si>
  <si>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</si>
  <si>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</si>
  <si>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</si>
  <si>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</si>
  <si>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</si>
  <si>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</si>
  <si>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</si>
  <si>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</si>
  <si>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</si>
  <si>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</si>
  <si>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</si>
  <si>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</si>
  <si>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</si>
  <si>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</si>
  <si>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</si>
  <si>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</si>
  <si>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</si>
  <si>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</si>
  <si>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</si>
  <si>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</si>
  <si>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</si>
  <si>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</si>
  <si>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</si>
  <si>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</si>
  <si>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</si>
  <si>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</si>
  <si>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</si>
  <si>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</si>
  <si>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</si>
  <si>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</si>
  <si>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</si>
  <si>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</si>
  <si>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</si>
  <si>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</si>
  <si>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</si>
  <si>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</si>
  <si>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</si>
  <si>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</si>
  <si>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</si>
  <si>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</si>
  <si>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</si>
  <si>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</si>
  <si>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</si>
  <si>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</si>
  <si>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</si>
  <si>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</si>
  <si>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</si>
  <si>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</si>
  <si>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</si>
  <si>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</si>
  <si>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</si>
  <si>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</si>
  <si>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</si>
  <si>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</si>
  <si>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</si>
  <si>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</si>
  <si>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</si>
  <si>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</si>
  <si>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</si>
  <si>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</si>
  <si>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</si>
  <si>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</si>
  <si>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</si>
  <si>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</si>
  <si>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</si>
  <si>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</si>
  <si>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</si>
  <si>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</si>
  <si>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</si>
  <si>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</si>
  <si>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</si>
  <si>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</si>
  <si>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</si>
  <si>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</si>
  <si>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</si>
  <si>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</si>
  <si>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</si>
  <si>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</si>
  <si>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</si>
  <si>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</si>
  <si>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</si>
  <si>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</si>
  <si>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</si>
  <si>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</si>
  <si>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</si>
  <si>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</si>
  <si>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</si>
  <si>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</si>
  <si>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</si>
  <si>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</si>
  <si>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</si>
  <si>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</si>
  <si>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</si>
  <si>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</si>
  <si>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</si>
  <si>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</si>
  <si>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</si>
  <si>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</si>
  <si>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</si>
  <si>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</si>
  <si>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</si>
  <si>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</si>
  <si>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</si>
  <si>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</si>
  <si>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</si>
  <si>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</si>
  <si>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</si>
  <si>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</si>
  <si>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</si>
  <si>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</si>
  <si>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</si>
  <si>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</si>
  <si>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</si>
  <si>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</si>
  <si>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</si>
  <si>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</si>
  <si>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</si>
  <si>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</si>
  <si>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</si>
  <si>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</si>
  <si>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</si>
  <si>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</si>
  <si>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</si>
  <si>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</si>
  <si>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</si>
  <si>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</si>
  <si>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</si>
  <si>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</si>
  <si>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</si>
  <si>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</si>
  <si>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</si>
  <si>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</si>
  <si>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</si>
  <si>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</si>
  <si>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</si>
  <si>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</si>
  <si>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</si>
  <si>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</si>
  <si>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</si>
  <si>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</si>
  <si>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</si>
  <si>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</si>
  <si>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</si>
  <si>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</si>
  <si>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</si>
  <si>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</si>
  <si>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</si>
  <si>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</si>
  <si>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</si>
  <si>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</si>
  <si>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</si>
  <si>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</si>
  <si>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</si>
  <si>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</si>
  <si>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</si>
  <si>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</si>
  <si>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</si>
  <si>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</si>
  <si>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</si>
  <si>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</si>
  <si>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</si>
  <si>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</si>
  <si>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</si>
  <si>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</si>
  <si>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</si>
  <si>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</si>
  <si>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</si>
  <si>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</si>
  <si>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</si>
  <si>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</si>
  <si>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</si>
  <si>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</si>
  <si>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</si>
  <si>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</si>
  <si>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</si>
  <si>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</si>
  <si>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</si>
  <si>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</si>
  <si>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</si>
  <si>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</si>
  <si>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</si>
  <si>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</si>
  <si>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</si>
  <si>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</si>
  <si>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</si>
  <si>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</si>
  <si>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</si>
  <si>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</si>
  <si>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</si>
  <si>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</si>
  <si>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</si>
  <si>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</si>
  <si>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</si>
  <si>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</si>
  <si>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</si>
  <si>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</si>
  <si>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</si>
  <si>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</si>
  <si>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</si>
  <si>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</si>
  <si>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</si>
  <si>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</si>
  <si>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</si>
  <si>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</si>
  <si>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</si>
  <si>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</si>
  <si>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</si>
  <si>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</si>
  <si>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</si>
  <si>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</si>
  <si>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</si>
  <si>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</si>
  <si>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</si>
  <si>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</si>
  <si>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</si>
  <si>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</si>
  <si>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</si>
  <si>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</si>
  <si>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</si>
  <si>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</si>
  <si>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</si>
  <si>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</si>
  <si>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</si>
  <si>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</si>
  <si>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</si>
  <si>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</si>
  <si>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</si>
  <si>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</si>
  <si>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</si>
  <si>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</si>
  <si>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</si>
  <si>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</si>
  <si>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</si>
  <si>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</si>
  <si>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</si>
  <si>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</si>
  <si>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</si>
  <si>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</si>
  <si>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</si>
  <si>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</si>
  <si>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</si>
  <si>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</si>
  <si>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</si>
  <si>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</si>
  <si>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</si>
  <si>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</si>
  <si>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</si>
  <si>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</si>
  <si>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</si>
  <si>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</si>
  <si>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</si>
  <si>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</si>
  <si>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</si>
  <si>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</si>
  <si>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</si>
  <si>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</si>
  <si>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</si>
  <si>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</si>
  <si>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</si>
  <si>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</si>
  <si>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</si>
  <si>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</si>
  <si>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</si>
  <si>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</si>
  <si>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</si>
  <si>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</si>
  <si>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</si>
  <si>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</si>
  <si>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</si>
  <si>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</si>
  <si>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</si>
  <si>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</si>
  <si>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</si>
  <si>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</si>
  <si>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</si>
  <si>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</si>
  <si>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</si>
  <si>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</si>
  <si>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</si>
  <si>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</si>
  <si>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</si>
  <si>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</si>
  <si>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</si>
  <si>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</si>
  <si>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</si>
  <si>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</si>
  <si>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</si>
  <si>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</si>
  <si>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</si>
  <si>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</si>
  <si>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</si>
  <si>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</si>
  <si>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</si>
  <si>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</si>
  <si>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</si>
  <si>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</si>
  <si>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</si>
  <si>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</si>
  <si>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</si>
  <si>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</si>
  <si>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</si>
  <si>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</si>
  <si>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</si>
  <si>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</si>
  <si>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</si>
  <si>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</si>
  <si>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</si>
  <si>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</si>
  <si>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</si>
  <si>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</si>
  <si>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</si>
  <si>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</si>
  <si>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</si>
  <si>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</si>
  <si>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</si>
  <si>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</si>
  <si>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</si>
  <si>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</si>
  <si>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</si>
  <si>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</si>
  <si>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</si>
  <si>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</si>
  <si>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</si>
  <si>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</si>
  <si>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</si>
  <si>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</si>
  <si>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</si>
  <si>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</si>
  <si>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</si>
  <si>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</si>
  <si>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</si>
  <si>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</si>
  <si>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</si>
  <si>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</si>
  <si>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</si>
  <si>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</si>
  <si>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</si>
  <si>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</si>
  <si>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</si>
  <si>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</si>
  <si>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</si>
  <si>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</si>
  <si>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</si>
  <si>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</si>
  <si>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</si>
  <si>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</si>
  <si>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</si>
  <si>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</si>
  <si>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</si>
  <si>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</si>
  <si>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</si>
  <si>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</si>
  <si>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</si>
  <si>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</si>
  <si>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</si>
  <si>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</si>
  <si>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</si>
  <si>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</si>
  <si>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</si>
  <si>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</si>
  <si>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</si>
  <si>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</si>
  <si>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</si>
  <si>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</si>
  <si>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</si>
  <si>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</si>
  <si>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</si>
  <si>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</si>
  <si>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</si>
  <si>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</si>
  <si>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</si>
  <si>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</si>
  <si>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</si>
  <si>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</si>
  <si>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</si>
  <si>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</si>
  <si>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</si>
  <si>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</si>
  <si>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</si>
  <si>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</si>
  <si>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</si>
  <si>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</si>
  <si>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</si>
  <si>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</si>
  <si>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</si>
  <si>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</si>
  <si>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</si>
  <si>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</si>
  <si>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</si>
  <si>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</si>
  <si>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</si>
  <si>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</si>
  <si>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</si>
  <si>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</si>
  <si>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</si>
  <si>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</si>
  <si>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</si>
  <si>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</si>
  <si>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</si>
  <si>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</si>
  <si>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</si>
  <si>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</si>
  <si>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</si>
  <si>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</si>
  <si>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</si>
  <si>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</si>
  <si>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</si>
  <si>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</si>
  <si>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</si>
  <si>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</si>
  <si>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</si>
  <si>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</si>
  <si>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</si>
  <si>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</si>
  <si>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</si>
  <si>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</si>
  <si>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</si>
  <si>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</si>
  <si>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</si>
  <si>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</si>
  <si>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</si>
  <si>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</si>
  <si>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</si>
  <si>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</si>
  <si>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</si>
  <si>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</si>
  <si>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</si>
  <si>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</si>
  <si>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</si>
  <si>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</si>
  <si>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</si>
  <si>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</si>
  <si>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</si>
  <si>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</si>
  <si>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</si>
  <si>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</si>
  <si>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</si>
  <si>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</si>
  <si>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</si>
  <si>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</si>
  <si>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</si>
  <si>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</si>
  <si>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</si>
  <si>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</si>
  <si>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</si>
  <si>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</si>
  <si>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</si>
  <si>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</si>
  <si>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</si>
  <si>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</si>
  <si>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</si>
  <si>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</si>
  <si>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</si>
  <si>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</si>
  <si>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</si>
  <si>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</si>
  <si>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</si>
  <si>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</si>
  <si>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</si>
  <si>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</si>
  <si>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</si>
  <si>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</si>
  <si>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</si>
  <si>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</si>
  <si>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</si>
  <si>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</si>
  <si>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</si>
  <si>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</si>
  <si>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</si>
  <si>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</si>
  <si>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</si>
  <si>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</si>
  <si>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</si>
  <si>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</si>
  <si>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</si>
  <si>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</si>
  <si>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</si>
  <si>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</si>
  <si>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</si>
  <si>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</si>
  <si>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</si>
  <si>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</si>
  <si>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</si>
  <si>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</si>
  <si>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</si>
  <si>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</si>
  <si>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</si>
  <si>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</si>
  <si>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</si>
  <si>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</si>
  <si>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</si>
  <si>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</si>
  <si>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</si>
  <si>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</si>
  <si>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</si>
  <si>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</si>
  <si>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</si>
  <si>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</si>
  <si>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</si>
  <si>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</si>
  <si>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</si>
  <si>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</si>
  <si>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</si>
  <si>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</si>
  <si>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</si>
  <si>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</si>
  <si>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</si>
  <si>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</si>
  <si>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</si>
  <si>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</si>
  <si>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</si>
  <si>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</si>
  <si>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</si>
  <si>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</si>
  <si>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</si>
  <si>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</si>
  <si>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</si>
  <si>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</si>
  <si>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</si>
  <si>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</si>
  <si>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</si>
  <si>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</si>
  <si>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</si>
  <si>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</si>
  <si>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</si>
  <si>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</si>
  <si>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</si>
  <si>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</si>
  <si>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</si>
  <si>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</si>
  <si>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</si>
  <si>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</si>
  <si>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</si>
  <si>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</si>
  <si>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</si>
  <si>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</si>
  <si>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</si>
  <si>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</si>
  <si>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</si>
  <si>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</si>
  <si>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</si>
  <si>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</si>
  <si>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</si>
  <si>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</si>
  <si>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</si>
  <si>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</si>
  <si>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</si>
  <si>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</si>
  <si>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</si>
  <si>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</si>
  <si>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</si>
  <si>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</si>
  <si>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</si>
  <si>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</si>
  <si>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</si>
  <si>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</si>
  <si>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</si>
  <si>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</si>
  <si>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</si>
  <si>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</si>
  <si>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</si>
  <si>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</si>
  <si>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</si>
  <si>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</si>
  <si>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</si>
  <si>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</si>
  <si>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</si>
  <si>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</si>
  <si>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</si>
  <si>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</si>
  <si>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</si>
  <si>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</si>
  <si>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</si>
  <si>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</si>
  <si>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</si>
  <si>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</si>
  <si>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</si>
  <si>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</si>
  <si>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</si>
  <si>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</si>
  <si>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</si>
  <si>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</si>
  <si>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</si>
  <si>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</si>
  <si>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</si>
  <si>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</si>
  <si>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</si>
  <si>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</si>
  <si>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</si>
  <si>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</si>
  <si>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</si>
  <si>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</si>
  <si>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</si>
  <si>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</si>
  <si>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</si>
  <si>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</si>
  <si>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</si>
  <si>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</si>
  <si>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</si>
  <si>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</si>
  <si>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</si>
  <si>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</si>
  <si>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</si>
  <si>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</si>
  <si>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</si>
  <si>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</si>
  <si>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</si>
  <si>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</si>
  <si>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</si>
  <si>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</si>
  <si>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</si>
  <si>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</si>
  <si>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</si>
  <si>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</si>
  <si>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</si>
  <si>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</si>
  <si>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</si>
  <si>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</si>
  <si>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</si>
  <si>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</si>
  <si>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</si>
  <si>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</si>
  <si>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</si>
  <si>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</si>
  <si>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</si>
  <si>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</si>
  <si>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</si>
  <si>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</si>
  <si>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</si>
  <si>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</si>
  <si>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</si>
  <si>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</si>
  <si>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</si>
  <si>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</si>
  <si>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</si>
  <si>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</si>
  <si>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</si>
  <si>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</si>
  <si>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</si>
  <si>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</si>
  <si>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</si>
  <si>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</si>
  <si>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</si>
  <si>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</si>
  <si>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</si>
  <si>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</si>
  <si>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</si>
  <si>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</si>
  <si>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</si>
  <si>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</si>
  <si>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</si>
  <si>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</si>
  <si>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</si>
  <si>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</si>
  <si>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</si>
  <si>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</si>
  <si>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</si>
  <si>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</si>
  <si>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</si>
  <si>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</si>
  <si>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</si>
  <si>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</si>
  <si>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</si>
  <si>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</si>
  <si>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</si>
  <si>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</si>
  <si>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</si>
  <si>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</si>
  <si>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</si>
  <si>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</si>
  <si>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</si>
  <si>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</si>
  <si>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</si>
  <si>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</si>
  <si>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</si>
  <si>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</si>
  <si>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</si>
  <si>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</si>
  <si>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</si>
  <si>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</si>
  <si>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</si>
  <si>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</si>
  <si>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</si>
  <si>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</si>
  <si>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</si>
  <si>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</si>
  <si>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</si>
  <si>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</si>
  <si>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</si>
  <si>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</si>
  <si>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</si>
  <si>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</si>
  <si>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</si>
  <si>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</si>
  <si>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</si>
  <si>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</si>
  <si>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</si>
  <si>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</si>
  <si>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</si>
  <si>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</si>
  <si>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</si>
  <si>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</si>
  <si>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</si>
  <si>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</si>
  <si>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</si>
  <si>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</si>
  <si>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</si>
  <si>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</si>
  <si>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</si>
  <si>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</si>
  <si>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</si>
  <si>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</si>
  <si>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</si>
  <si>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</si>
  <si>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</si>
  <si>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</si>
  <si>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</si>
  <si>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</si>
  <si>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</si>
  <si>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</si>
  <si>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</si>
  <si>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</si>
  <si>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</si>
  <si>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</si>
  <si>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</si>
  <si>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</si>
  <si>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</si>
  <si>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</si>
  <si>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</si>
  <si>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</si>
  <si>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</si>
  <si>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</si>
  <si>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</si>
  <si>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</si>
  <si>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</si>
  <si>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</si>
  <si>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</si>
  <si>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</si>
  <si>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</si>
  <si>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</si>
  <si>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</si>
  <si>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</si>
  <si>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</si>
  <si>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</si>
  <si>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</si>
  <si>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</si>
  <si>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</si>
  <si>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</si>
  <si>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</si>
  <si>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</si>
  <si>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</si>
  <si>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</si>
  <si>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</si>
  <si>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</si>
  <si>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</si>
  <si>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</si>
  <si>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</si>
  <si>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</si>
  <si>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</si>
  <si>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</si>
  <si>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</si>
  <si>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</si>
  <si>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</si>
  <si>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</si>
  <si>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</si>
  <si>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</si>
  <si>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</si>
  <si>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</si>
  <si>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</si>
  <si>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</si>
  <si>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</si>
  <si>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</si>
  <si>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</si>
  <si>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</si>
  <si>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</si>
  <si>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</si>
  <si>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</si>
  <si>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</si>
  <si>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</si>
  <si>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</si>
  <si>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</si>
  <si>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</si>
  <si>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</si>
  <si>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</si>
  <si>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</si>
  <si>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</si>
  <si>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</si>
  <si>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</si>
  <si>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</si>
  <si>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</si>
  <si>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</si>
  <si>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</si>
  <si>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</si>
  <si>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</si>
  <si>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</si>
  <si>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</si>
  <si>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</si>
  <si>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</si>
  <si>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</si>
  <si>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</si>
  <si>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</si>
  <si>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</si>
  <si>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</si>
  <si>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</si>
  <si>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</si>
  <si>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</si>
  <si>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</si>
  <si>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</si>
  <si>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</si>
  <si>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</si>
  <si>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</si>
  <si>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</si>
  <si>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</si>
  <si>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</si>
  <si>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</si>
  <si>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</si>
  <si>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</si>
  <si>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</si>
  <si>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</si>
  <si>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</si>
  <si>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</si>
  <si>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</si>
  <si>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</si>
  <si>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</si>
  <si>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</si>
  <si>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</si>
  <si>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</si>
  <si>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</si>
  <si>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</si>
  <si>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</si>
  <si>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</si>
  <si>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</si>
  <si>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</si>
  <si>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</si>
  <si>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</si>
  <si>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</si>
  <si>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</si>
  <si>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</si>
  <si>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</si>
  <si>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</si>
  <si>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</si>
  <si>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</si>
  <si>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</si>
  <si>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</si>
  <si>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</si>
  <si>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</si>
  <si>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</si>
  <si>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</si>
  <si>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</si>
  <si>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</si>
  <si>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</si>
  <si>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</si>
  <si>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</si>
  <si>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</si>
  <si>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</si>
  <si>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</si>
  <si>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</si>
  <si>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</si>
  <si>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</si>
  <si>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</si>
  <si>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</si>
  <si>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</si>
  <si>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</si>
  <si>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</si>
  <si>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</si>
  <si>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</si>
  <si>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</si>
  <si>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</si>
  <si>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</si>
  <si>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</si>
  <si>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</si>
  <si>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</si>
  <si>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</si>
  <si>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</si>
  <si>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</si>
  <si>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</si>
  <si>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</si>
  <si>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</si>
  <si>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</si>
  <si>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</si>
  <si>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</si>
  <si>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</si>
  <si>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</si>
  <si>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</si>
  <si>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</si>
  <si>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</si>
  <si>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</si>
  <si>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</si>
  <si>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</si>
  <si>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</si>
  <si>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</si>
  <si>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</si>
  <si>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</si>
  <si>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</si>
  <si>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</si>
  <si>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</si>
  <si>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</si>
  <si>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</si>
  <si>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</si>
  <si>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</si>
  <si>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</si>
  <si>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</si>
  <si>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</si>
  <si>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</si>
  <si>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</si>
  <si>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</si>
  <si>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</si>
  <si>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</si>
  <si>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</si>
  <si>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</si>
  <si>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</si>
  <si>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</si>
  <si>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</si>
  <si>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</si>
  <si>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</si>
  <si>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</si>
  <si>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</si>
  <si>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</si>
  <si>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</si>
  <si>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</si>
  <si>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</si>
  <si>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</si>
  <si>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</si>
  <si>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</si>
  <si>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</si>
  <si>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</si>
  <si>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</si>
  <si>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</si>
  <si>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</si>
  <si>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</si>
  <si>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</si>
  <si>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</si>
  <si>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</si>
  <si>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</si>
  <si>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</si>
  <si>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</si>
  <si>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</si>
  <si>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</si>
  <si>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</si>
  <si>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</si>
  <si>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</si>
  <si>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</si>
  <si>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</si>
  <si>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</si>
  <si>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</si>
  <si>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</si>
  <si>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</si>
  <si>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</si>
  <si>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</si>
  <si>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</si>
  <si>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</si>
  <si>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</si>
  <si>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</si>
  <si>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</si>
  <si>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</si>
  <si>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</si>
  <si>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</si>
  <si>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</si>
  <si>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</si>
  <si>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</si>
  <si>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</si>
  <si>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</si>
  <si>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</si>
  <si>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</si>
  <si>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</si>
  <si>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</si>
  <si>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</si>
  <si>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</si>
  <si>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</si>
  <si>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</si>
  <si>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</si>
  <si>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</si>
  <si>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</si>
  <si>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</si>
  <si>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</si>
  <si>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</si>
  <si>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</si>
  <si>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</si>
  <si>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</si>
  <si>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</si>
  <si>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</si>
  <si>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</si>
  <si>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</si>
  <si>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</si>
  <si>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</si>
  <si>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</si>
  <si>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</si>
  <si>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</si>
  <si>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</si>
  <si>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</si>
  <si>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</si>
  <si>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</si>
  <si>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</si>
  <si>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</si>
  <si>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</si>
  <si>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</si>
  <si>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</si>
  <si>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</si>
  <si>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</si>
  <si>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</si>
  <si>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</si>
  <si>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</si>
  <si>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</si>
  <si>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</si>
  <si>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</si>
  <si>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</si>
  <si>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</si>
  <si>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</si>
  <si>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</si>
  <si>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</si>
  <si>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</si>
  <si>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</si>
  <si>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</si>
  <si>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</si>
  <si>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</si>
  <si>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</si>
  <si>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</si>
  <si>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</si>
  <si>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</si>
  <si>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</si>
  <si>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</si>
  <si>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</si>
  <si>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</si>
  <si>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</si>
  <si>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</si>
  <si>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</si>
  <si>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</si>
  <si>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</si>
  <si>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</si>
  <si>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</si>
  <si>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</si>
  <si>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</si>
  <si>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</si>
  <si>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</si>
  <si>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</si>
  <si>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</si>
  <si>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</si>
  <si>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</si>
  <si>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</si>
  <si>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</si>
  <si>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</si>
  <si>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</si>
  <si>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</si>
  <si>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</si>
  <si>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</si>
  <si>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</si>
  <si>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</si>
  <si>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</si>
  <si>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</si>
  <si>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</si>
  <si>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</si>
  <si>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</si>
  <si>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</si>
  <si>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</si>
  <si>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</si>
  <si>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</si>
  <si>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</si>
  <si>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</si>
  <si>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</si>
  <si>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</si>
  <si>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</si>
  <si>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</si>
  <si>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</si>
  <si>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</si>
  <si>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</si>
  <si>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</si>
  <si>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</si>
  <si>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</si>
  <si>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</si>
  <si>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</si>
  <si>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</si>
  <si>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</si>
  <si>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</si>
  <si>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</si>
  <si>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</si>
  <si>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</si>
  <si>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</si>
  <si>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</si>
  <si>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</si>
  <si>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</si>
  <si>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</si>
  <si>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</si>
  <si>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</si>
  <si>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</si>
  <si>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</si>
  <si>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</si>
  <si>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</si>
  <si>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</si>
  <si>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</si>
  <si>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</si>
  <si>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</si>
  <si>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</si>
  <si>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</si>
  <si>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</si>
  <si>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</si>
  <si>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</si>
  <si>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</si>
  <si>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</si>
  <si>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</si>
  <si>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</si>
  <si>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</si>
  <si>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</si>
  <si>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</si>
  <si>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</si>
  <si>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</si>
  <si>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</si>
  <si>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</si>
  <si>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</si>
  <si>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</si>
  <si>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</si>
  <si>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</si>
  <si>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</si>
  <si>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</si>
  <si>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</si>
  <si>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</si>
  <si>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</si>
  <si>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</si>
  <si>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</si>
  <si>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</si>
  <si>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</si>
  <si>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</si>
  <si>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</si>
  <si>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</si>
  <si>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</si>
  <si>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</si>
  <si>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</si>
  <si>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</si>
  <si>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</si>
  <si>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</si>
  <si>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</si>
  <si>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</si>
  <si>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</si>
  <si>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</si>
  <si>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</si>
  <si>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</si>
  <si>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</si>
  <si>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</si>
  <si>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</si>
  <si>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</si>
  <si>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</si>
  <si>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</si>
  <si>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</si>
  <si>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</si>
  <si>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</si>
  <si>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</si>
  <si>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</si>
  <si>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</si>
  <si>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</si>
  <si>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</si>
  <si>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</si>
  <si>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</si>
  <si>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</si>
  <si>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</si>
  <si>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</si>
  <si>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</si>
  <si>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</si>
  <si>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</si>
  <si>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</si>
  <si>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</si>
  <si>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</si>
  <si>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</si>
  <si>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</si>
  <si>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</si>
  <si>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</si>
  <si>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</si>
  <si>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</si>
  <si>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</si>
  <si>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</si>
  <si>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</si>
  <si>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</si>
  <si>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</si>
  <si>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</si>
  <si>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</si>
  <si>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</si>
  <si>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</si>
  <si>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</si>
  <si>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</si>
  <si>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</si>
  <si>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</si>
  <si>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</si>
  <si>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</si>
  <si>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</si>
  <si>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</si>
  <si>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</si>
  <si>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</si>
  <si>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</si>
  <si>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</si>
  <si>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</si>
  <si>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</si>
  <si>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</si>
  <si>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</si>
  <si>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</si>
  <si>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</si>
  <si>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</si>
  <si>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</si>
  <si>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</si>
  <si>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</si>
  <si>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</si>
  <si>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</si>
  <si>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</si>
  <si>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</si>
  <si>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</si>
  <si>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</si>
  <si>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</si>
  <si>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</si>
  <si>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</si>
  <si>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</si>
  <si>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</si>
  <si>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</si>
  <si>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</si>
  <si>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</si>
  <si>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</si>
  <si>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</si>
  <si>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</si>
  <si>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</si>
  <si>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</si>
  <si>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</si>
  <si>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</si>
  <si>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</si>
  <si>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</si>
  <si>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</si>
  <si>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</si>
  <si>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</si>
  <si>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</si>
  <si>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</si>
  <si>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</si>
  <si>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</si>
  <si>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</si>
  <si>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</si>
  <si>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</si>
  <si>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</si>
  <si>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</si>
  <si>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</si>
  <si>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</si>
  <si>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</si>
  <si>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</si>
  <si>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</si>
  <si>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</si>
  <si>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</si>
  <si>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</si>
  <si>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</si>
  <si>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</si>
  <si>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</si>
  <si>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</si>
  <si>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</si>
  <si>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</si>
  <si>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</si>
  <si>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</si>
  <si>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</si>
  <si>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</si>
  <si>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</si>
  <si>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</si>
  <si>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</si>
  <si>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</si>
  <si>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</si>
  <si>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</si>
  <si>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</si>
  <si>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</si>
  <si>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</si>
  <si>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</si>
  <si>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</si>
  <si>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</si>
  <si>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</si>
  <si>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</si>
  <si>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</si>
  <si>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</si>
  <si>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</si>
  <si>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</si>
  <si>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</si>
  <si>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</si>
  <si>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</si>
  <si>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</si>
  <si>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</si>
  <si>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</si>
  <si>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</si>
  <si>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</si>
  <si>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</si>
  <si>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</si>
  <si>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</si>
  <si>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</si>
  <si>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</si>
  <si>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</si>
  <si>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</si>
  <si>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</si>
  <si>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</si>
  <si>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</si>
  <si>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</si>
  <si>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</si>
  <si>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</si>
  <si>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</si>
  <si>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</si>
  <si>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</si>
  <si>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</si>
  <si>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</si>
  <si>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</si>
  <si>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</si>
  <si>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</si>
  <si>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</si>
  <si>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</si>
  <si>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</si>
  <si>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</si>
  <si>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</si>
  <si>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2014</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</si>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</sst>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20930.725633316801</v>
      </c>
      <c r="F22" s="3419" t="str">
        <f t="shared" si="0"/>
        <v>NA</v>
      </c>
      <c r="G22" s="3395">
        <v>322.52345407701802</v>
      </c>
      <c r="H22" s="3374">
        <f t="shared" si="1"/>
        <v>1182.5859982823993</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25290</v>
      </c>
      <c r="F24" s="3419" t="str">
        <f t="shared" si="0"/>
        <v>NA</v>
      </c>
      <c r="G24" s="3395">
        <v>556.60990909090913</v>
      </c>
      <c r="H24" s="3374">
        <f t="shared" si="1"/>
        <v>2040.9030000000002</v>
      </c>
      <c r="I24" s="2579" t="s">
        <v>2147</v>
      </c>
      <c r="J24" s="2580"/>
      <c r="M24" s="125"/>
    </row>
    <row r="25" spans="2:13" ht="18" customHeight="1" x14ac:dyDescent="0.2">
      <c r="B25" s="165"/>
      <c r="C25" s="1563"/>
      <c r="D25" s="1452" t="s">
        <v>1789</v>
      </c>
      <c r="E25" s="3414">
        <v>13012.71</v>
      </c>
      <c r="F25" s="3419" t="str">
        <f t="shared" si="0"/>
        <v>NA</v>
      </c>
      <c r="G25" s="3395">
        <v>247.12910750454549</v>
      </c>
      <c r="H25" s="3374">
        <f t="shared" si="1"/>
        <v>906.14006085000017</v>
      </c>
      <c r="I25" s="2579" t="s">
        <v>2147</v>
      </c>
      <c r="J25" s="2580"/>
      <c r="M25" s="125"/>
    </row>
    <row r="26" spans="2:13" ht="18" customHeight="1" x14ac:dyDescent="0.2">
      <c r="B26" s="165"/>
      <c r="C26" s="1563"/>
      <c r="D26" s="1452" t="s">
        <v>1790</v>
      </c>
      <c r="E26" s="3418">
        <v>23403.346958800004</v>
      </c>
      <c r="F26" s="3419">
        <f t="shared" si="0"/>
        <v>28.775999651034109</v>
      </c>
      <c r="G26" s="3395">
        <v>673.45470391945901</v>
      </c>
      <c r="H26" s="3374">
        <f t="shared" si="1"/>
        <v>2469.3339143713497</v>
      </c>
      <c r="I26" s="3395">
        <v>2469.3339143713501</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39924.902345762704</v>
      </c>
      <c r="F28" s="3419">
        <f>IF(I28="NA","NA",I28/(44/12)*1000/E28)</f>
        <v>1.0364649596337367</v>
      </c>
      <c r="G28" s="3395">
        <v>735.98937315272724</v>
      </c>
      <c r="H28" s="3374">
        <f>IF(G28="NA","NA",IF(G28="NO","NO",G28*44/12))</f>
        <v>2698.6277015599999</v>
      </c>
      <c r="I28" s="3395">
        <v>151.72946175999999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122561.68493787952</v>
      </c>
      <c r="F31" s="3359">
        <f t="shared" ref="F31" si="3">IF(I31="NA","NA",I31/(44/12)*1000/E31)</f>
        <v>5.8324546254398824</v>
      </c>
      <c r="G31" s="3423">
        <f>SUM(G11:G29)</f>
        <v>2535.706547744659</v>
      </c>
      <c r="H31" s="3371">
        <f t="shared" ref="H31" si="4">IF(G31="NA","NA",IF(G31="NO","NO",G31*44/12))</f>
        <v>9297.5906750637496</v>
      </c>
      <c r="I31" s="3423">
        <f>SUM(I11:I29)</f>
        <v>2621.0633761313502</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v>21.698332870909098</v>
      </c>
      <c r="H34" s="3396">
        <f t="shared" ref="H34:H42" si="5">IF(G34="NA","NA",IF(G34="NO","NO",G34*44/12))</f>
        <v>79.560553860000027</v>
      </c>
      <c r="I34" s="2363" t="s">
        <v>2153</v>
      </c>
      <c r="J34" s="2580"/>
      <c r="M34" s="125"/>
    </row>
    <row r="35" spans="2:13" ht="18" customHeight="1" x14ac:dyDescent="0.2">
      <c r="B35" s="1434"/>
      <c r="C35" s="1563"/>
      <c r="D35" s="1452" t="s">
        <v>261</v>
      </c>
      <c r="E35" s="3414">
        <v>13520.578020000001</v>
      </c>
      <c r="F35" s="3419">
        <f>IF(I35="NA","NA",I35/(44/12)*1000/E35)</f>
        <v>24.834621648681694</v>
      </c>
      <c r="G35" s="3399">
        <v>335.77843959818199</v>
      </c>
      <c r="H35" s="3396">
        <f t="shared" si="5"/>
        <v>1231.1876118600005</v>
      </c>
      <c r="I35" s="3395">
        <v>1231.1876118600001</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v>5.786603727273E-2</v>
      </c>
      <c r="H37" s="3374">
        <f t="shared" si="5"/>
        <v>0.21217547000001</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50029.0196717867</v>
      </c>
      <c r="F41" s="3419">
        <f t="shared" ref="F41" si="8">IF(I41="NA","NA",I41/(44/12)*1000/E41)</f>
        <v>29.238830892040767</v>
      </c>
      <c r="G41" s="3395">
        <v>1462.79004587795</v>
      </c>
      <c r="H41" s="3396">
        <f t="shared" si="5"/>
        <v>5363.5635015524831</v>
      </c>
      <c r="I41" s="3395">
        <v>5363.5635015524904</v>
      </c>
      <c r="J41" s="3416" t="s">
        <v>2274</v>
      </c>
      <c r="M41" s="125"/>
    </row>
    <row r="42" spans="2:13" ht="18" customHeight="1" x14ac:dyDescent="0.2">
      <c r="B42" s="1434"/>
      <c r="C42" s="1564"/>
      <c r="D42" s="1452" t="s">
        <v>1792</v>
      </c>
      <c r="E42" s="3414">
        <v>22944.400798532944</v>
      </c>
      <c r="F42" s="3419">
        <f>IF(I42="NA","NA",I42/(44/12)*1000/E42)</f>
        <v>6.0496997279599798</v>
      </c>
      <c r="G42" s="3395">
        <v>386.505561550908</v>
      </c>
      <c r="H42" s="3396">
        <f t="shared" si="5"/>
        <v>1417.187059019996</v>
      </c>
      <c r="I42" s="3395">
        <v>508.95802931999481</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86493.998490319645</v>
      </c>
      <c r="F45" s="3343">
        <f>IF(I45="NA","NA",I45/(44/12)*1000/E45)</f>
        <v>22.398955471599031</v>
      </c>
      <c r="G45" s="3423">
        <f>SUM(G33:G43)</f>
        <v>2206.8302459352217</v>
      </c>
      <c r="H45" s="3371">
        <f t="shared" ref="H45" si="9">IF(G45="NA","NA",IF(G45="NO","NO",G45*44/12))</f>
        <v>8091.7109017624798</v>
      </c>
      <c r="I45" s="3423">
        <f>SUM(I33:I43)</f>
        <v>7103.7091427324858</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56191.786691699985</v>
      </c>
      <c r="F47" s="3419">
        <f t="shared" ref="F47" si="10">IF(I47="NA","NA",I47/(44/12)*1000/E47)</f>
        <v>14.021432274345001</v>
      </c>
      <c r="G47" s="3395">
        <v>787.88933147211208</v>
      </c>
      <c r="H47" s="3374">
        <f t="shared" ref="H47" si="11">IF(G47="NA","NA",IF(G47="NO","NO",G47*44/12))</f>
        <v>2888.9275487310774</v>
      </c>
      <c r="I47" s="3395">
        <v>2888.9275487310774</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56191.786691699985</v>
      </c>
      <c r="F50" s="3343">
        <f>IF(I50="NA","NA",I50/(44/12)*1000/E50)</f>
        <v>14.021432274345001</v>
      </c>
      <c r="G50" s="3423">
        <f>SUM(G47:G48)</f>
        <v>787.88933147211208</v>
      </c>
      <c r="H50" s="3397">
        <f t="shared" ref="H50" si="13">IF(G50="NA","NA",IF(G50="NO","NO",G50*44/12))</f>
        <v>2888.9275487310774</v>
      </c>
      <c r="I50" s="3423">
        <f>SUM(I47:I48)</f>
        <v>2888.9275487310774</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265247.47011989914</v>
      </c>
      <c r="F55" s="3354">
        <f t="shared" si="14"/>
        <v>12.96939803753814</v>
      </c>
      <c r="G55" s="3423">
        <f>SUM(G31,G45,G50,G54)</f>
        <v>5530.4261251519929</v>
      </c>
      <c r="H55" s="3398">
        <f t="shared" si="15"/>
        <v>20278.229125557307</v>
      </c>
      <c r="I55" s="3423">
        <f>SUM(I31,I45,I50,I54)</f>
        <v>12613.700067594913</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625.40884885391995</v>
      </c>
      <c r="D10" s="3127"/>
      <c r="E10" s="3127"/>
      <c r="F10" s="3078">
        <f>SUM(F11,F18)</f>
        <v>1271.1763625394588</v>
      </c>
      <c r="G10" s="3078">
        <f>SUM(G11,G18)</f>
        <v>1837.8700527484677</v>
      </c>
      <c r="H10" s="3078">
        <f>H11</f>
        <v>-277.07687802994002</v>
      </c>
      <c r="I10" s="3128" t="s">
        <v>2146</v>
      </c>
      <c r="L10" s="3750"/>
    </row>
    <row r="11" spans="2:12" ht="18" customHeight="1" x14ac:dyDescent="0.2">
      <c r="B11" s="1252" t="s">
        <v>334</v>
      </c>
      <c r="C11" s="3033">
        <v>121.064159</v>
      </c>
      <c r="D11" s="3078">
        <f>IFERROR(SUM(F11,H11)/$C$11,"NA")</f>
        <v>5.7327397752426812</v>
      </c>
      <c r="E11" s="3078">
        <f>IFERROR(SUM(G11,I11)/$C$11,"NA")</f>
        <v>14.039820429004655</v>
      </c>
      <c r="F11" s="3078">
        <f>SUM(F12:F16)</f>
        <v>971.10619768554432</v>
      </c>
      <c r="G11" s="3078">
        <f>SUM(G12:G16)</f>
        <v>1699.7190527484677</v>
      </c>
      <c r="H11" s="3078">
        <f>H12</f>
        <v>-277.07687802994002</v>
      </c>
      <c r="I11" s="3128" t="s">
        <v>2146</v>
      </c>
    </row>
    <row r="12" spans="2:12" ht="18" customHeight="1" x14ac:dyDescent="0.2">
      <c r="B12" s="160" t="s">
        <v>335</v>
      </c>
      <c r="C12" s="3046"/>
      <c r="D12" s="3078">
        <f t="shared" ref="D12:D14" si="0">IFERROR(SUM(F12,H12)/$C$11,"NA")</f>
        <v>5.0659840228857105</v>
      </c>
      <c r="E12" s="3078">
        <f>IFERROR(SUM(G12,I12)/$C$11,"NA")</f>
        <v>8.0133191108935726</v>
      </c>
      <c r="F12" s="3126">
        <v>890.38597326803529</v>
      </c>
      <c r="G12" s="3126">
        <v>970.12573895895821</v>
      </c>
      <c r="H12" s="3126">
        <v>-277.07687802994002</v>
      </c>
      <c r="I12" s="3034" t="s">
        <v>2146</v>
      </c>
    </row>
    <row r="13" spans="2:12" ht="18" customHeight="1" x14ac:dyDescent="0.2">
      <c r="B13" s="160" t="s">
        <v>336</v>
      </c>
      <c r="C13" s="3046"/>
      <c r="D13" s="3078">
        <f t="shared" si="0"/>
        <v>0.35911174265280899</v>
      </c>
      <c r="E13" s="3078" t="s">
        <v>2147</v>
      </c>
      <c r="F13" s="3126">
        <v>43.475561111286751</v>
      </c>
      <c r="G13" s="3126" t="s">
        <v>2154</v>
      </c>
      <c r="H13" s="3126" t="s">
        <v>2146</v>
      </c>
      <c r="I13" s="3034" t="s">
        <v>2146</v>
      </c>
    </row>
    <row r="14" spans="2:12" ht="18" customHeight="1" x14ac:dyDescent="0.2">
      <c r="B14" s="160" t="s">
        <v>337</v>
      </c>
      <c r="C14" s="3046"/>
      <c r="D14" s="3078">
        <f t="shared" si="0"/>
        <v>0.28709991302890114</v>
      </c>
      <c r="E14" s="3078" t="s">
        <v>2147</v>
      </c>
      <c r="F14" s="3126">
        <v>34.757509519817063</v>
      </c>
      <c r="G14" s="3126" t="s">
        <v>2147</v>
      </c>
      <c r="H14" s="3126" t="s">
        <v>2146</v>
      </c>
      <c r="I14" s="3034" t="s">
        <v>2146</v>
      </c>
    </row>
    <row r="15" spans="2:12" ht="18" customHeight="1" x14ac:dyDescent="0.2">
      <c r="B15" s="160" t="s">
        <v>338</v>
      </c>
      <c r="C15" s="3033">
        <v>0.27707687802994002</v>
      </c>
      <c r="D15" s="3078">
        <f>IFERROR(SUM(F15,H15)/$C15,"NA")</f>
        <v>8.9764032426282068</v>
      </c>
      <c r="E15" s="3078">
        <f>IFERROR(SUM(G15,I15)/$C15,"NA")</f>
        <v>2633.1800725381058</v>
      </c>
      <c r="F15" s="3126">
        <v>2.4871537864052535</v>
      </c>
      <c r="G15" s="3126">
        <v>729.59331378950935</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504.34468985391999</v>
      </c>
      <c r="D18" s="3078">
        <f>IFERROR(SUM(F18,H18)/$C$18,"NA")</f>
        <v>0.59497040593572592</v>
      </c>
      <c r="E18" s="3078">
        <f>IFERROR(SUM(G18,I18)/$C$18,"NA")</f>
        <v>0.27392178956025981</v>
      </c>
      <c r="F18" s="3078">
        <f>SUM(F19:F21)</f>
        <v>300.07016485391455</v>
      </c>
      <c r="G18" s="3131">
        <f t="shared" ref="G18" si="2">SUM(G19:G21)</f>
        <v>138.15099999999998</v>
      </c>
      <c r="H18" s="3078" t="s">
        <v>2146</v>
      </c>
      <c r="I18" s="3128" t="s">
        <v>2146</v>
      </c>
    </row>
    <row r="19" spans="2:9" ht="18" customHeight="1" x14ac:dyDescent="0.2">
      <c r="B19" s="160" t="s">
        <v>341</v>
      </c>
      <c r="C19" s="3046"/>
      <c r="D19" s="3078">
        <f>IFERROR(SUM(F19,H19)/$C$18,"NA")</f>
        <v>0.59497040593572592</v>
      </c>
      <c r="E19" s="3078">
        <f>IFERROR(SUM(G19,I19)/$C$18,"NA")</f>
        <v>0.27392178956025981</v>
      </c>
      <c r="F19" s="3126">
        <v>300.07016485391455</v>
      </c>
      <c r="G19" s="3126">
        <v>138.15099999999998</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200.04990489814813</v>
      </c>
      <c r="J10" s="3145">
        <f>IF(SUM(J11:J16)=0,"NO",SUM(J11:J16))</f>
        <v>3.7926987804482053</v>
      </c>
      <c r="K10" s="1913">
        <f>IF(SUM(K11:K16)=0,"NO",SUM(K11:K16))</f>
        <v>6.0126316500000001E-3</v>
      </c>
      <c r="L10" s="3146" t="s">
        <v>2146</v>
      </c>
    </row>
    <row r="11" spans="2:12" ht="18" customHeight="1" x14ac:dyDescent="0.2">
      <c r="B11" s="1252" t="s">
        <v>363</v>
      </c>
      <c r="C11" s="2165" t="s">
        <v>2159</v>
      </c>
      <c r="D11" s="2165" t="s">
        <v>2275</v>
      </c>
      <c r="E11" s="691" t="s">
        <v>2146</v>
      </c>
      <c r="F11" s="1913" t="e">
        <f>I11*1000000/$E11</f>
        <v>#VALUE!</v>
      </c>
      <c r="G11" s="1913" t="e">
        <f>J11*1000000/$E11</f>
        <v>#VALUE!</v>
      </c>
      <c r="H11" s="1913" t="e">
        <f>K11*1000000/$E11</f>
        <v>#VALUE!</v>
      </c>
      <c r="I11" s="3141" t="s">
        <v>2146</v>
      </c>
      <c r="J11" s="691" t="s">
        <v>2146</v>
      </c>
      <c r="K11" s="3142" t="s">
        <v>2146</v>
      </c>
      <c r="L11" s="3093" t="s">
        <v>2146</v>
      </c>
    </row>
    <row r="12" spans="2:12" ht="18" customHeight="1" x14ac:dyDescent="0.2">
      <c r="B12" s="1252" t="s">
        <v>364</v>
      </c>
      <c r="C12" s="2165" t="s">
        <v>2160</v>
      </c>
      <c r="D12" s="2165" t="s">
        <v>2161</v>
      </c>
      <c r="E12" s="691">
        <v>1001.03938134546</v>
      </c>
      <c r="F12" s="1913" t="s">
        <v>2147</v>
      </c>
      <c r="G12" s="1913">
        <f>J12*1000000/$E12</f>
        <v>1989.0930309521009</v>
      </c>
      <c r="H12" s="3096"/>
      <c r="I12" s="3147" t="s">
        <v>2147</v>
      </c>
      <c r="J12" s="691">
        <v>1.9911604571428572</v>
      </c>
      <c r="K12" s="3046"/>
      <c r="L12" s="3093" t="s">
        <v>2146</v>
      </c>
    </row>
    <row r="13" spans="2:12" ht="18" customHeight="1" x14ac:dyDescent="0.2">
      <c r="B13" s="1252" t="s">
        <v>365</v>
      </c>
      <c r="C13" s="2165" t="s">
        <v>2162</v>
      </c>
      <c r="D13" s="2165" t="s">
        <v>2161</v>
      </c>
      <c r="E13" s="691">
        <v>632.11684300000002</v>
      </c>
      <c r="F13" s="1913" t="s">
        <v>2147</v>
      </c>
      <c r="G13" s="1913">
        <f>J13*1000000/$E13</f>
        <v>98.877939688153347</v>
      </c>
      <c r="H13" s="3096"/>
      <c r="I13" s="3147" t="s">
        <v>2147</v>
      </c>
      <c r="J13" s="691">
        <v>6.2502411078019904E-2</v>
      </c>
      <c r="K13" s="3046"/>
      <c r="L13" s="3093" t="s">
        <v>2146</v>
      </c>
    </row>
    <row r="14" spans="2:12" ht="18" customHeight="1" x14ac:dyDescent="0.2">
      <c r="B14" s="1252" t="s">
        <v>366</v>
      </c>
      <c r="C14" s="2165" t="s">
        <v>2163</v>
      </c>
      <c r="D14" s="2165" t="s">
        <v>2161</v>
      </c>
      <c r="E14" s="691">
        <v>1136.347798067028</v>
      </c>
      <c r="F14" s="1913">
        <f>I14*1000000/$E14</f>
        <v>176046.36999204013</v>
      </c>
      <c r="G14" s="1913">
        <f>J14*1000000/$E14</f>
        <v>1451.3501579206184</v>
      </c>
      <c r="H14" s="1913">
        <f>K14*1000000/$E14</f>
        <v>5.2911895990186473</v>
      </c>
      <c r="I14" s="3147">
        <v>200.04990489814813</v>
      </c>
      <c r="J14" s="691">
        <v>1.649238556177328</v>
      </c>
      <c r="K14" s="3142">
        <v>6.0126316500000001E-3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8.9797356050000013E-2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3151</v>
      </c>
      <c r="F18" s="1913" t="s">
        <v>2147</v>
      </c>
      <c r="G18" s="1913">
        <f>J18*1000000/$E18</f>
        <v>28.498050158679789</v>
      </c>
      <c r="H18" s="3148"/>
      <c r="I18" s="3150" t="s">
        <v>2147</v>
      </c>
      <c r="J18" s="2190">
        <v>8.9797356050000013E-2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120.03403031596295</v>
      </c>
      <c r="J21" s="3155">
        <f>IF(SUM(J22:J27)=0,"NO",SUM(J22:J27))</f>
        <v>142.98145985453488</v>
      </c>
      <c r="K21" s="3067">
        <f>IF(SUM(K22:K27)=0,"NO",SUM(K22:K27))</f>
        <v>3.2804166372299996E-3</v>
      </c>
      <c r="L21" s="3068" t="str">
        <f>IF(SUM(L22:L27)=0,"NO",SUM(L22:L27))</f>
        <v>NO</v>
      </c>
    </row>
    <row r="22" spans="2:12" ht="18" customHeight="1" x14ac:dyDescent="0.2">
      <c r="B22" s="1469" t="s">
        <v>371</v>
      </c>
      <c r="C22" s="2165" t="s">
        <v>2164</v>
      </c>
      <c r="D22" s="2165" t="s">
        <v>2147</v>
      </c>
      <c r="E22" s="691">
        <v>1685.8376607226965</v>
      </c>
      <c r="F22" s="1913">
        <f>I22*1000000/$E22</f>
        <v>66081.741880668764</v>
      </c>
      <c r="G22" s="1913">
        <f>J22*1000000/$E22</f>
        <v>2985.9422844054229</v>
      </c>
      <c r="H22" s="1913">
        <f>K22*1000000/$E22</f>
        <v>1.9458674542978998</v>
      </c>
      <c r="I22" s="3141">
        <v>111.40308914858765</v>
      </c>
      <c r="J22" s="692">
        <v>5.033813955795023</v>
      </c>
      <c r="K22" s="4141">
        <v>3.2804166372299996E-3</v>
      </c>
      <c r="L22" s="3156" t="s">
        <v>2146</v>
      </c>
    </row>
    <row r="23" spans="2:12" ht="18" customHeight="1" x14ac:dyDescent="0.2">
      <c r="B23" s="1252" t="s">
        <v>372</v>
      </c>
      <c r="C23" s="2165" t="s">
        <v>2165</v>
      </c>
      <c r="D23" s="2165" t="s">
        <v>2161</v>
      </c>
      <c r="E23" s="691">
        <v>3545.6795556664101</v>
      </c>
      <c r="F23" s="1913">
        <f>I23*1000000/$E23</f>
        <v>171.53490568119039</v>
      </c>
      <c r="G23" s="1913">
        <f>J23*1000000/$E23</f>
        <v>6721.0509054561262</v>
      </c>
      <c r="H23" s="3096"/>
      <c r="I23" s="3147">
        <v>0.60820780815696274</v>
      </c>
      <c r="J23" s="691">
        <v>23.830692788069001</v>
      </c>
      <c r="K23" s="3046"/>
      <c r="L23" s="3156" t="s">
        <v>2146</v>
      </c>
    </row>
    <row r="24" spans="2:12" ht="18" customHeight="1" x14ac:dyDescent="0.2">
      <c r="B24" s="1252" t="s">
        <v>373</v>
      </c>
      <c r="C24" s="2165" t="s">
        <v>2165</v>
      </c>
      <c r="D24" s="2165" t="s">
        <v>2161</v>
      </c>
      <c r="E24" s="691">
        <v>3545.6795556664101</v>
      </c>
      <c r="F24" s="1913">
        <f t="shared" ref="F24:F26" si="0">I24*1000000/$E24</f>
        <v>1076.4382546074</v>
      </c>
      <c r="G24" s="1913">
        <f t="shared" ref="G24:G26" si="1">J24*1000000/$E24</f>
        <v>6557.3164698411974</v>
      </c>
      <c r="H24" s="1879"/>
      <c r="I24" s="691">
        <v>3.8167051122986919</v>
      </c>
      <c r="J24" s="691">
        <v>23.250142947150568</v>
      </c>
      <c r="K24" s="1914"/>
      <c r="L24" s="3093" t="str">
        <f>IF(Table1.C!E21="NO","NO",-Table1.C!E21)</f>
        <v>NO</v>
      </c>
    </row>
    <row r="25" spans="2:12" ht="18" customHeight="1" x14ac:dyDescent="0.2">
      <c r="B25" s="1252" t="s">
        <v>374</v>
      </c>
      <c r="C25" s="2165" t="s">
        <v>2276</v>
      </c>
      <c r="D25" s="2165" t="s">
        <v>2171</v>
      </c>
      <c r="E25" s="691">
        <v>28033</v>
      </c>
      <c r="F25" s="1913">
        <f t="shared" si="0"/>
        <v>20</v>
      </c>
      <c r="G25" s="1913">
        <f t="shared" si="1"/>
        <v>414.28571428571422</v>
      </c>
      <c r="H25" s="3096"/>
      <c r="I25" s="3147">
        <v>0.56066000000000005</v>
      </c>
      <c r="J25" s="691">
        <v>11.613671428571427</v>
      </c>
      <c r="K25" s="3046"/>
      <c r="L25" s="3093" t="s">
        <v>2146</v>
      </c>
    </row>
    <row r="26" spans="2:12" ht="18" customHeight="1" x14ac:dyDescent="0.2">
      <c r="B26" s="1252" t="s">
        <v>375</v>
      </c>
      <c r="C26" s="2165" t="s">
        <v>2166</v>
      </c>
      <c r="D26" s="2165" t="s">
        <v>2161</v>
      </c>
      <c r="E26" s="691">
        <v>353.48341366666699</v>
      </c>
      <c r="F26" s="1913">
        <f t="shared" si="0"/>
        <v>8722.5309046820148</v>
      </c>
      <c r="G26" s="1913">
        <f t="shared" si="1"/>
        <v>155223.3510218985</v>
      </c>
      <c r="H26" s="3096"/>
      <c r="I26" s="3147">
        <v>3.0832699999999997</v>
      </c>
      <c r="J26" s="691">
        <v>54.868879999999997</v>
      </c>
      <c r="K26" s="3046"/>
      <c r="L26" s="3093" t="s">
        <v>2146</v>
      </c>
    </row>
    <row r="27" spans="2:12" ht="18" customHeight="1" x14ac:dyDescent="0.2">
      <c r="B27" s="2414" t="s">
        <v>376</v>
      </c>
      <c r="C27" s="621"/>
      <c r="D27" s="621"/>
      <c r="E27" s="628"/>
      <c r="F27" s="628"/>
      <c r="G27" s="628"/>
      <c r="H27" s="3148"/>
      <c r="I27" s="1913">
        <f>IF(SUM(I29:I31)=0,"NO",SUM(I29:I31))</f>
        <v>0.56209824691964483</v>
      </c>
      <c r="J27" s="1913">
        <f>IF(SUM(J29:J31)=0,"NO",SUM(J29:J31))</f>
        <v>24.384258734948844</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0.56209824691964483</v>
      </c>
      <c r="J29" s="3150">
        <v>14.491114030698846</v>
      </c>
      <c r="K29" s="3132"/>
      <c r="L29" s="3102" t="s">
        <v>2146</v>
      </c>
    </row>
    <row r="30" spans="2:12" ht="18" customHeight="1" x14ac:dyDescent="0.2">
      <c r="B30" s="2415" t="s">
        <v>378</v>
      </c>
      <c r="C30" s="2165" t="s">
        <v>2156</v>
      </c>
      <c r="D30" s="2165" t="s">
        <v>2155</v>
      </c>
      <c r="E30" s="691">
        <v>15557</v>
      </c>
      <c r="F30" s="1913" t="s">
        <v>2147</v>
      </c>
      <c r="G30" s="1913">
        <f t="shared" ref="G30" si="2">J30*1000000/$E30</f>
        <v>18.778987224400591</v>
      </c>
      <c r="H30" s="3148"/>
      <c r="I30" s="3150" t="s">
        <v>2147</v>
      </c>
      <c r="J30" s="3150">
        <v>0.29214470425</v>
      </c>
      <c r="K30" s="3132"/>
      <c r="L30" s="3102" t="s">
        <v>2146</v>
      </c>
    </row>
    <row r="31" spans="2:12" ht="18" customHeight="1" x14ac:dyDescent="0.2">
      <c r="B31" s="1242" t="s">
        <v>379</v>
      </c>
      <c r="C31" s="621"/>
      <c r="D31" s="621"/>
      <c r="E31" s="628"/>
      <c r="F31" s="628"/>
      <c r="G31" s="628"/>
      <c r="H31" s="3148"/>
      <c r="I31" s="1913" t="s">
        <v>2147</v>
      </c>
      <c r="J31" s="1913">
        <f>IF(SUM(J32:J34)=0,"NO",SUM(J32:J34))</f>
        <v>9.6009999999999991</v>
      </c>
      <c r="K31" s="3132"/>
      <c r="L31" s="3149" t="str">
        <f>IF(SUM(L32:L34)=0,"NO",SUM(L32:L34))</f>
        <v>NO</v>
      </c>
    </row>
    <row r="32" spans="2:12" ht="18" customHeight="1" x14ac:dyDescent="0.2">
      <c r="B32" s="2592" t="s">
        <v>2173</v>
      </c>
      <c r="C32" s="310" t="s">
        <v>2172</v>
      </c>
      <c r="D32" s="310" t="s">
        <v>2172</v>
      </c>
      <c r="E32" s="2190">
        <v>7</v>
      </c>
      <c r="F32" s="3095" t="s">
        <v>2147</v>
      </c>
      <c r="G32" s="3095">
        <f t="shared" ref="G32:G33" si="3">J32*1000000/$E32</f>
        <v>475285.71428571426</v>
      </c>
      <c r="H32" s="3148"/>
      <c r="I32" s="3150" t="s">
        <v>2147</v>
      </c>
      <c r="J32" s="3150">
        <v>3.327</v>
      </c>
      <c r="K32" s="3132"/>
      <c r="L32" s="3102" t="s">
        <v>2146</v>
      </c>
    </row>
    <row r="33" spans="2:12" ht="18" customHeight="1" x14ac:dyDescent="0.2">
      <c r="B33" s="2592" t="s">
        <v>2174</v>
      </c>
      <c r="C33" s="277" t="s">
        <v>2172</v>
      </c>
      <c r="D33" s="277" t="s">
        <v>2172</v>
      </c>
      <c r="E33" s="691">
        <v>4</v>
      </c>
      <c r="F33" s="1913" t="s">
        <v>2147</v>
      </c>
      <c r="G33" s="1913">
        <f t="shared" si="3"/>
        <v>921000</v>
      </c>
      <c r="H33" s="3096"/>
      <c r="I33" s="3147" t="s">
        <v>2147</v>
      </c>
      <c r="J33" s="3147">
        <v>3.6840000000000002</v>
      </c>
      <c r="K33" s="3046"/>
      <c r="L33" s="3093" t="s">
        <v>2146</v>
      </c>
    </row>
    <row r="34" spans="2:12" ht="18" customHeight="1" thickBot="1" x14ac:dyDescent="0.25">
      <c r="B34" s="2590" t="s">
        <v>2175</v>
      </c>
      <c r="C34" s="2591" t="s">
        <v>2172</v>
      </c>
      <c r="D34" s="2591" t="s">
        <v>2172</v>
      </c>
      <c r="E34" s="2912">
        <v>3</v>
      </c>
      <c r="F34" s="3157" t="s">
        <v>2147</v>
      </c>
      <c r="G34" s="3157">
        <f t="shared" ref="G34" si="4">J34*1000000/$E34</f>
        <v>863333.33333333337</v>
      </c>
      <c r="H34" s="3158"/>
      <c r="I34" s="3159" t="s">
        <v>2147</v>
      </c>
      <c r="J34" s="3159">
        <v>2.59</v>
      </c>
      <c r="K34" s="3160"/>
      <c r="L34" s="3161" t="s">
        <v>2146</v>
      </c>
    </row>
    <row r="35" spans="2:12" ht="18" customHeight="1" x14ac:dyDescent="0.2">
      <c r="B35" s="1255" t="s">
        <v>380</v>
      </c>
      <c r="C35" s="2167"/>
      <c r="D35" s="2167"/>
      <c r="E35" s="3216"/>
      <c r="F35" s="3216"/>
      <c r="G35" s="3216"/>
      <c r="H35" s="3216"/>
      <c r="I35" s="3155">
        <f>IF(SUM(I36,I40)=0,"NO",SUM(I36,I40))</f>
        <v>7114.7536728566847</v>
      </c>
      <c r="J35" s="3067">
        <f>IF(SUM(J36,J40)=0,"NO",SUM(J36,J40))</f>
        <v>66.153215453272736</v>
      </c>
      <c r="K35" s="3067">
        <f>IF(SUM(K36,K40)=0,"NO",SUM(K36,K40))</f>
        <v>0.10072921203324117</v>
      </c>
      <c r="L35" s="3068" t="str">
        <f>IF(SUM(L36,L40)=0,"NO",SUM(L36,L40))</f>
        <v>NO</v>
      </c>
    </row>
    <row r="36" spans="2:12" ht="18" customHeight="1" x14ac:dyDescent="0.2">
      <c r="B36" s="1468" t="s">
        <v>381</v>
      </c>
      <c r="C36" s="2170"/>
      <c r="D36" s="2170"/>
      <c r="E36" s="3025"/>
      <c r="F36" s="3025"/>
      <c r="G36" s="3025"/>
      <c r="H36" s="3025"/>
      <c r="I36" s="3162">
        <f>IF(SUM(I37:I39)=0,"NO",SUM(I37:I39))</f>
        <v>4120.0335673078271</v>
      </c>
      <c r="J36" s="1913">
        <f>IF(SUM(J37:J39)=0,"NO",SUM(J37:J39))</f>
        <v>52.263310583949988</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4546.7189370118704</v>
      </c>
      <c r="F39" s="1913">
        <f t="shared" ref="F39" si="5">SUM(I39,L39)*1000000/$E39</f>
        <v>906155.32307689474</v>
      </c>
      <c r="G39" s="1913">
        <f t="shared" ref="G39" si="6">J39*1000000/$E39</f>
        <v>11494.730883518772</v>
      </c>
      <c r="H39" s="1913">
        <f t="shared" ref="H39" si="7">K39*1000000/$E39</f>
        <v>0</v>
      </c>
      <c r="I39" s="691">
        <v>4120.0335673078271</v>
      </c>
      <c r="J39" s="691">
        <v>52.263310583949988</v>
      </c>
      <c r="K39" s="3132"/>
      <c r="L39" s="3093" t="s">
        <v>2146</v>
      </c>
    </row>
    <row r="40" spans="2:12" ht="18" customHeight="1" x14ac:dyDescent="0.2">
      <c r="B40" s="1468" t="s">
        <v>385</v>
      </c>
      <c r="C40" s="2170"/>
      <c r="D40" s="2170"/>
      <c r="E40" s="3025"/>
      <c r="F40" s="3025"/>
      <c r="G40" s="3025"/>
      <c r="H40" s="3025"/>
      <c r="I40" s="3162">
        <f>IF(SUM(I41:I43)=0,"NO",SUM(I41:I43))</f>
        <v>2994.7201055488572</v>
      </c>
      <c r="J40" s="3162">
        <f>IF(SUM(J41:J43)=0,"NO",SUM(J41:J43))</f>
        <v>13.889904869322756</v>
      </c>
      <c r="K40" s="1913">
        <f>IF(SUM(K41:K43)=0,"NO",SUM(K41:K43))</f>
        <v>0.10072921203324117</v>
      </c>
      <c r="L40" s="3065" t="str">
        <f>IF(SUM(L41:L43)=0,"NO",SUM(L41:L43))</f>
        <v>NO</v>
      </c>
    </row>
    <row r="41" spans="2:12" ht="18" customHeight="1" x14ac:dyDescent="0.2">
      <c r="B41" s="1470" t="s">
        <v>386</v>
      </c>
      <c r="C41" s="277" t="s">
        <v>2169</v>
      </c>
      <c r="D41" s="277" t="s">
        <v>2170</v>
      </c>
      <c r="E41" s="691">
        <v>288.04107142857151</v>
      </c>
      <c r="F41" s="1913">
        <f t="shared" ref="F41:F42" si="8">SUM(I41,L41)*1000000/$E41</f>
        <v>2899999.9999999995</v>
      </c>
      <c r="G41" s="1913">
        <f t="shared" ref="G41:H42" si="9">J41*1000000/$E41</f>
        <v>35000</v>
      </c>
      <c r="H41" s="1913">
        <f t="shared" si="9"/>
        <v>80.999999999999986</v>
      </c>
      <c r="I41" s="692">
        <v>835.31910714285721</v>
      </c>
      <c r="J41" s="692">
        <v>10.081437500000003</v>
      </c>
      <c r="K41" s="692">
        <v>2.3331326785714288E-2</v>
      </c>
      <c r="L41" s="3156" t="s">
        <v>2146</v>
      </c>
    </row>
    <row r="42" spans="2:12" ht="18" customHeight="1" x14ac:dyDescent="0.2">
      <c r="B42" s="1470" t="s">
        <v>387</v>
      </c>
      <c r="C42" s="277" t="s">
        <v>2169</v>
      </c>
      <c r="D42" s="277" t="s">
        <v>2170</v>
      </c>
      <c r="E42" s="691">
        <v>46331.487616480998</v>
      </c>
      <c r="F42" s="1913">
        <f t="shared" si="8"/>
        <v>46607.633587786193</v>
      </c>
      <c r="G42" s="1913">
        <f t="shared" si="9"/>
        <v>82.200411971404236</v>
      </c>
      <c r="H42" s="1913">
        <f t="shared" si="9"/>
        <v>1.6705245013543442</v>
      </c>
      <c r="I42" s="691">
        <v>2159.4009984059999</v>
      </c>
      <c r="J42" s="691">
        <v>3.8084673693227518</v>
      </c>
      <c r="K42" s="691">
        <v>7.7397885247526887E-2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41.713286112999185</v>
      </c>
      <c r="M9" s="3358">
        <f>100*C10/SUM(C10,'Table1.A(a)s3'!C16)</f>
        <v>58.286713887000815</v>
      </c>
    </row>
    <row r="10" spans="1:13" ht="18" customHeight="1" thickTop="1" thickBot="1" x14ac:dyDescent="0.25">
      <c r="B10" s="223" t="s">
        <v>430</v>
      </c>
      <c r="C10" s="3338">
        <f>IF(SUM(C11:C13)=0,"NO",SUM(C11:C13))</f>
        <v>170880</v>
      </c>
      <c r="D10" s="3339"/>
      <c r="E10" s="3340"/>
      <c r="F10" s="3340"/>
      <c r="G10" s="3338">
        <f>IF(SUM(G11:G13)=0,"NO",SUM(G11:G13))</f>
        <v>11893.248</v>
      </c>
      <c r="H10" s="3338">
        <f>IF(SUM(H11:H13)=0,"NO",SUM(H11:H13))</f>
        <v>2.4198210000000005E-2</v>
      </c>
      <c r="I10" s="1154">
        <f>IF(SUM(I11:I13)=0,"NO",SUM(I11:I13))</f>
        <v>6.0041472922105266E-2</v>
      </c>
      <c r="J10" s="4"/>
      <c r="K10" s="68" t="s">
        <v>431</v>
      </c>
      <c r="L10" s="3359">
        <f>100-M10</f>
        <v>39.108416746358394</v>
      </c>
      <c r="M10" s="3360">
        <f>100*C14/SUM(C14,'Table1.A(a)s3'!C88)</f>
        <v>60.891583253641606</v>
      </c>
    </row>
    <row r="11" spans="1:13" ht="18" customHeight="1" x14ac:dyDescent="0.2">
      <c r="B11" s="1258" t="s">
        <v>178</v>
      </c>
      <c r="C11" s="3341">
        <v>170880</v>
      </c>
      <c r="D11" s="116">
        <f>IF(G11="NO","NA",G11*1000/$C11)</f>
        <v>69.599999999999994</v>
      </c>
      <c r="E11" s="116">
        <f t="shared" ref="E11:F13" si="0">IF(H11="NO","NA",H11*1000000/$C11)</f>
        <v>0.14160937500000004</v>
      </c>
      <c r="F11" s="116">
        <f t="shared" si="0"/>
        <v>0.3513662975310467</v>
      </c>
      <c r="G11" s="3062">
        <v>11893.248</v>
      </c>
      <c r="H11" s="3062">
        <v>2.4198210000000005E-2</v>
      </c>
      <c r="I11" s="3063">
        <v>6.0041472922105266E-2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30445</v>
      </c>
      <c r="D14" s="3348"/>
      <c r="E14" s="3349"/>
      <c r="F14" s="3350"/>
      <c r="G14" s="3347">
        <f>IF(SUM(G15:G18,G20:G22)=0,"NO",SUM(G15:G18,G20:G22))</f>
        <v>2235.0724999999998</v>
      </c>
      <c r="H14" s="3347">
        <f>IF(SUM(H15:H18,H20:H22)=0,"NO",SUM(H15:H18,H20:H22))</f>
        <v>0.21311500000000003</v>
      </c>
      <c r="I14" s="1155">
        <f>IF(SUM(I15:I18,I20:I22)=0,"NO",SUM(I15:I18,I20:I22))</f>
        <v>6.0890000000000007E-2</v>
      </c>
      <c r="J14" s="4"/>
      <c r="K14" s="1047"/>
      <c r="L14" s="1047"/>
      <c r="M14" s="1047"/>
    </row>
    <row r="15" spans="1:13" ht="18" customHeight="1" x14ac:dyDescent="0.2">
      <c r="B15" s="1260" t="s">
        <v>190</v>
      </c>
      <c r="C15" s="143">
        <v>28910</v>
      </c>
      <c r="D15" s="116">
        <f>IF(G15="NO","NA",G15*1000/$C15)</f>
        <v>73.599999999999994</v>
      </c>
      <c r="E15" s="116">
        <f t="shared" ref="E15:F17" si="1">IF(H15="NO","NA",H15*1000000/$C15)</f>
        <v>7.0000000000000009</v>
      </c>
      <c r="F15" s="116">
        <f t="shared" si="1"/>
        <v>2</v>
      </c>
      <c r="G15" s="3064">
        <v>2127.7759999999998</v>
      </c>
      <c r="H15" s="3064">
        <v>0.20237000000000002</v>
      </c>
      <c r="I15" s="135">
        <v>5.7820000000000003E-2</v>
      </c>
      <c r="J15" s="4"/>
      <c r="K15" s="1047"/>
      <c r="L15" s="1047"/>
      <c r="M15" s="1047"/>
    </row>
    <row r="16" spans="1:13" ht="18" customHeight="1" x14ac:dyDescent="0.2">
      <c r="B16" s="1260" t="s">
        <v>191</v>
      </c>
      <c r="C16" s="3351">
        <v>1535</v>
      </c>
      <c r="D16" s="116">
        <f>IF(G16="NO","NA",G16*1000/$C16)</f>
        <v>69.900000000000006</v>
      </c>
      <c r="E16" s="116">
        <f t="shared" si="1"/>
        <v>7.0000000000000009</v>
      </c>
      <c r="F16" s="116">
        <f t="shared" si="1"/>
        <v>2.0000000000000004</v>
      </c>
      <c r="G16" s="3064">
        <v>107.29650000000001</v>
      </c>
      <c r="H16" s="3064">
        <v>1.0745000000000001E-2</v>
      </c>
      <c r="I16" s="135">
        <v>3.0700000000000002E-3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19170.454777412677</v>
      </c>
      <c r="D10" s="2913">
        <f t="shared" ref="D10:N10" si="0">IF(SUM(D11,D16,D27,D35,D39,D45,D52,D57)=0,"NO",SUM(D11,D16,D27,D35,D39,D45,D52,D57))</f>
        <v>2.6007179785275616</v>
      </c>
      <c r="E10" s="2913">
        <f t="shared" si="0"/>
        <v>4.7415792911946166</v>
      </c>
      <c r="F10" s="2913">
        <f t="shared" si="0"/>
        <v>8837.371668775806</v>
      </c>
      <c r="G10" s="2913">
        <f t="shared" si="0"/>
        <v>173.10697875319798</v>
      </c>
      <c r="H10" s="2913" t="str">
        <f t="shared" si="0"/>
        <v>NO</v>
      </c>
      <c r="I10" s="2913">
        <f t="shared" si="0"/>
        <v>4.6330322141972143E-3</v>
      </c>
      <c r="J10" s="2913" t="str">
        <f t="shared" si="0"/>
        <v>NO</v>
      </c>
      <c r="K10" s="2913">
        <f t="shared" si="0"/>
        <v>6.161207203309937</v>
      </c>
      <c r="L10" s="2914">
        <f t="shared" si="0"/>
        <v>15.078320432952427</v>
      </c>
      <c r="M10" s="2915">
        <f t="shared" si="0"/>
        <v>236.99140404202208</v>
      </c>
      <c r="N10" s="2916">
        <f t="shared" si="0"/>
        <v>1819.4223234821475</v>
      </c>
      <c r="O10" s="3020">
        <f t="shared" ref="O10:O58" si="1">IF(SUM(C10:J10)=0,"NO",SUM(C10,F10:H10)+28*SUM(D10)+265*SUM(E10)+23500*SUM(I10)+16100*SUM(J10))</f>
        <v>29619.148297540662</v>
      </c>
    </row>
    <row r="11" spans="1:15" ht="18" customHeight="1" x14ac:dyDescent="0.2">
      <c r="B11" s="1263" t="s">
        <v>444</v>
      </c>
      <c r="C11" s="2137">
        <f>IF(SUM(C12:C15)=0,"NO",SUM(C12:C15))</f>
        <v>6004.4700119044592</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6004.4700119044592</v>
      </c>
    </row>
    <row r="12" spans="1:15" ht="18" customHeight="1" x14ac:dyDescent="0.2">
      <c r="B12" s="1264" t="s">
        <v>445</v>
      </c>
      <c r="C12" s="2920">
        <f>'Table2(I).A-H'!H11</f>
        <v>3137.5666682912001</v>
      </c>
      <c r="D12" s="2136"/>
      <c r="E12" s="2136"/>
      <c r="F12" s="628"/>
      <c r="G12" s="628"/>
      <c r="H12" s="2135"/>
      <c r="I12" s="628"/>
      <c r="J12" s="2135"/>
      <c r="K12" s="2135"/>
      <c r="L12" s="2135"/>
      <c r="M12" s="2135"/>
      <c r="N12" s="2919" t="s">
        <v>2146</v>
      </c>
      <c r="O12" s="2934">
        <f t="shared" si="1"/>
        <v>3137.5666682912001</v>
      </c>
    </row>
    <row r="13" spans="1:15" ht="18" customHeight="1" x14ac:dyDescent="0.2">
      <c r="B13" s="1264" t="s">
        <v>446</v>
      </c>
      <c r="C13" s="1878">
        <f>'Table2(I).A-H'!H12</f>
        <v>1185.9275469224776</v>
      </c>
      <c r="D13" s="2108"/>
      <c r="E13" s="2108"/>
      <c r="F13" s="628"/>
      <c r="G13" s="628"/>
      <c r="H13" s="2135"/>
      <c r="I13" s="628"/>
      <c r="J13" s="2135"/>
      <c r="K13" s="628"/>
      <c r="L13" s="628"/>
      <c r="M13" s="628"/>
      <c r="N13" s="1838"/>
      <c r="O13" s="1880">
        <f t="shared" si="1"/>
        <v>1185.9275469224776</v>
      </c>
    </row>
    <row r="14" spans="1:15" ht="18" customHeight="1" x14ac:dyDescent="0.2">
      <c r="B14" s="1264" t="s">
        <v>447</v>
      </c>
      <c r="C14" s="1878">
        <f>'Table2(I).A-H'!H13</f>
        <v>81.076104707709987</v>
      </c>
      <c r="D14" s="2108"/>
      <c r="E14" s="2108"/>
      <c r="F14" s="628"/>
      <c r="G14" s="628"/>
      <c r="H14" s="2135"/>
      <c r="I14" s="628"/>
      <c r="J14" s="2135"/>
      <c r="K14" s="628"/>
      <c r="L14" s="628"/>
      <c r="M14" s="628"/>
      <c r="N14" s="1838"/>
      <c r="O14" s="1880">
        <f t="shared" si="1"/>
        <v>81.076104707709987</v>
      </c>
    </row>
    <row r="15" spans="1:15" ht="18" customHeight="1" thickBot="1" x14ac:dyDescent="0.25">
      <c r="B15" s="1264" t="s">
        <v>448</v>
      </c>
      <c r="C15" s="1878">
        <f>'Table2(I).A-H'!H14</f>
        <v>1599.8996919830711</v>
      </c>
      <c r="D15" s="1879"/>
      <c r="E15" s="1879"/>
      <c r="F15" s="3021"/>
      <c r="G15" s="3021"/>
      <c r="H15" s="3021"/>
      <c r="I15" s="3021"/>
      <c r="J15" s="3021"/>
      <c r="K15" s="2606" t="s">
        <v>2146</v>
      </c>
      <c r="L15" s="2606" t="s">
        <v>2146</v>
      </c>
      <c r="M15" s="2606" t="s">
        <v>2146</v>
      </c>
      <c r="N15" s="2607" t="s">
        <v>2146</v>
      </c>
      <c r="O15" s="1880">
        <f t="shared" si="1"/>
        <v>1599.8996919830711</v>
      </c>
    </row>
    <row r="16" spans="1:15" ht="18" customHeight="1" x14ac:dyDescent="0.2">
      <c r="B16" s="1265" t="s">
        <v>449</v>
      </c>
      <c r="C16" s="2137">
        <f>IF(SUM(C17:C26)=0,"NO",SUM(C17:C26))</f>
        <v>3127.3795000171694</v>
      </c>
      <c r="D16" s="2137">
        <f t="shared" ref="D16:N16" si="3">IF(SUM(D17:D26)=0,"NO",SUM(D17:D26))</f>
        <v>0.57776359999999993</v>
      </c>
      <c r="E16" s="2137">
        <f t="shared" si="3"/>
        <v>4.6936928492164975</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4387.3854858595414</v>
      </c>
    </row>
    <row r="17" spans="2:15" ht="18" customHeight="1" x14ac:dyDescent="0.2">
      <c r="B17" s="1266" t="s">
        <v>450</v>
      </c>
      <c r="C17" s="2920">
        <f>SUM('Table2(I).A-H'!H23,'Table2(I).A-H'!K23:L23)</f>
        <v>2543.0009776942097</v>
      </c>
      <c r="D17" s="2139" t="str">
        <f>'Table2(I).A-H'!I23</f>
        <v>NO</v>
      </c>
      <c r="E17" s="2139" t="str">
        <f>'Table2(I).A-H'!J23</f>
        <v>NO</v>
      </c>
      <c r="F17" s="2135"/>
      <c r="G17" s="2135"/>
      <c r="H17" s="2135"/>
      <c r="I17" s="2135"/>
      <c r="J17" s="2135"/>
      <c r="K17" s="692" t="s">
        <v>2146</v>
      </c>
      <c r="L17" s="692" t="s">
        <v>2146</v>
      </c>
      <c r="M17" s="692" t="s">
        <v>2146</v>
      </c>
      <c r="N17" s="692" t="s">
        <v>2146</v>
      </c>
      <c r="O17" s="2934">
        <f t="shared" si="1"/>
        <v>2543.0009776942097</v>
      </c>
    </row>
    <row r="18" spans="2:15" ht="18" customHeight="1" x14ac:dyDescent="0.2">
      <c r="B18" s="1264" t="s">
        <v>451</v>
      </c>
      <c r="C18" s="1910"/>
      <c r="D18" s="2136"/>
      <c r="E18" s="2139">
        <f>'Table2(I).A-H'!J24</f>
        <v>4.6936928492164975</v>
      </c>
      <c r="F18" s="628"/>
      <c r="G18" s="628"/>
      <c r="H18" s="2135"/>
      <c r="I18" s="628"/>
      <c r="J18" s="2135"/>
      <c r="K18" s="692" t="s">
        <v>2146</v>
      </c>
      <c r="L18" s="628"/>
      <c r="M18" s="628"/>
      <c r="N18" s="1838"/>
      <c r="O18" s="2934">
        <f t="shared" si="1"/>
        <v>1243.8286050423719</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525.67596837135</v>
      </c>
      <c r="D22" s="1914"/>
      <c r="E22" s="628"/>
      <c r="F22" s="628"/>
      <c r="G22" s="628"/>
      <c r="H22" s="2135"/>
      <c r="I22" s="628"/>
      <c r="J22" s="2135"/>
      <c r="K22" s="1914"/>
      <c r="L22" s="1914"/>
      <c r="M22" s="1914"/>
      <c r="N22" s="2921"/>
      <c r="O22" s="1880">
        <f t="shared" si="1"/>
        <v>525.67596837135</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10.407747951609748</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10.407747951609748</v>
      </c>
    </row>
    <row r="27" spans="2:15" ht="18" customHeight="1" x14ac:dyDescent="0.2">
      <c r="B27" s="1263" t="s">
        <v>459</v>
      </c>
      <c r="C27" s="2137">
        <f>IF(SUM(C28:C34)=0,"NO",SUM(C28:C34))</f>
        <v>9608.8558369057628</v>
      </c>
      <c r="D27" s="2137">
        <f t="shared" ref="D27:N27" si="4">IF(SUM(D28:D34)=0,"NO",SUM(D28:D34))</f>
        <v>2.0229543785275617</v>
      </c>
      <c r="E27" s="2137">
        <f t="shared" si="4"/>
        <v>4.7886441978119261E-2</v>
      </c>
      <c r="F27" s="2138" t="str">
        <f t="shared" si="4"/>
        <v>NO</v>
      </c>
      <c r="G27" s="2138">
        <f t="shared" si="4"/>
        <v>173.10697875319798</v>
      </c>
      <c r="H27" s="2138" t="str">
        <f t="shared" si="4"/>
        <v>NO</v>
      </c>
      <c r="I27" s="2138" t="str">
        <f t="shared" si="4"/>
        <v>NO</v>
      </c>
      <c r="J27" s="2138" t="str">
        <f t="shared" si="4"/>
        <v>NO</v>
      </c>
      <c r="K27" s="2137">
        <f t="shared" si="4"/>
        <v>6.161207203309937</v>
      </c>
      <c r="L27" s="2137">
        <f t="shared" si="4"/>
        <v>15.078320432952427</v>
      </c>
      <c r="M27" s="2917">
        <f t="shared" si="4"/>
        <v>5.883074793441697E-2</v>
      </c>
      <c r="N27" s="2918">
        <f t="shared" si="4"/>
        <v>1819.4223234821475</v>
      </c>
      <c r="O27" s="2941">
        <f t="shared" si="1"/>
        <v>9851.2954453819348</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2702.3783482352073</v>
      </c>
      <c r="D30" s="1879"/>
      <c r="E30" s="628"/>
      <c r="F30" s="628"/>
      <c r="G30" s="2140">
        <f>SUM('Table2(II)'!X41:Y41)</f>
        <v>173.10697875319798</v>
      </c>
      <c r="H30" s="2136"/>
      <c r="I30" s="2142" t="s">
        <v>2146</v>
      </c>
      <c r="J30" s="2135"/>
      <c r="K30" s="691" t="s">
        <v>2147</v>
      </c>
      <c r="L30" s="691" t="s">
        <v>2147</v>
      </c>
      <c r="M30" s="691" t="s">
        <v>2147</v>
      </c>
      <c r="N30" s="2911">
        <v>45.411575779999993</v>
      </c>
      <c r="O30" s="1880">
        <f t="shared" si="1"/>
        <v>2875.4853269884052</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6906.4774886705554</v>
      </c>
      <c r="D34" s="1881">
        <f>'Table2(I).A-H'!I67</f>
        <v>2.0229543785275617</v>
      </c>
      <c r="E34" s="1881">
        <f>'Table2(I).A-H'!J67</f>
        <v>4.7886441978119261E-2</v>
      </c>
      <c r="F34" s="2146" t="s">
        <v>2146</v>
      </c>
      <c r="G34" s="2146" t="s">
        <v>2146</v>
      </c>
      <c r="H34" s="2146" t="s">
        <v>2146</v>
      </c>
      <c r="I34" s="2146" t="s">
        <v>2146</v>
      </c>
      <c r="J34" s="2146" t="s">
        <v>2146</v>
      </c>
      <c r="K34" s="2606">
        <v>6.161207203309937</v>
      </c>
      <c r="L34" s="2606">
        <v>15.078320432952427</v>
      </c>
      <c r="M34" s="2606">
        <v>5.883074793441697E-2</v>
      </c>
      <c r="N34" s="2607">
        <v>1774.0107477021475</v>
      </c>
      <c r="O34" s="1882">
        <f t="shared" si="1"/>
        <v>6975.8101183935287</v>
      </c>
    </row>
    <row r="35" spans="2:15" ht="18" customHeight="1" x14ac:dyDescent="0.2">
      <c r="B35" s="2470" t="s">
        <v>2014</v>
      </c>
      <c r="C35" s="2920">
        <f>IF(SUM(C36:C38)=0,"NO",SUM(C36:C38))</f>
        <v>228.05065580499999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185.8332177792193</v>
      </c>
      <c r="N35" s="2048" t="str">
        <f t="shared" ref="N35" si="7">IF(SUM(N36:N38)=0,"NO",SUM(N36:N38))</f>
        <v>NO</v>
      </c>
      <c r="O35" s="2934">
        <f t="shared" si="1"/>
        <v>228.05065580499999</v>
      </c>
    </row>
    <row r="36" spans="2:15" ht="18" customHeight="1" x14ac:dyDescent="0.2">
      <c r="B36" s="1270" t="s">
        <v>466</v>
      </c>
      <c r="C36" s="1878">
        <f>'Table2(I).A-H'!H73</f>
        <v>228.05065580499999</v>
      </c>
      <c r="D36" s="2140" t="str">
        <f>'Table2(I).A-H'!I73</f>
        <v>NO</v>
      </c>
      <c r="E36" s="2140" t="str">
        <f>'Table2(I).A-H'!J73</f>
        <v>NO</v>
      </c>
      <c r="F36" s="628"/>
      <c r="G36" s="628"/>
      <c r="H36" s="2135"/>
      <c r="I36" s="628"/>
      <c r="J36" s="2135"/>
      <c r="K36" s="2147" t="s">
        <v>2147</v>
      </c>
      <c r="L36" s="2147" t="s">
        <v>2147</v>
      </c>
      <c r="M36" s="691" t="s">
        <v>2147</v>
      </c>
      <c r="N36" s="2141" t="s">
        <v>2147</v>
      </c>
      <c r="O36" s="1880">
        <f t="shared" si="1"/>
        <v>228.05065580499999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185.8332177792193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8837.371668775806</v>
      </c>
      <c r="G45" s="2137" t="str">
        <f t="shared" ref="G45:J45" si="9">IF(SUM(G46:G51)=0,"NO",SUM(G46:G51))</f>
        <v>NO</v>
      </c>
      <c r="H45" s="2920" t="str">
        <f t="shared" si="9"/>
        <v>NO</v>
      </c>
      <c r="I45" s="2920" t="str">
        <f t="shared" si="9"/>
        <v>NO</v>
      </c>
      <c r="J45" s="2139" t="str">
        <f t="shared" si="9"/>
        <v>NO</v>
      </c>
      <c r="K45" s="1929"/>
      <c r="L45" s="1929"/>
      <c r="M45" s="1929"/>
      <c r="N45" s="2153"/>
      <c r="O45" s="2941">
        <f t="shared" si="1"/>
        <v>8837.371668775806</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8462.9838296511753</v>
      </c>
      <c r="G46" s="1878" t="s">
        <v>2146</v>
      </c>
      <c r="H46" s="1878" t="s">
        <v>2146</v>
      </c>
      <c r="I46" s="1878" t="s">
        <v>2146</v>
      </c>
      <c r="J46" s="2139" t="str">
        <f t="shared" ref="J46" si="10">IF(SUM(J47:J52)=0,"NO",SUM(J47:J52))</f>
        <v>NO</v>
      </c>
      <c r="K46" s="628"/>
      <c r="L46" s="628"/>
      <c r="M46" s="628"/>
      <c r="N46" s="1838"/>
      <c r="O46" s="1880">
        <f t="shared" si="1"/>
        <v>8462.9838296511753</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70.641113130876164</v>
      </c>
      <c r="G47" s="1878" t="s">
        <v>2146</v>
      </c>
      <c r="H47" s="1878" t="s">
        <v>2146</v>
      </c>
      <c r="I47" s="1878" t="s">
        <v>2146</v>
      </c>
      <c r="J47" s="2139" t="str">
        <f t="shared" ref="J47" si="11">IF(SUM(J48:J53)=0,"NO",SUM(J48:J53))</f>
        <v>NO</v>
      </c>
      <c r="K47" s="628"/>
      <c r="L47" s="628"/>
      <c r="M47" s="628"/>
      <c r="N47" s="1838"/>
      <c r="O47" s="1880">
        <f t="shared" si="1"/>
        <v>70.641113130876164</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72.969348919314001</v>
      </c>
      <c r="G48" s="1878" t="s">
        <v>2146</v>
      </c>
      <c r="H48" s="1878" t="s">
        <v>2146</v>
      </c>
      <c r="I48" s="1878" t="s">
        <v>2146</v>
      </c>
      <c r="J48" s="2139" t="str">
        <f t="shared" ref="J48" si="12">IF(SUM(J49:J54)=0,"NO",SUM(J49:J54))</f>
        <v>NO</v>
      </c>
      <c r="K48" s="628"/>
      <c r="L48" s="628"/>
      <c r="M48" s="628"/>
      <c r="N48" s="1838"/>
      <c r="O48" s="1880">
        <f t="shared" si="1"/>
        <v>72.969348919314001</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135.59134443225327</v>
      </c>
      <c r="G49" s="1878" t="s">
        <v>2146</v>
      </c>
      <c r="H49" s="1878" t="s">
        <v>2146</v>
      </c>
      <c r="I49" s="1878" t="s">
        <v>2146</v>
      </c>
      <c r="J49" s="2139" t="str">
        <f t="shared" ref="J49" si="13">IF(SUM(J50:J55)=0,"NO",SUM(J50:J55))</f>
        <v>NO</v>
      </c>
      <c r="K49" s="628"/>
      <c r="L49" s="628"/>
      <c r="M49" s="628"/>
      <c r="N49" s="1838"/>
      <c r="O49" s="1880">
        <f t="shared" si="1"/>
        <v>135.59134443225327</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95.186032642186618</v>
      </c>
      <c r="G50" s="1878" t="s">
        <v>2146</v>
      </c>
      <c r="H50" s="1878" t="s">
        <v>2146</v>
      </c>
      <c r="I50" s="1878" t="s">
        <v>2146</v>
      </c>
      <c r="J50" s="2139" t="str">
        <f t="shared" ref="J50" si="14">IF(SUM(J51:J56)=0,"NO",SUM(J51:J56))</f>
        <v>NO</v>
      </c>
      <c r="K50" s="628"/>
      <c r="L50" s="628"/>
      <c r="M50" s="628"/>
      <c r="N50" s="1838"/>
      <c r="O50" s="1880">
        <f t="shared" si="1"/>
        <v>95.186032642186618</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4.6330322141972143E-3</v>
      </c>
      <c r="J52" s="2139" t="str">
        <f t="shared" si="16"/>
        <v>NO</v>
      </c>
      <c r="K52" s="2139" t="str">
        <f t="shared" si="16"/>
        <v>NO</v>
      </c>
      <c r="L52" s="2139" t="str">
        <f t="shared" si="16"/>
        <v>NO</v>
      </c>
      <c r="M52" s="2139" t="str">
        <f t="shared" si="16"/>
        <v>NO</v>
      </c>
      <c r="N52" s="2048" t="str">
        <f t="shared" si="16"/>
        <v>NO</v>
      </c>
      <c r="O52" s="2934">
        <f t="shared" si="1"/>
        <v>108.87625703363453</v>
      </c>
    </row>
    <row r="53" spans="2:15" ht="18" customHeight="1" x14ac:dyDescent="0.2">
      <c r="B53" s="1270" t="s">
        <v>481</v>
      </c>
      <c r="C53" s="2135"/>
      <c r="D53" s="2135"/>
      <c r="E53" s="2135"/>
      <c r="F53" s="2920" t="s">
        <v>2146</v>
      </c>
      <c r="G53" s="2920" t="s">
        <v>2146</v>
      </c>
      <c r="H53" s="2920" t="s">
        <v>2146</v>
      </c>
      <c r="I53" s="2920">
        <f>SUM('Table2(II).B-Hs2'!J163:M163)/1000</f>
        <v>3.8205944128158532E-3</v>
      </c>
      <c r="J53" s="2920" t="s">
        <v>2146</v>
      </c>
      <c r="K53" s="2135"/>
      <c r="L53" s="2135"/>
      <c r="M53" s="2135"/>
      <c r="N53" s="2149"/>
      <c r="O53" s="2934">
        <f t="shared" si="1"/>
        <v>89.783968701172554</v>
      </c>
    </row>
    <row r="54" spans="2:15" ht="18" customHeight="1" x14ac:dyDescent="0.2">
      <c r="B54" s="1270" t="s">
        <v>482</v>
      </c>
      <c r="C54" s="2135"/>
      <c r="D54" s="2135"/>
      <c r="E54" s="2135"/>
      <c r="F54" s="2135"/>
      <c r="G54" s="2920" t="s">
        <v>2146</v>
      </c>
      <c r="H54" s="3025"/>
      <c r="I54" s="2920">
        <f>SUM('Table2(II).B-Hs2'!J165:M165)/1000</f>
        <v>8.1243780138136139E-4</v>
      </c>
      <c r="J54" s="2135"/>
      <c r="K54" s="2135"/>
      <c r="L54" s="2135"/>
      <c r="M54" s="2135"/>
      <c r="N54" s="2149"/>
      <c r="O54" s="2934">
        <f t="shared" si="1"/>
        <v>19.092288332461994</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201.69877278028781</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48.256794834168375</v>
      </c>
      <c r="N57" s="2073" t="str">
        <f>N58</f>
        <v>NA</v>
      </c>
      <c r="O57" s="2941">
        <f t="shared" si="1"/>
        <v>201.69877278028781</v>
      </c>
    </row>
    <row r="58" spans="2:15" ht="18" customHeight="1" thickBot="1" x14ac:dyDescent="0.25">
      <c r="B58" s="2596" t="s">
        <v>2180</v>
      </c>
      <c r="C58" s="2500">
        <f>'Table2(I).A-H'!H97</f>
        <v>201.69877278028781</v>
      </c>
      <c r="D58" s="2500" t="str">
        <f>'Table2(I).A-H'!I97</f>
        <v>NO</v>
      </c>
      <c r="E58" s="2500" t="str">
        <f>'Table2(I).A-H'!J97</f>
        <v>NO</v>
      </c>
      <c r="F58" s="2500" t="s">
        <v>2146</v>
      </c>
      <c r="G58" s="2500" t="s">
        <v>2146</v>
      </c>
      <c r="H58" s="2500" t="s">
        <v>2146</v>
      </c>
      <c r="I58" s="2500" t="s">
        <v>2146</v>
      </c>
      <c r="J58" s="2500" t="s">
        <v>2146</v>
      </c>
      <c r="K58" s="2912" t="s">
        <v>2147</v>
      </c>
      <c r="L58" s="2912" t="s">
        <v>2147</v>
      </c>
      <c r="M58" s="2912">
        <v>48.256794834168375</v>
      </c>
      <c r="N58" s="2922" t="s">
        <v>2147</v>
      </c>
      <c r="O58" s="2925">
        <f t="shared" si="1"/>
        <v>201.69877278028781</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35.550506588870356</v>
      </c>
      <c r="D10" s="2044">
        <f t="shared" ref="D10:X10" si="0">IF(SUM(D11,D16,D20,D26,D33,D37)=0,"NO",SUM(D11,D16,D20,D26,D33,D37))</f>
        <v>336.99002552044709</v>
      </c>
      <c r="E10" s="2044" t="str">
        <f t="shared" si="0"/>
        <v>NO</v>
      </c>
      <c r="F10" s="2044" t="str">
        <f t="shared" si="0"/>
        <v>NO</v>
      </c>
      <c r="G10" s="2044">
        <f t="shared" si="0"/>
        <v>798.76903205124347</v>
      </c>
      <c r="H10" s="2044">
        <f t="shared" si="0"/>
        <v>1.7036541165022521</v>
      </c>
      <c r="I10" s="2044">
        <f t="shared" si="0"/>
        <v>2110.9418851703326</v>
      </c>
      <c r="J10" s="2044" t="str">
        <f t="shared" si="0"/>
        <v>NO</v>
      </c>
      <c r="K10" s="2044">
        <f t="shared" si="0"/>
        <v>546.5063694705126</v>
      </c>
      <c r="L10" s="2044" t="str">
        <f t="shared" si="0"/>
        <v>NO</v>
      </c>
      <c r="M10" s="2044">
        <f t="shared" si="0"/>
        <v>78.864639059538476</v>
      </c>
      <c r="N10" s="2044" t="str">
        <f t="shared" si="0"/>
        <v>NO</v>
      </c>
      <c r="O10" s="2044">
        <f t="shared" si="0"/>
        <v>32.883673377806424</v>
      </c>
      <c r="P10" s="2044" t="str">
        <f t="shared" si="0"/>
        <v>NO</v>
      </c>
      <c r="Q10" s="2044" t="str">
        <f t="shared" si="0"/>
        <v>NO</v>
      </c>
      <c r="R10" s="2044">
        <f t="shared" si="0"/>
        <v>2.7056684195564991</v>
      </c>
      <c r="S10" s="2044" t="str">
        <f t="shared" si="0"/>
        <v>NO</v>
      </c>
      <c r="T10" s="2044">
        <f t="shared" si="0"/>
        <v>85.040698434488746</v>
      </c>
      <c r="U10" s="2044">
        <f t="shared" si="0"/>
        <v>63.589500844986361</v>
      </c>
      <c r="V10" s="2045" t="str">
        <f t="shared" si="0"/>
        <v>NO</v>
      </c>
      <c r="W10" s="2046"/>
      <c r="X10" s="2044">
        <f t="shared" si="0"/>
        <v>22.08604974371648</v>
      </c>
      <c r="Y10" s="2044">
        <f t="shared" ref="Y10" si="1">IF(SUM(Y11,Y16,Y20,Y26,Y33,Y37)=0,"NO",SUM(Y11,Y16,Y20,Y26,Y33,Y37))</f>
        <v>2.4032854912033965</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4.6330322141972147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22.08604974371648</v>
      </c>
      <c r="Y16" s="2050">
        <f t="shared" ref="Y16" si="35">IF(SUM(Y17:Y19)=0,"NO",SUM(Y17:Y19))</f>
        <v>2.4032854912033965</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22.08604974371648</v>
      </c>
      <c r="Y17" s="2050">
        <f>'Table2(II).B-Hs1'!G26</f>
        <v>2.4032854912033965</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35.550506588870356</v>
      </c>
      <c r="D26" s="2069">
        <f t="shared" ref="D26:AK26" si="58">IF(SUM(D27:D32)=0,"NO",SUM(D27:D32))</f>
        <v>336.99002552044709</v>
      </c>
      <c r="E26" s="2069" t="str">
        <f t="shared" si="58"/>
        <v>NO</v>
      </c>
      <c r="F26" s="2069" t="str">
        <f t="shared" si="58"/>
        <v>NO</v>
      </c>
      <c r="G26" s="2069">
        <f t="shared" si="58"/>
        <v>798.76903205124347</v>
      </c>
      <c r="H26" s="2069">
        <f t="shared" si="58"/>
        <v>1.7036541165022521</v>
      </c>
      <c r="I26" s="2069">
        <f t="shared" si="58"/>
        <v>2110.9418851703326</v>
      </c>
      <c r="J26" s="2069" t="str">
        <f t="shared" si="58"/>
        <v>NO</v>
      </c>
      <c r="K26" s="2069">
        <f t="shared" si="58"/>
        <v>546.5063694705126</v>
      </c>
      <c r="L26" s="2069" t="str">
        <f t="shared" si="58"/>
        <v>NO</v>
      </c>
      <c r="M26" s="2069">
        <f t="shared" si="58"/>
        <v>78.864639059538476</v>
      </c>
      <c r="N26" s="2069" t="str">
        <f t="shared" si="58"/>
        <v>NO</v>
      </c>
      <c r="O26" s="2069">
        <f t="shared" si="58"/>
        <v>32.883673377806424</v>
      </c>
      <c r="P26" s="2069" t="str">
        <f t="shared" si="58"/>
        <v>NO</v>
      </c>
      <c r="Q26" s="2069" t="str">
        <f t="shared" si="58"/>
        <v>NO</v>
      </c>
      <c r="R26" s="2069">
        <f t="shared" si="58"/>
        <v>2.7056684195564991</v>
      </c>
      <c r="S26" s="2069" t="str">
        <f t="shared" si="58"/>
        <v>NO</v>
      </c>
      <c r="T26" s="2069">
        <f t="shared" si="58"/>
        <v>85.040698434488746</v>
      </c>
      <c r="U26" s="2069">
        <f t="shared" si="58"/>
        <v>63.589500844986361</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34.044439192314108</v>
      </c>
      <c r="D27" s="2044">
        <f>IF(SUM('Table2(II).B-Hs2'!J14:M14,'Table2(II).B-Hs2'!J27:M27,'Table2(II).B-Hs2'!J40:M40,'Table2(II).B-Hs2'!J53:M53,'Table2(II).B-Hs2'!J66:M66,'Table2(II).B-Hs2'!J79:M79)=0,"NO",SUM('Table2(II).B-Hs2'!J14:M14,'Table2(II).B-Hs2'!J27:M27,'Table2(II).B-Hs2'!J40:M40,'Table2(II).B-Hs2'!J53:M53,'Table2(II).B-Hs2'!J66:M66,'Table2(II).B-Hs2'!J79:M79))</f>
        <v>322.71372571210924</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764.9298519106211</v>
      </c>
      <c r="H27" s="2044">
        <f>IF(SUM('Table2(II).B-Hs2'!J17:M17,'Table2(II).B-Hs2'!J30:M30,'Table2(II).B-Hs2'!J43:M43,'Table2(II).B-Hs2'!J56:M56,'Table2(II).B-Hs2'!J69:M69,'Table2(II).B-Hs2'!J82:M82)=0,"NO",SUM('Table2(II).B-Hs2'!J17:M17,'Table2(II).B-Hs2'!J30:M30,'Table2(II).B-Hs2'!J43:M43,'Table2(II).B-Hs2'!J56:M56,'Table2(II).B-Hs2'!J69:M69,'Table2(II).B-Hs2'!J82:M82))</f>
        <v>1.6314802386572553</v>
      </c>
      <c r="I27" s="2044">
        <f>IF(SUM('Table2(II).B-Hs2'!J18:M18,'Table2(II).B-Hs2'!J31:M31,'Table2(II).B-Hs2'!J44:M44,'Table2(II).B-Hs2'!J57:M57,'Table2(II).B-Hs2'!J70:M70,'Table2(II).B-Hs2'!J83:M83)=0,"NO",SUM('Table2(II).B-Hs2'!J18:M18,'Table2(II).B-Hs2'!J31:M31,'Table2(II).B-Hs2'!J44:M44,'Table2(II).B-Hs2'!J57:M57,'Table2(II).B-Hs2'!J70:M70,'Table2(II).B-Hs2'!J83:M83))</f>
        <v>2021.5136025850341</v>
      </c>
      <c r="J27" s="2044" t="s">
        <v>2146</v>
      </c>
      <c r="K27" s="2044">
        <f>IF(SUM('Table2(II).B-Hs2'!J19:M19,'Table2(II).B-Hs2'!J32:M32,'Table2(II).B-Hs2'!J45:M45,'Table2(II).B-Hs2'!J58:M58,'Table2(II).B-Hs2'!J71:M71,'Table2(II).B-Hs2'!J84:M84)=0,"NO",SUM('Table2(II).B-Hs2'!J19:M19,'Table2(II).B-Hs2'!J32:M32,'Table2(II).B-Hs2'!J45:M45,'Table2(II).B-Hs2'!J58:M58,'Table2(II).B-Hs2'!J71:M71,'Table2(II).B-Hs2'!J84:M84))</f>
        <v>523.35408546543636</v>
      </c>
      <c r="L27" s="2044" t="s">
        <v>2146</v>
      </c>
      <c r="M27" s="2044">
        <f>IF(SUM('Table2(II).B-Hs2'!J20:M20,'Table2(II).B-Hs2'!J33:M33,'Table2(II).B-Hs2'!J46:M46,'Table2(II).B-Hs2'!J59:M59,'Table2(II).B-Hs2'!J72:M72,'Table2(II).B-Hs2'!J85:M85)=0,"NO",SUM('Table2(II).B-Hs2'!J20:M20,'Table2(II).B-Hs2'!J33:M33,'Table2(II).B-Hs2'!J46:M46,'Table2(II).B-Hs2'!J59:M59,'Table2(II).B-Hs2'!J72:M72,'Table2(II).B-Hs2'!J85:M85))</f>
        <v>75.523604767050173</v>
      </c>
      <c r="N27" s="2044" t="s">
        <v>2146</v>
      </c>
      <c r="O27" s="2044">
        <f>IF(SUM('Table2(II).B-Hs2'!J21:M21,'Table2(II).B-Hs2'!J34:M34,'Table2(II).B-Hs2'!J47:M47,'Table2(II).B-Hs2'!J60:M60,'Table2(II).B-Hs2'!J73:M73,'Table2(II).B-Hs2'!J86:M86)=0,"NO",SUM('Table2(II).B-Hs2'!J21:M21,'Table2(II).B-Hs2'!J34:M34,'Table2(II).B-Hs2'!J47:M47,'Table2(II).B-Hs2'!J60:M60,'Table2(II).B-Hs2'!J73:M73,'Table2(II).B-Hs2'!J86:M86))</f>
        <v>31.490584133648554</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2.5910450461201942</v>
      </c>
      <c r="S27" s="2044" t="s">
        <v>2146</v>
      </c>
      <c r="T27" s="2044">
        <f>IF(SUM('Table2(II).B-Hs2'!J23:M23,'Table2(II).B-Hs2'!J36:M36,'Table2(II).B-Hs2'!J49:M49,'Table2(II).B-Hs2'!J62:M62,'Table2(II).B-Hs2'!J75:M75,'Table2(II).B-Hs2'!J88:M88)=0,"NO",SUM('Table2(II).B-Hs2'!J23:M23,'Table2(II).B-Hs2'!J36:M36,'Table2(II).B-Hs2'!J49:M49,'Table2(II).B-Hs2'!J62:M62,'Table2(II).B-Hs2'!J75:M75,'Table2(II).B-Hs2'!J88:M88))</f>
        <v>81.438020566245598</v>
      </c>
      <c r="U27" s="2044">
        <f>IF(SUM('Table2(II).B-Hs2'!J24:M24,'Table2(II).B-Hs2'!J37:M37,'Table2(II).B-Hs2'!J50:M50,'Table2(II).B-Hs2'!J63:M63,'Table2(II).B-Hs2'!J76:M76,'Table2(II).B-Hs2'!J89:M89)=0,"NO",SUM('Table2(II).B-Hs2'!J24:M24,'Table2(II).B-Hs2'!J37:M37,'Table2(II).B-Hs2'!J50:M50,'Table2(II).B-Hs2'!J63:M63,'Table2(II).B-Hs2'!J76:M76,'Table2(II).B-Hs2'!J89:M89))</f>
        <v>60.895584972184089</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0.28417129571197841</v>
      </c>
      <c r="D28" s="2044">
        <f>IF(SUM('Table2(II).B-Hs2'!J93:M93,'Table2(II).B-Hs2'!J106:M106)=0,"NO",SUM('Table2(II).B-Hs2'!J93:M93,'Table2(II).B-Hs2'!J106:M106))</f>
        <v>2.6937138562221832</v>
      </c>
      <c r="E28" s="2044" t="s">
        <v>2146</v>
      </c>
      <c r="F28" s="2044" t="str">
        <f>IF(SUM('Table2(II).B-Hs2'!J94:M94,'Table2(II).B-Hs2'!J107:M107)=0,"NO",SUM('Table2(II).B-Hs2'!J94:M94,'Table2(II).B-Hs2'!J107:M107))</f>
        <v>NO</v>
      </c>
      <c r="G28" s="2044">
        <f>IF(SUM('Table2(II).B-Hs2'!J95:M95,'Table2(II).B-Hs2'!J108:M108)=0,"NO",SUM('Table2(II).B-Hs2'!J95:M95,'Table2(II).B-Hs2'!J108:M108))</f>
        <v>6.3849225395754701</v>
      </c>
      <c r="H28" s="2044">
        <f>IF(SUM('Table2(II).B-Hs2'!J96:M96,'Table2(II).B-Hs2'!J109:M109)=0,"NO",SUM('Table2(II).B-Hs2'!J96:M96,'Table2(II).B-Hs2'!J109:M109))</f>
        <v>1.3618078733174933E-2</v>
      </c>
      <c r="I28" s="2044">
        <f>IF(SUM('Table2(II).B-Hs2'!J97:M97,'Table2(II).B-Hs2'!J110:M110)=0,"NO",SUM('Table2(II).B-Hs2'!J97:M97,'Table2(II).B-Hs2'!J110:M110))</f>
        <v>16.87371427976608</v>
      </c>
      <c r="J28" s="2044" t="s">
        <v>2146</v>
      </c>
      <c r="K28" s="2044">
        <f>IF(SUM('Table2(II).B-Hs2'!J98:M98,'Table2(II).B-Hs2'!J111:M111)=0,"NO",SUM('Table2(II).B-Hs2'!J98:M98,'Table2(II).B-Hs2'!J111:M111))</f>
        <v>4.3684728581590537</v>
      </c>
      <c r="L28" s="2044" t="s">
        <v>2146</v>
      </c>
      <c r="M28" s="2044">
        <f>IF(SUM('Table2(II).B-Hs2'!J99:M99,'Table2(II).B-Hs2'!J112:M112)=0,"NO",SUM('Table2(II).B-Hs2'!J99:M99,'Table2(II).B-Hs2'!J112:M112))</f>
        <v>0.63040076830923941</v>
      </c>
      <c r="N28" s="2044" t="s">
        <v>2146</v>
      </c>
      <c r="O28" s="2044">
        <f>IF(SUM('Table2(II).B-Hs2'!J100:M100,'Table2(II).B-Hs2'!J113:M113)=0,"NO",SUM('Table2(II).B-Hs2'!J100:M100,'Table2(II).B-Hs2'!J113:M113))</f>
        <v>0.26285409036804591</v>
      </c>
      <c r="P28" s="2044" t="s">
        <v>2146</v>
      </c>
      <c r="Q28" s="2044" t="s">
        <v>2146</v>
      </c>
      <c r="R28" s="2044">
        <f>IF(SUM('Table2(II).B-Hs2'!J101:M101,'Table2(II).B-Hs2'!J114:M114)=0,"NO",SUM('Table2(II).B-Hs2'!J101:M101,'Table2(II).B-Hs2'!J114:M114))</f>
        <v>2.1627632749206985E-2</v>
      </c>
      <c r="S28" s="2044" t="s">
        <v>2146</v>
      </c>
      <c r="T28" s="2044">
        <f>IF(SUM('Table2(II).B-Hs2'!J102:M102,'Table2(II).B-Hs2'!J115:M115)=0,"NO",SUM('Table2(II).B-Hs2'!J102:M102,'Table2(II).B-Hs2'!J115:M115))</f>
        <v>0.67976880728742861</v>
      </c>
      <c r="U28" s="2044">
        <f>IF(SUM('Table2(II).B-Hs2'!J103:M103,'Table2(II).B-Hs2'!J116:M116)=0,"NO",SUM('Table2(II).B-Hs2'!J103:M103,'Table2(II).B-Hs2'!J116:M116))</f>
        <v>0.50829967228807138</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0.29353719824946539</v>
      </c>
      <c r="D29" s="2044">
        <f>IF(SUM('Table2(II).B-Hs2'!J119:M119)=0,"NO",SUM('Table2(II).B-Hs2'!J119:M119))</f>
        <v>2.7824950308937653</v>
      </c>
      <c r="E29" s="2044" t="s">
        <v>2146</v>
      </c>
      <c r="F29" s="2044" t="str">
        <f>IF(SUM('Table2(II).B-Hs2'!J120:M120)=0,"NO",SUM('Table2(II).B-Hs2'!J120:M120))</f>
        <v>NO</v>
      </c>
      <c r="G29" s="2044">
        <f>IF(SUM('Table2(II).B-Hs2'!J121:M121)=0,"NO",SUM('Table2(II).B-Hs2'!J121:M121))</f>
        <v>6.5953609727227738</v>
      </c>
      <c r="H29" s="2044">
        <f>IF(SUM('Table2(II).B-Hs2'!J122:M122)=0,"NO",SUM('Table2(II).B-Hs2'!J122:M122))</f>
        <v>1.4066912236372995E-2</v>
      </c>
      <c r="I29" s="2044">
        <f>IF(SUM('Table2(II).B-Hs2'!J123:M123)=0,"NO",SUM('Table2(II).B-Hs2'!J123:M123))</f>
        <v>17.429849138474225</v>
      </c>
      <c r="J29" s="2044" t="s">
        <v>2146</v>
      </c>
      <c r="K29" s="2044">
        <f>IF(SUM('Table2(II).B-Hs2'!J124:M124)=0,"NO",SUM('Table2(II).B-Hs2'!J124:M124))</f>
        <v>4.5124518301543244</v>
      </c>
      <c r="L29" s="2044" t="s">
        <v>2146</v>
      </c>
      <c r="M29" s="2044">
        <f>IF(SUM('Table2(II).B-Hs2'!J125:M125)=0,"NO",SUM('Table2(II).B-Hs2'!J125:M125))</f>
        <v>0.6511779271730449</v>
      </c>
      <c r="N29" s="2044" t="s">
        <v>2146</v>
      </c>
      <c r="O29" s="2044">
        <f>IF(SUM('Table2(II).B-Hs2'!J126:M126)=0,"NO",SUM('Table2(II).B-Hs2'!J126:M126))</f>
        <v>0.27151740657596485</v>
      </c>
      <c r="P29" s="2044" t="s">
        <v>2146</v>
      </c>
      <c r="Q29" s="2044" t="s">
        <v>2146</v>
      </c>
      <c r="R29" s="2044">
        <f>IF(SUM('Table2(II).B-Hs2'!J127:M127)=0,"NO",SUM('Table2(II).B-Hs2'!J127:M127))</f>
        <v>2.2340450347262144E-2</v>
      </c>
      <c r="S29" s="2044" t="s">
        <v>2146</v>
      </c>
      <c r="T29" s="2044">
        <f>IF(SUM('Table2(II).B-Hs2'!J128:M128)=0,"NO",SUM('Table2(II).B-Hs2'!J128:M128))</f>
        <v>0.70217307011463093</v>
      </c>
      <c r="U29" s="2044">
        <f>IF(SUM('Table2(II).B-Hs2'!J129:M129)=0,"NO",SUM('Table2(II).B-Hs2'!J129:M129))</f>
        <v>0.52505254375089427</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0.54544961605087128</v>
      </c>
      <c r="D30" s="2044">
        <f>IF(SUM('Table2(II).B-Hs2'!J133:M133)=0,"NO",SUM('Table2(II).B-Hs2'!J133:M133))</f>
        <v>5.1704208370028137</v>
      </c>
      <c r="E30" s="2044" t="s">
        <v>2146</v>
      </c>
      <c r="F30" s="2044" t="str">
        <f>IF(SUM('Table2(II).B-Hs2'!J134:M134)=0,"NO",SUM('Table2(II).B-Hs2'!J134:M134))</f>
        <v>NO</v>
      </c>
      <c r="G30" s="2044">
        <f>IF(SUM('Table2(II).B-Hs2'!J135:M135)=0,"NO",SUM('Table2(II).B-Hs2'!J135:M135))</f>
        <v>12.255472668343797</v>
      </c>
      <c r="H30" s="2044">
        <f>IF(SUM('Table2(II).B-Hs2'!J136:M136)=0,"NO",SUM('Table2(II).B-Hs2'!J136:M136))</f>
        <v>2.6139078536241117E-2</v>
      </c>
      <c r="I30" s="2044">
        <f>IF(SUM('Table2(II).B-Hs2'!J137:M137)=0,"NO",SUM('Table2(II).B-Hs2'!J137:M137))</f>
        <v>32.388074074092891</v>
      </c>
      <c r="J30" s="2044" t="s">
        <v>2146</v>
      </c>
      <c r="K30" s="2044">
        <f>IF(SUM('Table2(II).B-Hs2'!J138:M138)=0,"NO",SUM('Table2(II).B-Hs2'!J138:M138))</f>
        <v>8.3850194554012027</v>
      </c>
      <c r="L30" s="2044" t="s">
        <v>2146</v>
      </c>
      <c r="M30" s="2044">
        <f>IF(SUM('Table2(II).B-Hs2'!J139:M139)=0,"NO",SUM('Table2(II).B-Hs2'!J139:M139))</f>
        <v>1.2100161494880879</v>
      </c>
      <c r="N30" s="2044" t="s">
        <v>2146</v>
      </c>
      <c r="O30" s="2044">
        <f>IF(SUM('Table2(II).B-Hs2'!J140:M140)=0,"NO",SUM('Table2(II).B-Hs2'!J140:M140))</f>
        <v>0.50453252961188566</v>
      </c>
      <c r="P30" s="2044" t="s">
        <v>2146</v>
      </c>
      <c r="Q30" s="2044" t="s">
        <v>2146</v>
      </c>
      <c r="R30" s="2044">
        <f>IF(SUM('Table2(II).B-Hs2'!J141:M141)=0,"NO",SUM('Table2(II).B-Hs2'!J141:M141))</f>
        <v>4.1512933069428735E-2</v>
      </c>
      <c r="S30" s="2044" t="s">
        <v>2146</v>
      </c>
      <c r="T30" s="2044">
        <f>IF(SUM('Table2(II).B-Hs2'!J142:M142)=0,"NO",SUM('Table2(II).B-Hs2'!J142:M142))</f>
        <v>1.3047751146339919</v>
      </c>
      <c r="U30" s="2044">
        <f>IF(SUM('Table2(II).B-Hs2'!J143:M143)=0,"NO",SUM('Table2(II).B-Hs2'!J143:M143))</f>
        <v>0.97565048008691413</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0.38290928654392997</v>
      </c>
      <c r="D31" s="2044">
        <f>IF(SUM('Table2(II).B-Hs2'!J148:M148)=0,"NO",SUM('Table2(II).B-Hs2'!J148:M148))</f>
        <v>3.6296700842190552</v>
      </c>
      <c r="E31" s="2044" t="s">
        <v>2146</v>
      </c>
      <c r="F31" s="2044" t="str">
        <f>IF(SUM('Table2(II).B-Hs2'!J149:M149)=0,"NO",SUM('Table2(II).B-Hs2'!J149:M149))</f>
        <v>NO</v>
      </c>
      <c r="G31" s="2044">
        <f>IF(SUM('Table2(II).B-Hs2'!J150:M150)=0,"NO",SUM('Table2(II).B-Hs2'!J150:M150))</f>
        <v>8.6034239599803684</v>
      </c>
      <c r="H31" s="2044">
        <f>IF(SUM('Table2(II).B-Hs2'!J151:M151)=0,"NO",SUM('Table2(II).B-Hs2'!J151:M151))</f>
        <v>1.834980833920756E-2</v>
      </c>
      <c r="I31" s="2044">
        <f>IF(SUM('Table2(II).B-Hs2'!J152:M152)=0,"NO",SUM('Table2(II).B-Hs2'!J152:M152))</f>
        <v>22.736645092965333</v>
      </c>
      <c r="J31" s="2044" t="s">
        <v>2146</v>
      </c>
      <c r="K31" s="2044">
        <f>IF(SUM('Table2(II).B-Hs2'!J153:M153)=0,"NO",SUM('Table2(II).B-Hs2'!J153:M153))</f>
        <v>5.8863398613616447</v>
      </c>
      <c r="L31" s="2044" t="s">
        <v>2146</v>
      </c>
      <c r="M31" s="2044">
        <f>IF(SUM('Table2(II).B-Hs2'!J154:M154)=0,"NO",SUM('Table2(II).B-Hs2'!J154:M154))</f>
        <v>0.84943944751792622</v>
      </c>
      <c r="N31" s="2044" t="s">
        <v>2146</v>
      </c>
      <c r="O31" s="2044">
        <f>IF(SUM('Table2(II).B-Hs2'!J155:M155)=0,"NO",SUM('Table2(II).B-Hs2'!J155:M155))</f>
        <v>0.35418521760197474</v>
      </c>
      <c r="P31" s="2044" t="s">
        <v>2146</v>
      </c>
      <c r="Q31" s="2044" t="s">
        <v>2146</v>
      </c>
      <c r="R31" s="2044">
        <f>IF(SUM('Table2(II).B-Hs2'!J156:M156)=0,"NO",SUM('Table2(II).B-Hs2'!J156:M156))</f>
        <v>2.9142357270407114E-2</v>
      </c>
      <c r="S31" s="2044" t="s">
        <v>2146</v>
      </c>
      <c r="T31" s="2044">
        <f>IF(SUM('Table2(II).B-Hs2'!J157:M157)=0,"NO",SUM('Table2(II).B-Hs2'!J157:M157))</f>
        <v>0.91596087620708921</v>
      </c>
      <c r="U31" s="2044">
        <f>IF(SUM('Table2(II).B-Hs2'!J158:M158)=0,"NO",SUM('Table2(II).B-Hs2'!J158:M158))</f>
        <v>0.68491317667639673</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4.6330322141972147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3.8205944128158533</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0.81243780138136135</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440.8262817019924</v>
      </c>
      <c r="D39" s="4196">
        <f t="shared" ref="D39:AK39" si="72">IF(SUM(D40:D45)=0,"NO",SUM(D40:D45))</f>
        <v>228.14224727734268</v>
      </c>
      <c r="E39" s="4196" t="str">
        <f t="shared" si="72"/>
        <v>NO</v>
      </c>
      <c r="F39" s="4196" t="str">
        <f t="shared" si="72"/>
        <v>NO</v>
      </c>
      <c r="G39" s="4196">
        <f t="shared" si="72"/>
        <v>2532.0978316024416</v>
      </c>
      <c r="H39" s="4196">
        <f t="shared" si="72"/>
        <v>1.9080926104825224</v>
      </c>
      <c r="I39" s="4196">
        <f t="shared" si="72"/>
        <v>2744.2244507214323</v>
      </c>
      <c r="J39" s="4196" t="str">
        <f t="shared" si="72"/>
        <v>NO</v>
      </c>
      <c r="K39" s="4196">
        <f t="shared" si="72"/>
        <v>2623.2305734584606</v>
      </c>
      <c r="L39" s="4196" t="str">
        <f t="shared" si="72"/>
        <v>NO</v>
      </c>
      <c r="M39" s="4196">
        <f t="shared" si="72"/>
        <v>10.88332019021631</v>
      </c>
      <c r="N39" s="4196" t="str">
        <f t="shared" si="72"/>
        <v>NO</v>
      </c>
      <c r="O39" s="4196">
        <f t="shared" si="72"/>
        <v>110.16030581565151</v>
      </c>
      <c r="P39" s="4196" t="str">
        <f t="shared" si="72"/>
        <v>NO</v>
      </c>
      <c r="Q39" s="4196" t="str">
        <f t="shared" si="72"/>
        <v>NO</v>
      </c>
      <c r="R39" s="4196">
        <f t="shared" si="72"/>
        <v>21.807687461625381</v>
      </c>
      <c r="S39" s="4196" t="str">
        <f t="shared" si="72"/>
        <v>NO</v>
      </c>
      <c r="T39" s="4196">
        <f t="shared" si="72"/>
        <v>72.964919256791347</v>
      </c>
      <c r="U39" s="4196">
        <f t="shared" si="72"/>
        <v>51.125958679369035</v>
      </c>
      <c r="V39" s="4196" t="str">
        <f t="shared" si="72"/>
        <v>NO</v>
      </c>
      <c r="W39" s="4196">
        <f t="shared" si="72"/>
        <v>8837.371668775806</v>
      </c>
      <c r="X39" s="4196">
        <f t="shared" si="72"/>
        <v>146.43050980084027</v>
      </c>
      <c r="Y39" s="4196">
        <f t="shared" si="72"/>
        <v>26.676468952357698</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173.10697875319798</v>
      </c>
      <c r="AI39" s="4197" t="str">
        <f t="shared" si="72"/>
        <v>NO</v>
      </c>
      <c r="AJ39" s="4197">
        <f t="shared" si="72"/>
        <v>108.87625703363454</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146.43050980084027</v>
      </c>
      <c r="Y41" s="4199">
        <f>IF(SUM(Y16)=0,"NO",Y16*11100/1000)</f>
        <v>26.676468952357698</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173.10697875319798</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440.8262817019924</v>
      </c>
      <c r="D43" s="4199">
        <f>IF(SUM(D26)=0,"NO",D26*677/1000)</f>
        <v>228.14224727734268</v>
      </c>
      <c r="E43" s="4199" t="str">
        <f>IF(SUM(E26)=0,"NO",E26*116/1000)</f>
        <v>NO</v>
      </c>
      <c r="F43" s="4199" t="str">
        <f>IF(SUM(F26)=0,"NO",F26*1650/1000)</f>
        <v>NO</v>
      </c>
      <c r="G43" s="4199">
        <f>IF(SUM(G26)=0,"NO",G26*3170/1000)</f>
        <v>2532.0978316024416</v>
      </c>
      <c r="H43" s="4199">
        <f>IF(SUM(H26)=0,"NO",H26*1120/1000)</f>
        <v>1.9080926104825224</v>
      </c>
      <c r="I43" s="4199">
        <f>IF(SUM(I26)=0,"NO",I26*1300/1000)</f>
        <v>2744.2244507214323</v>
      </c>
      <c r="J43" s="4199" t="str">
        <f>IF(SUM(J26)=0,"NO",J26*328/1000)</f>
        <v>NO</v>
      </c>
      <c r="K43" s="4199">
        <f>IF(SUM(K26)=0,"NO",K26*4800/1000)</f>
        <v>2623.2305734584606</v>
      </c>
      <c r="L43" s="4199" t="str">
        <f>IF(SUM(L26)=0,"NO",L26*16/1000)</f>
        <v>NO</v>
      </c>
      <c r="M43" s="4199">
        <f>IF(SUM(M26)=0,"NO",M26*138/1000)</f>
        <v>10.88332019021631</v>
      </c>
      <c r="N43" s="4199" t="str">
        <f>IF(SUM(N26)=0,"NO",N26*4/1000)</f>
        <v>NO</v>
      </c>
      <c r="O43" s="4199">
        <f>IF(SUM(O26)=0,"NO",O26*3350/1000)</f>
        <v>110.16030581565151</v>
      </c>
      <c r="P43" s="4199" t="str">
        <f>IF(SUM(P26)=0,"NO",P26*1210/1000)</f>
        <v>NO</v>
      </c>
      <c r="Q43" s="4199" t="str">
        <f>IF(SUM(Q26)=0,"NO",Q26*1330/1000)</f>
        <v>NO</v>
      </c>
      <c r="R43" s="4199">
        <f>IF(SUM(R26)=0,"NO",R26*8060/1000)</f>
        <v>21.807687461625381</v>
      </c>
      <c r="S43" s="4199" t="str">
        <f>IF(SUM(S26)=0,"NO",S26*716/1000)</f>
        <v>NO</v>
      </c>
      <c r="T43" s="4199">
        <f>IF(SUM(T26)=0,"NO",T26*858/1000)</f>
        <v>72.964919256791347</v>
      </c>
      <c r="U43" s="4199">
        <f>IF(SUM(U26)=0,"NO",U26*804/1000)</f>
        <v>51.125958679369035</v>
      </c>
      <c r="V43" s="4199" t="str">
        <f>IF(SUM(V26)=0,"NO",V26*1/1000)</f>
        <v>NO</v>
      </c>
      <c r="W43" s="4199">
        <f t="shared" si="73"/>
        <v>8837.371668775806</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108.87625703363454</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6004.4700119044592</v>
      </c>
      <c r="I10" s="628"/>
      <c r="J10" s="628"/>
      <c r="K10" s="3192" t="str">
        <f>IF(SUM(K11:K14)=0,"NO",SUM(K11:K14))</f>
        <v>NO</v>
      </c>
      <c r="L10" s="3192" t="str">
        <f>IF(SUM(L11:L14)=0,"NO",SUM(L11:L14))</f>
        <v>NO</v>
      </c>
      <c r="M10" s="628"/>
      <c r="N10" s="1838"/>
    </row>
    <row r="11" spans="2:14" ht="18" customHeight="1" x14ac:dyDescent="0.2">
      <c r="B11" s="287" t="s">
        <v>491</v>
      </c>
      <c r="C11" s="2099" t="s">
        <v>2181</v>
      </c>
      <c r="D11" s="691">
        <v>5738.6127999999999</v>
      </c>
      <c r="E11" s="1913">
        <f>IF(SUM($D11)=0,"NA",H11/$D11)</f>
        <v>0.5467465357291923</v>
      </c>
      <c r="F11" s="628"/>
      <c r="G11" s="628"/>
      <c r="H11" s="3180">
        <v>3137.5666682912001</v>
      </c>
      <c r="I11" s="628"/>
      <c r="J11" s="628"/>
      <c r="K11" s="3180" t="s">
        <v>2146</v>
      </c>
      <c r="L11" s="691" t="s">
        <v>2146</v>
      </c>
      <c r="M11" s="628"/>
      <c r="N11" s="1838"/>
    </row>
    <row r="12" spans="2:14" ht="18" customHeight="1" x14ac:dyDescent="0.2">
      <c r="B12" s="287" t="s">
        <v>492</v>
      </c>
      <c r="C12" s="2100" t="s">
        <v>2182</v>
      </c>
      <c r="D12" s="691">
        <v>1548.3019151599999</v>
      </c>
      <c r="E12" s="1913">
        <f>IF(SUM($D12)=0,"NA",H12/$D12)</f>
        <v>0.76595367822684968</v>
      </c>
      <c r="F12" s="628"/>
      <c r="G12" s="628"/>
      <c r="H12" s="3180">
        <v>1185.9275469224776</v>
      </c>
      <c r="I12" s="628"/>
      <c r="J12" s="628"/>
      <c r="K12" s="3180" t="s">
        <v>2146</v>
      </c>
      <c r="L12" s="691" t="s">
        <v>2146</v>
      </c>
      <c r="M12" s="628"/>
      <c r="N12" s="1838"/>
    </row>
    <row r="13" spans="2:14" ht="18" customHeight="1" x14ac:dyDescent="0.2">
      <c r="B13" s="287" t="s">
        <v>493</v>
      </c>
      <c r="C13" s="2100" t="s">
        <v>2267</v>
      </c>
      <c r="D13" s="691">
        <v>189.20777999999999</v>
      </c>
      <c r="E13" s="1913">
        <f>IF(SUM($D13)=0,"NA",H13/$D13)</f>
        <v>0.4285030177284993</v>
      </c>
      <c r="F13" s="628"/>
      <c r="G13" s="628"/>
      <c r="H13" s="3180">
        <v>81.076104707709987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1599.8996919830711</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249.38363418671017</v>
      </c>
      <c r="I15" s="628"/>
      <c r="J15" s="628"/>
      <c r="K15" s="3180" t="s">
        <v>2146</v>
      </c>
      <c r="L15" s="691" t="s">
        <v>2146</v>
      </c>
      <c r="M15" s="628"/>
      <c r="N15" s="1838"/>
    </row>
    <row r="16" spans="2:14" ht="18" customHeight="1" x14ac:dyDescent="0.2">
      <c r="B16" s="160" t="s">
        <v>496</v>
      </c>
      <c r="C16" s="484" t="s">
        <v>2316</v>
      </c>
      <c r="D16" s="2905">
        <v>316.76142400000003</v>
      </c>
      <c r="E16" s="1913">
        <f>IF(SUM($D16)=0,"NA",H16/$D16)</f>
        <v>0.4149199999999999</v>
      </c>
      <c r="F16" s="628"/>
      <c r="G16" s="628"/>
      <c r="H16" s="3180">
        <v>131.43065004607999</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1219.0854077502809</v>
      </c>
      <c r="I18" s="628"/>
      <c r="J18" s="628"/>
      <c r="K18" s="3181" t="str">
        <f>K19</f>
        <v>NO</v>
      </c>
      <c r="L18" s="3193" t="str">
        <f>L19</f>
        <v>NO</v>
      </c>
      <c r="M18" s="628"/>
      <c r="N18" s="1838"/>
    </row>
    <row r="19" spans="2:14" ht="18" customHeight="1" x14ac:dyDescent="0.2">
      <c r="B19" s="3182" t="s">
        <v>2265</v>
      </c>
      <c r="C19" s="484" t="s">
        <v>2267</v>
      </c>
      <c r="D19" s="2905">
        <v>1240.5814649499998</v>
      </c>
      <c r="E19" s="1913">
        <f>IF(SUM($D19)=0,"NA",H19/$D19)</f>
        <v>0.41481859828661227</v>
      </c>
      <c r="F19" s="628"/>
      <c r="G19" s="628"/>
      <c r="H19" s="3180">
        <v>514.61626435091091</v>
      </c>
      <c r="I19" s="628"/>
      <c r="J19" s="628"/>
      <c r="K19" s="3180" t="s">
        <v>2146</v>
      </c>
      <c r="L19" s="3180" t="s">
        <v>2146</v>
      </c>
      <c r="M19" s="628"/>
      <c r="N19" s="1838"/>
    </row>
    <row r="20" spans="2:14" ht="18" customHeight="1" x14ac:dyDescent="0.2">
      <c r="B20" s="3183" t="s">
        <v>2264</v>
      </c>
      <c r="C20" s="484" t="s">
        <v>2267</v>
      </c>
      <c r="D20" s="2905">
        <v>541.33943093920334</v>
      </c>
      <c r="E20" s="1913">
        <f>IF(SUM($D20)=0,"NA",H20/$D20)</f>
        <v>0.51635014304279081</v>
      </c>
      <c r="F20" s="628"/>
      <c r="G20" s="628"/>
      <c r="H20" s="3180">
        <v>279.5206926001606</v>
      </c>
      <c r="I20" s="628"/>
      <c r="J20" s="628"/>
      <c r="K20" s="3180" t="s">
        <v>2146</v>
      </c>
      <c r="L20" s="3180" t="s">
        <v>2146</v>
      </c>
      <c r="M20" s="2135"/>
      <c r="N20" s="2149"/>
    </row>
    <row r="21" spans="2:14" ht="18" customHeight="1" thickBot="1" x14ac:dyDescent="0.25">
      <c r="B21" s="3183" t="s">
        <v>2266</v>
      </c>
      <c r="C21" s="484" t="s">
        <v>2267</v>
      </c>
      <c r="D21" s="2905">
        <v>985.45525793399997</v>
      </c>
      <c r="E21" s="1913">
        <f>IF(SUM($D21)=0,"NA",H21/$D21)</f>
        <v>0.4312204408854754</v>
      </c>
      <c r="F21" s="628"/>
      <c r="G21" s="628"/>
      <c r="H21" s="3180">
        <v>424.94845079920935</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3464.3463000171696</v>
      </c>
      <c r="I22" s="3067">
        <f>IF(SUM(I23:I26,I30,I33:I35,I47)=0,"IE",SUM(I23:I26,I30,I33:I35,I47))</f>
        <v>0.57776359999999993</v>
      </c>
      <c r="J22" s="3067">
        <f>IF(SUM(J23:J26,J30,J33:J35,J47)=0,"IE",SUM(J23:J26,J30,J33:J35,J47))</f>
        <v>4.6936928492164975</v>
      </c>
      <c r="K22" s="3067">
        <f>IF(SUM(K23:K26,K30,K33:K35,K47)=0,"NO",SUM(K23:K26,K30,K33:K35,K47))</f>
        <v>-336.96679999999998</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2037.15642</v>
      </c>
      <c r="E23" s="1913">
        <f>IF(SUM($D23)=0,"NA",H23/$D23)</f>
        <v>1.4137195108926441</v>
      </c>
      <c r="F23" s="1913" t="str">
        <f>IFERROR(IF(SUM($D23)=0,"NA",I23/$D23),"NA")</f>
        <v>NA</v>
      </c>
      <c r="G23" s="1913" t="str">
        <f>IFERROR(IF(SUM($D23)=0,"NA",J23/$D23),"NA")</f>
        <v>NA</v>
      </c>
      <c r="H23" s="691">
        <v>2879.9677776942099</v>
      </c>
      <c r="I23" s="691" t="s">
        <v>2146</v>
      </c>
      <c r="J23" s="691" t="s">
        <v>2146</v>
      </c>
      <c r="K23" s="3180">
        <v>-336.96679999999998</v>
      </c>
      <c r="L23" s="691" t="s">
        <v>2146</v>
      </c>
      <c r="M23" s="691" t="s">
        <v>2146</v>
      </c>
      <c r="N23" s="2911" t="s">
        <v>2146</v>
      </c>
    </row>
    <row r="24" spans="2:14" ht="18" customHeight="1" x14ac:dyDescent="0.2">
      <c r="B24" s="287" t="s">
        <v>500</v>
      </c>
      <c r="C24" s="484" t="s">
        <v>220</v>
      </c>
      <c r="D24" s="691">
        <v>1465.9242899999997</v>
      </c>
      <c r="E24" s="2108"/>
      <c r="F24" s="2108"/>
      <c r="G24" s="1913">
        <f>IF(SUM($D24)=0,"NA",J24/$D24)</f>
        <v>3.2018657997791265E-3</v>
      </c>
      <c r="H24" s="2108"/>
      <c r="I24" s="2108"/>
      <c r="J24" s="691">
        <v>4.6936928492164975</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525.67596837135</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10.407747951609748</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10.407747951609748</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10.407747951609748</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9608.8558369057628</v>
      </c>
      <c r="I52" s="3192">
        <f>IF(SUM(I53,I62:I67)=0,"IE",SUM(I53,I62:I67))</f>
        <v>2.0229543785275617</v>
      </c>
      <c r="J52" s="1909">
        <f>J67</f>
        <v>4.7886441978119261E-2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1778.057</v>
      </c>
      <c r="E63" s="4130">
        <f>IF(SUM($D63)=0,"NA",H63/$D63)</f>
        <v>1.5198491095815305</v>
      </c>
      <c r="F63" s="1892"/>
      <c r="G63" s="2107"/>
      <c r="H63" s="691">
        <v>2702.3783482352073</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6906.4774886705554</v>
      </c>
      <c r="I67" s="3199">
        <f t="shared" ref="I67:N67" si="8">IF(SUM(I69:I70)=0,I70,SUM(I69:I70))</f>
        <v>2.0229543785275617</v>
      </c>
      <c r="J67" s="3199">
        <f t="shared" si="8"/>
        <v>4.7886441978119261E-2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6906.4774886705554</v>
      </c>
      <c r="I70" s="3095">
        <f t="shared" si="9"/>
        <v>2.0229543785275617</v>
      </c>
      <c r="J70" s="3095">
        <f t="shared" si="9"/>
        <v>4.7886441978119261E-2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6906.4774886705554</v>
      </c>
      <c r="I71" s="3123">
        <v>2.0229543785275617</v>
      </c>
      <c r="J71" s="3123">
        <v>4.7886441978119261E-2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228.05065580499999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335.37912371134024</v>
      </c>
      <c r="E73" s="4130">
        <f t="shared" ref="E73:G74" si="11">IF(SUM($D73)=0,"NA",H73/$D73)</f>
        <v>0.67997868585667387</v>
      </c>
      <c r="F73" s="276" t="s">
        <v>2147</v>
      </c>
      <c r="G73" s="276" t="s">
        <v>2147</v>
      </c>
      <c r="H73" s="3122">
        <v>228.05065580499999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248.3124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201.69877278028781</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201.69877278028781</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24.489335234919878</v>
      </c>
      <c r="H22" s="2611" t="str">
        <f>H23</f>
        <v>NO</v>
      </c>
    </row>
    <row r="23" spans="2:8" ht="18" customHeight="1" x14ac:dyDescent="0.2">
      <c r="B23" s="169" t="s">
        <v>636</v>
      </c>
      <c r="C23" s="2507"/>
      <c r="D23" s="76"/>
      <c r="E23" s="76"/>
      <c r="F23" s="4322"/>
      <c r="G23" s="3188">
        <f>IF(SUM(G24,G27)=0,"NO",SUM(G24,G27))</f>
        <v>24.489335234919878</v>
      </c>
      <c r="H23" s="2611" t="str">
        <f>H24</f>
        <v>NO</v>
      </c>
    </row>
    <row r="24" spans="2:8" ht="18" customHeight="1" x14ac:dyDescent="0.2">
      <c r="B24" s="171" t="s">
        <v>637</v>
      </c>
      <c r="C24" s="2507"/>
      <c r="D24" s="76"/>
      <c r="E24" s="76"/>
      <c r="F24" s="4322"/>
      <c r="G24" s="3188">
        <f>IF(SUM(G25:G26)=0,"NO",SUM(G25:G26))</f>
        <v>24.489335234919878</v>
      </c>
      <c r="H24" s="2611" t="str">
        <f>H25</f>
        <v>NO</v>
      </c>
    </row>
    <row r="25" spans="2:8" ht="18" customHeight="1" x14ac:dyDescent="0.25">
      <c r="B25" s="2609" t="s">
        <v>1741</v>
      </c>
      <c r="C25" s="2620" t="s">
        <v>1741</v>
      </c>
      <c r="D25" s="73" t="s">
        <v>638</v>
      </c>
      <c r="E25" s="691">
        <v>1778057</v>
      </c>
      <c r="F25" s="4320">
        <f t="shared" ref="F25:F28" si="2">IF(SUM(E25)=0,"NA",G25*1000/E25)</f>
        <v>1.2421452036530034E-2</v>
      </c>
      <c r="G25" s="691">
        <v>22.08604974371648</v>
      </c>
      <c r="H25" s="2610" t="s">
        <v>2146</v>
      </c>
    </row>
    <row r="26" spans="2:8" ht="18" customHeight="1" x14ac:dyDescent="0.25">
      <c r="B26" s="2609" t="s">
        <v>1742</v>
      </c>
      <c r="C26" s="2620" t="s">
        <v>1742</v>
      </c>
      <c r="D26" s="73" t="s">
        <v>638</v>
      </c>
      <c r="E26" s="691">
        <v>1778057</v>
      </c>
      <c r="F26" s="4320">
        <f t="shared" si="2"/>
        <v>1.3516357975044649E-3</v>
      </c>
      <c r="G26" s="691">
        <v>2.4032854912033965</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53.515562574638032</v>
      </c>
      <c r="K10" s="3224">
        <f>IF(SUM(K11,K90,K117,K130,K146,K159)=0,"NO",SUM(K11,K90,K117,K130,K146,K159))</f>
        <v>3059.1934668312851</v>
      </c>
      <c r="L10" s="3225">
        <f>IF(SUM(L11,L90,L117,L130,L146,L159)=0,"NO",SUM(L11,L90,L117,L130,L146,L159))</f>
        <v>1229.864053248948</v>
      </c>
      <c r="M10" s="3498">
        <f>IF(SUM(M11,M90,M117,M130,M146,M159)=0,"NO",SUM(M11,M90,M117,M130,M146,M159))</f>
        <v>-249.02742960058637</v>
      </c>
    </row>
    <row r="11" spans="1:13" ht="18" customHeight="1" x14ac:dyDescent="0.2">
      <c r="B11" s="147" t="s">
        <v>667</v>
      </c>
      <c r="C11" s="2508"/>
      <c r="D11" s="2108"/>
      <c r="E11" s="2108"/>
      <c r="F11" s="2108"/>
      <c r="G11" s="2108"/>
      <c r="H11" s="2108"/>
      <c r="I11" s="2108"/>
      <c r="J11" s="3103">
        <f>IF(SUM(J12,J25,J38,J51,J64,J77)=0,"NO",SUM(J12,J25,J38,J51,J64,J77))</f>
        <v>27.984146160117923</v>
      </c>
      <c r="K11" s="3103">
        <f t="shared" ref="K11:M11" si="0">IF(SUM(K12,K25,K38,K51,K64,K77)=0,"NO",SUM(K12,K25,K38,K51,K64,K77))</f>
        <v>2940.1381429140561</v>
      </c>
      <c r="L11" s="3103">
        <f t="shared" si="0"/>
        <v>1193.0059811619712</v>
      </c>
      <c r="M11" s="3226">
        <f t="shared" si="0"/>
        <v>-241.0022456467247</v>
      </c>
    </row>
    <row r="12" spans="1:13" ht="18" customHeight="1" x14ac:dyDescent="0.2">
      <c r="B12" s="104" t="s">
        <v>668</v>
      </c>
      <c r="C12" s="2508"/>
      <c r="D12" s="2108"/>
      <c r="E12" s="2108"/>
      <c r="F12" s="2108"/>
      <c r="G12" s="2108"/>
      <c r="H12" s="2108"/>
      <c r="I12" s="2108"/>
      <c r="J12" s="3103">
        <f>IF(SUM(J13:J24)=0,"NO",SUM(J13:J24))</f>
        <v>21.290722938916623</v>
      </c>
      <c r="K12" s="3103">
        <f>IF(SUM(K13:K24)=0,"NO",SUM(K13:K24))</f>
        <v>1763.2183493219923</v>
      </c>
      <c r="L12" s="3103">
        <f>IF(SUM(L13:L24)=0,"NO",SUM(L13:L24))</f>
        <v>452.13742039956651</v>
      </c>
      <c r="M12" s="3226">
        <f>IF(SUM(M13:M24)=0,"NO",SUM(M13:M24))</f>
        <v>-71.097037358638957</v>
      </c>
    </row>
    <row r="13" spans="1:13" ht="18" customHeight="1" x14ac:dyDescent="0.2">
      <c r="B13" s="2616" t="s">
        <v>559</v>
      </c>
      <c r="C13" s="2618" t="s">
        <v>559</v>
      </c>
      <c r="D13" s="3227">
        <v>10.565705838577259</v>
      </c>
      <c r="E13" s="3227">
        <v>109.54394011596114</v>
      </c>
      <c r="F13" s="3227">
        <v>4.5513711827584462</v>
      </c>
      <c r="G13" s="3103">
        <f>IF(SUM(D13)=0,"NA",J13/D13)</f>
        <v>1.7500000000000002E-2</v>
      </c>
      <c r="H13" s="3103">
        <f>IF(SUM(E13)=0,"NA",K13/E13)</f>
        <v>0.13978606982161074</v>
      </c>
      <c r="I13" s="3103">
        <f>IF(SUM(F13)=0,"NA",(SUM(L13:M13))/F13)</f>
        <v>0.72706778983285836</v>
      </c>
      <c r="J13" s="3227">
        <v>0.18489985217510205</v>
      </c>
      <c r="K13" s="3227">
        <v>15.312716861584089</v>
      </c>
      <c r="L13" s="3227">
        <v>3.9302632846577943</v>
      </c>
      <c r="M13" s="3497">
        <v>-0.62110789810064848</v>
      </c>
    </row>
    <row r="14" spans="1:13" ht="18" customHeight="1" x14ac:dyDescent="0.2">
      <c r="B14" s="2616" t="s">
        <v>560</v>
      </c>
      <c r="C14" s="2618" t="s">
        <v>560</v>
      </c>
      <c r="D14" s="3227">
        <v>100.1543387654107</v>
      </c>
      <c r="E14" s="3227">
        <v>1038.3878801559738</v>
      </c>
      <c r="F14" s="3227">
        <v>43.143314630317136</v>
      </c>
      <c r="G14" s="3103">
        <f t="shared" ref="G14:G24" si="1">IF(SUM(D14)=0,"NA",J14/D14)</f>
        <v>1.7499999999999998E-2</v>
      </c>
      <c r="H14" s="3103">
        <f t="shared" ref="H14:H24" si="2">IF(SUM(E14)=0,"NA",K14/E14)</f>
        <v>0.13978606982161071</v>
      </c>
      <c r="I14" s="3103">
        <f t="shared" ref="I14:I78" si="3">IF(SUM(F14)=0,"NA",(SUM(L14:M14))/F14)</f>
        <v>0.72706778983285902</v>
      </c>
      <c r="J14" s="3227">
        <v>1.7527009283946871</v>
      </c>
      <c r="K14" s="3227">
        <v>145.15216071739729</v>
      </c>
      <c r="L14" s="3227">
        <v>37.255714522322734</v>
      </c>
      <c r="M14" s="3497">
        <v>-5.8876001079944</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237.39629713914297</v>
      </c>
      <c r="E16" s="3227">
        <v>2461.2956441216788</v>
      </c>
      <c r="F16" s="3227">
        <v>102.26280025207953</v>
      </c>
      <c r="G16" s="3103">
        <f t="shared" si="1"/>
        <v>1.7500000000000002E-2</v>
      </c>
      <c r="H16" s="3103">
        <f t="shared" si="2"/>
        <v>0.13978606982161074</v>
      </c>
      <c r="I16" s="3103">
        <f t="shared" si="3"/>
        <v>0.72706778983285836</v>
      </c>
      <c r="J16" s="3227">
        <v>4.1544351999350022</v>
      </c>
      <c r="K16" s="3227">
        <v>344.05484476081938</v>
      </c>
      <c r="L16" s="3227">
        <v>88.307394206738991</v>
      </c>
      <c r="M16" s="3497">
        <v>-13.955406045340458</v>
      </c>
    </row>
    <row r="17" spans="2:13" ht="18" customHeight="1" x14ac:dyDescent="0.2">
      <c r="B17" s="2616" t="s">
        <v>564</v>
      </c>
      <c r="C17" s="2618" t="s">
        <v>564</v>
      </c>
      <c r="D17" s="3227">
        <v>0.50633056945746313</v>
      </c>
      <c r="E17" s="3227">
        <v>5.2495731403968025</v>
      </c>
      <c r="F17" s="3227">
        <v>0.21811116057805066</v>
      </c>
      <c r="G17" s="3103">
        <f t="shared" si="1"/>
        <v>1.7500000000000002E-2</v>
      </c>
      <c r="H17" s="3103">
        <f t="shared" si="2"/>
        <v>0.13978606982161071</v>
      </c>
      <c r="I17" s="3103">
        <f t="shared" si="3"/>
        <v>0.72706778983285947</v>
      </c>
      <c r="J17" s="3227">
        <v>8.860784965505606E-3</v>
      </c>
      <c r="K17" s="3227">
        <v>0.73381719753715968</v>
      </c>
      <c r="L17" s="3227">
        <v>0.18834638001870696</v>
      </c>
      <c r="M17" s="3497">
        <v>-2.9764780559343767E-2</v>
      </c>
    </row>
    <row r="18" spans="2:13" ht="18" customHeight="1" x14ac:dyDescent="0.2">
      <c r="B18" s="2616" t="s">
        <v>565</v>
      </c>
      <c r="C18" s="2618" t="s">
        <v>565</v>
      </c>
      <c r="D18" s="3227">
        <v>627.37758589420378</v>
      </c>
      <c r="E18" s="3227">
        <v>6504.5737359412669</v>
      </c>
      <c r="F18" s="3227">
        <v>270.25437853113118</v>
      </c>
      <c r="G18" s="3103">
        <f t="shared" si="1"/>
        <v>1.7500000000000005E-2</v>
      </c>
      <c r="H18" s="3103">
        <f t="shared" si="2"/>
        <v>0.13978606982161071</v>
      </c>
      <c r="I18" s="3103">
        <f t="shared" si="3"/>
        <v>0.72706778983285814</v>
      </c>
      <c r="J18" s="3227">
        <v>10.979107753148568</v>
      </c>
      <c r="K18" s="3227">
        <v>909.24879841210122</v>
      </c>
      <c r="L18" s="3227">
        <v>233.37381611120657</v>
      </c>
      <c r="M18" s="3497">
        <v>-36.880562419924374</v>
      </c>
    </row>
    <row r="19" spans="2:13" ht="18" customHeight="1" x14ac:dyDescent="0.2">
      <c r="B19" s="2616" t="s">
        <v>567</v>
      </c>
      <c r="C19" s="2618" t="s">
        <v>567</v>
      </c>
      <c r="D19" s="3227">
        <v>162.42315772068255</v>
      </c>
      <c r="E19" s="3227">
        <v>1683.9833452334346</v>
      </c>
      <c r="F19" s="3227">
        <v>69.966748152633528</v>
      </c>
      <c r="G19" s="3103">
        <f t="shared" si="1"/>
        <v>1.7500000000000002E-2</v>
      </c>
      <c r="H19" s="3103">
        <f t="shared" si="2"/>
        <v>0.13978606982161071</v>
      </c>
      <c r="I19" s="3103">
        <f t="shared" si="3"/>
        <v>0.72706778983286025</v>
      </c>
      <c r="J19" s="3227">
        <v>2.8424052601119447</v>
      </c>
      <c r="K19" s="3227">
        <v>235.39741347523045</v>
      </c>
      <c r="L19" s="3227">
        <v>60.418658546880607</v>
      </c>
      <c r="M19" s="3497">
        <v>-9.5480896057529954</v>
      </c>
    </row>
    <row r="20" spans="2:13" ht="18" customHeight="1" x14ac:dyDescent="0.2">
      <c r="B20" s="2616" t="s">
        <v>569</v>
      </c>
      <c r="C20" s="2618" t="s">
        <v>569</v>
      </c>
      <c r="D20" s="3227">
        <v>23.438782096835688</v>
      </c>
      <c r="E20" s="3227">
        <v>243.01041327803728</v>
      </c>
      <c r="F20" s="3227">
        <v>10.096684407490331</v>
      </c>
      <c r="G20" s="3103">
        <f t="shared" si="1"/>
        <v>1.7500000000000005E-2</v>
      </c>
      <c r="H20" s="3103">
        <f t="shared" si="2"/>
        <v>0.13978606982161074</v>
      </c>
      <c r="I20" s="3103">
        <f t="shared" si="3"/>
        <v>0.72706778983285913</v>
      </c>
      <c r="J20" s="3227">
        <v>0.41017868669462465</v>
      </c>
      <c r="K20" s="3227">
        <v>33.969470597862198</v>
      </c>
      <c r="L20" s="3227">
        <v>8.572579933664791</v>
      </c>
      <c r="M20" s="3497">
        <v>-1.2316059168709055</v>
      </c>
    </row>
    <row r="21" spans="2:13" ht="18" customHeight="1" x14ac:dyDescent="0.2">
      <c r="B21" s="2616" t="s">
        <v>571</v>
      </c>
      <c r="C21" s="2618" t="s">
        <v>571</v>
      </c>
      <c r="D21" s="3227">
        <v>9.7731158607604236</v>
      </c>
      <c r="E21" s="3227">
        <v>101.32646459724373</v>
      </c>
      <c r="F21" s="3227">
        <v>4.209948542388549</v>
      </c>
      <c r="G21" s="3103">
        <f t="shared" si="1"/>
        <v>1.7500000000000002E-2</v>
      </c>
      <c r="H21" s="3103">
        <f t="shared" si="2"/>
        <v>0.13978606982161074</v>
      </c>
      <c r="I21" s="3103">
        <f t="shared" si="3"/>
        <v>0.72706778983285969</v>
      </c>
      <c r="J21" s="3227">
        <v>0.17102952756330744</v>
      </c>
      <c r="K21" s="3227">
        <v>14.164028254967281</v>
      </c>
      <c r="L21" s="3227">
        <v>3.6354332622065311</v>
      </c>
      <c r="M21" s="3497">
        <v>-0.57451528018201992</v>
      </c>
    </row>
    <row r="22" spans="2:13" ht="18" customHeight="1" x14ac:dyDescent="0.2">
      <c r="B22" s="2616" t="s">
        <v>574</v>
      </c>
      <c r="C22" s="2618" t="s">
        <v>574</v>
      </c>
      <c r="D22" s="3227">
        <v>0.80413190586465255</v>
      </c>
      <c r="E22" s="3227">
        <v>10.040771421926852</v>
      </c>
      <c r="F22" s="3227">
        <v>0.34639453713788398</v>
      </c>
      <c r="G22" s="3103">
        <f t="shared" si="1"/>
        <v>1.7500000000000002E-2</v>
      </c>
      <c r="H22" s="3103">
        <f t="shared" si="2"/>
        <v>0.11606838742903644</v>
      </c>
      <c r="I22" s="3103">
        <f t="shared" si="3"/>
        <v>0.72706778983285902</v>
      </c>
      <c r="J22" s="3227">
        <v>1.4072308352631421E-2</v>
      </c>
      <c r="K22" s="3227">
        <v>1.1654161474866029</v>
      </c>
      <c r="L22" s="3227">
        <v>0.29912342383245072</v>
      </c>
      <c r="M22" s="3497">
        <v>-4.727111330543321E-2</v>
      </c>
    </row>
    <row r="23" spans="2:13" ht="18" customHeight="1" x14ac:dyDescent="0.2">
      <c r="B23" s="2616" t="s">
        <v>576</v>
      </c>
      <c r="C23" s="2618" t="s">
        <v>576</v>
      </c>
      <c r="D23" s="3227">
        <v>25.274323495779939</v>
      </c>
      <c r="E23" s="3227">
        <v>262.04108100230474</v>
      </c>
      <c r="F23" s="3227">
        <v>10.887377462507271</v>
      </c>
      <c r="G23" s="3103">
        <f t="shared" si="1"/>
        <v>1.7500000000000002E-2</v>
      </c>
      <c r="H23" s="3103">
        <f t="shared" si="2"/>
        <v>0.13978606982161071</v>
      </c>
      <c r="I23" s="3103">
        <f t="shared" si="3"/>
        <v>0.7270677898328588</v>
      </c>
      <c r="J23" s="3227">
        <v>0.44230066117614897</v>
      </c>
      <c r="K23" s="3227">
        <v>36.62969284511852</v>
      </c>
      <c r="L23" s="3227">
        <v>9.2439170918409701</v>
      </c>
      <c r="M23" s="3497">
        <v>-1.32805562309973</v>
      </c>
    </row>
    <row r="24" spans="2:13" ht="18" customHeight="1" x14ac:dyDescent="0.2">
      <c r="B24" s="2616" t="s">
        <v>577</v>
      </c>
      <c r="C24" s="2618" t="s">
        <v>577</v>
      </c>
      <c r="D24" s="3227">
        <v>18.898970079948867</v>
      </c>
      <c r="E24" s="3227">
        <v>195.9422000120756</v>
      </c>
      <c r="F24" s="3227">
        <v>8.1410772853085618</v>
      </c>
      <c r="G24" s="3103">
        <f t="shared" si="1"/>
        <v>1.7500000000000002E-2</v>
      </c>
      <c r="H24" s="3103">
        <f t="shared" si="2"/>
        <v>0.13978606982161074</v>
      </c>
      <c r="I24" s="3103">
        <f t="shared" si="3"/>
        <v>0.72706778983285902</v>
      </c>
      <c r="J24" s="3227">
        <v>0.33073197639910523</v>
      </c>
      <c r="K24" s="3227">
        <v>27.389990051888017</v>
      </c>
      <c r="L24" s="3227">
        <v>6.9121736361964459</v>
      </c>
      <c r="M24" s="3497">
        <v>-0.99305856750865829</v>
      </c>
    </row>
    <row r="25" spans="2:13" ht="18" customHeight="1" x14ac:dyDescent="0.2">
      <c r="B25" s="105" t="s">
        <v>669</v>
      </c>
      <c r="C25" s="2508"/>
      <c r="D25" s="2108"/>
      <c r="E25" s="2108"/>
      <c r="F25" s="2108"/>
      <c r="G25" s="2108"/>
      <c r="H25" s="2108"/>
      <c r="I25" s="2108"/>
      <c r="J25" s="3103">
        <f>IF(SUM(J26:J37)=0,"NO",SUM(J26:J37))</f>
        <v>0.17882307318034238</v>
      </c>
      <c r="K25" s="3103">
        <f>IF(SUM(K26:K37)=0,"NO",SUM(K26:K37))</f>
        <v>14.361359696477134</v>
      </c>
      <c r="L25" s="3103">
        <f>IF(SUM(L26:L37)=0,"NO",SUM(L26:L37))</f>
        <v>40.777746296844882</v>
      </c>
      <c r="M25" s="3226">
        <f>IF(SUM(M26:M37)=0,"NO",SUM(M26:M37))</f>
        <v>-5.2819809946605956</v>
      </c>
    </row>
    <row r="26" spans="2:13" ht="18" customHeight="1" x14ac:dyDescent="0.2">
      <c r="B26" s="2616" t="s">
        <v>559</v>
      </c>
      <c r="C26" s="2618" t="s">
        <v>559</v>
      </c>
      <c r="D26" s="3227">
        <v>0.25883229275809361</v>
      </c>
      <c r="E26" s="3227">
        <v>7.0889775008278892</v>
      </c>
      <c r="F26" s="3227">
        <v>0.40000693221449768</v>
      </c>
      <c r="G26" s="3103">
        <f>IF(SUM(D26)=0,"NA",J26/D26)</f>
        <v>6.0000000000000001E-3</v>
      </c>
      <c r="H26" s="3103">
        <f>IF(SUM(E26)=0,"NA",K26/E26)</f>
        <v>1.7593737877392306E-2</v>
      </c>
      <c r="I26" s="3103">
        <f t="shared" si="3"/>
        <v>0.7706464495010279</v>
      </c>
      <c r="J26" s="3227">
        <v>1.5529937565485618E-3</v>
      </c>
      <c r="K26" s="3227">
        <v>0.12472161196829749</v>
      </c>
      <c r="L26" s="3227">
        <v>0.35413542715069934</v>
      </c>
      <c r="M26" s="3497">
        <v>-4.587150506379839E-2</v>
      </c>
    </row>
    <row r="27" spans="2:13" ht="18" customHeight="1" x14ac:dyDescent="0.2">
      <c r="B27" s="2616" t="s">
        <v>560</v>
      </c>
      <c r="C27" s="2618" t="s">
        <v>560</v>
      </c>
      <c r="D27" s="3227">
        <v>2.4535206192918948</v>
      </c>
      <c r="E27" s="3227">
        <v>67.197768418460527</v>
      </c>
      <c r="F27" s="3227">
        <v>3.7917419252056459</v>
      </c>
      <c r="G27" s="3103">
        <f t="shared" ref="G27:G37" si="6">IF(SUM(D27)=0,"NA",J27/D27)</f>
        <v>6.0000000000000001E-3</v>
      </c>
      <c r="H27" s="3103">
        <f t="shared" ref="H27:H37" si="7">IF(SUM(E27)=0,"NA",K27/E27)</f>
        <v>1.7593737877392306E-2</v>
      </c>
      <c r="I27" s="3103">
        <f t="shared" si="3"/>
        <v>0.77064644950102767</v>
      </c>
      <c r="J27" s="3227">
        <v>1.4721123715751369E-2</v>
      </c>
      <c r="K27" s="3227">
        <v>1.1822599235001054</v>
      </c>
      <c r="L27" s="3227">
        <v>3.3569171886447844</v>
      </c>
      <c r="M27" s="3497">
        <v>-0.43482473656086179</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5.8155913877950738</v>
      </c>
      <c r="E29" s="3227">
        <v>159.27918445871191</v>
      </c>
      <c r="F29" s="3227">
        <v>8.9875836019391695</v>
      </c>
      <c r="G29" s="3103">
        <f t="shared" si="6"/>
        <v>6.000000000000001E-3</v>
      </c>
      <c r="H29" s="3103">
        <f t="shared" si="7"/>
        <v>1.759373787739231E-2</v>
      </c>
      <c r="I29" s="3103">
        <f t="shared" si="3"/>
        <v>0.77064644950102779</v>
      </c>
      <c r="J29" s="3227">
        <v>3.4893548326770447E-2</v>
      </c>
      <c r="K29" s="3227">
        <v>2.8023162206913961</v>
      </c>
      <c r="L29" s="3227">
        <v>7.9569164971836246</v>
      </c>
      <c r="M29" s="3497">
        <v>-1.0306671047555451</v>
      </c>
    </row>
    <row r="30" spans="2:13" ht="18" customHeight="1" x14ac:dyDescent="0.2">
      <c r="B30" s="2616" t="s">
        <v>564</v>
      </c>
      <c r="C30" s="2618" t="s">
        <v>564</v>
      </c>
      <c r="D30" s="3227">
        <v>1.2403781080832526E-2</v>
      </c>
      <c r="E30" s="3227">
        <v>0.33971852611681835</v>
      </c>
      <c r="F30" s="3227">
        <v>1.9169163032686912E-2</v>
      </c>
      <c r="G30" s="3103">
        <f t="shared" si="6"/>
        <v>6.000000000000001E-3</v>
      </c>
      <c r="H30" s="3103">
        <f t="shared" si="7"/>
        <v>1.759373787739231E-2</v>
      </c>
      <c r="I30" s="3103">
        <f t="shared" si="3"/>
        <v>0.77064644950102779</v>
      </c>
      <c r="J30" s="3227">
        <v>7.4422686484995165E-5</v>
      </c>
      <c r="K30" s="3227">
        <v>5.9769187005933554E-3</v>
      </c>
      <c r="L30" s="3227">
        <v>1.6970905231866718E-2</v>
      </c>
      <c r="M30" s="3497">
        <v>-2.1982578008201956E-3</v>
      </c>
    </row>
    <row r="31" spans="2:13" ht="18" customHeight="1" x14ac:dyDescent="0.2">
      <c r="B31" s="2616" t="s">
        <v>565</v>
      </c>
      <c r="C31" s="2618" t="s">
        <v>565</v>
      </c>
      <c r="D31" s="3227">
        <v>15.369117923871793</v>
      </c>
      <c r="E31" s="3227">
        <v>420.93407282732073</v>
      </c>
      <c r="F31" s="3227">
        <v>23.751880594422335</v>
      </c>
      <c r="G31" s="3103">
        <f t="shared" si="6"/>
        <v>6.0000000000000001E-3</v>
      </c>
      <c r="H31" s="3103">
        <f t="shared" si="7"/>
        <v>1.7593737877392306E-2</v>
      </c>
      <c r="I31" s="3103">
        <f t="shared" si="3"/>
        <v>0.77064644950102801</v>
      </c>
      <c r="J31" s="3227">
        <v>9.2214707543230759E-2</v>
      </c>
      <c r="K31" s="3227">
        <v>7.4058037409870447</v>
      </c>
      <c r="L31" s="3227">
        <v>21.028091521743143</v>
      </c>
      <c r="M31" s="3497">
        <v>-2.7237890726792018</v>
      </c>
    </row>
    <row r="32" spans="2:13" ht="18" customHeight="1" x14ac:dyDescent="0.2">
      <c r="B32" s="2616" t="s">
        <v>567</v>
      </c>
      <c r="C32" s="2618" t="s">
        <v>567</v>
      </c>
      <c r="D32" s="3227" t="s">
        <v>2146</v>
      </c>
      <c r="E32" s="3227">
        <v>108.976544329989</v>
      </c>
      <c r="F32" s="3227">
        <v>6.1491764045922386</v>
      </c>
      <c r="G32" s="3103" t="str">
        <f t="shared" si="6"/>
        <v>NA</v>
      </c>
      <c r="H32" s="3103">
        <f t="shared" si="7"/>
        <v>1.7593737877392306E-2</v>
      </c>
      <c r="I32" s="3103">
        <f t="shared" si="3"/>
        <v>0.77064644950102779</v>
      </c>
      <c r="J32" s="3227">
        <v>2.3873667667155912E-2</v>
      </c>
      <c r="K32" s="3227">
        <v>1.9173047557258494</v>
      </c>
      <c r="L32" s="3227">
        <v>5.4440086840733715</v>
      </c>
      <c r="M32" s="3497">
        <v>-0.70516772051886745</v>
      </c>
    </row>
    <row r="33" spans="2:13" ht="18" customHeight="1" x14ac:dyDescent="0.2">
      <c r="B33" s="2616" t="s">
        <v>569</v>
      </c>
      <c r="C33" s="2618" t="s">
        <v>569</v>
      </c>
      <c r="D33" s="3227">
        <v>0.57418915520349767</v>
      </c>
      <c r="E33" s="3227">
        <v>15.726067095736015</v>
      </c>
      <c r="F33" s="3227">
        <v>0.88736857382183476</v>
      </c>
      <c r="G33" s="3103">
        <f t="shared" si="6"/>
        <v>6.0000000000000001E-3</v>
      </c>
      <c r="H33" s="3103">
        <f t="shared" si="7"/>
        <v>1.759373787739231E-2</v>
      </c>
      <c r="I33" s="3103">
        <f t="shared" si="3"/>
        <v>0.77064644950102767</v>
      </c>
      <c r="J33" s="3227">
        <v>3.445134931220986E-3</v>
      </c>
      <c r="K33" s="3227">
        <v>0.27668030232466362</v>
      </c>
      <c r="L33" s="3227">
        <v>0.78560800731821112</v>
      </c>
      <c r="M33" s="3497">
        <v>-0.10176056650362361</v>
      </c>
    </row>
    <row r="34" spans="2:13" ht="18" customHeight="1" x14ac:dyDescent="0.2">
      <c r="B34" s="2616" t="s">
        <v>571</v>
      </c>
      <c r="C34" s="2618" t="s">
        <v>571</v>
      </c>
      <c r="D34" s="3227">
        <v>0.23941590124486539</v>
      </c>
      <c r="E34" s="3227">
        <v>6.5571954688494367</v>
      </c>
      <c r="F34" s="3227">
        <v>0.37000027763086413</v>
      </c>
      <c r="G34" s="3103">
        <f t="shared" si="6"/>
        <v>6.0000000000000001E-3</v>
      </c>
      <c r="H34" s="3103">
        <f t="shared" si="7"/>
        <v>1.759373787739231E-2</v>
      </c>
      <c r="I34" s="3103">
        <f t="shared" si="3"/>
        <v>0.77064644950102756</v>
      </c>
      <c r="J34" s="3227">
        <v>1.4364954074691924E-3</v>
      </c>
      <c r="K34" s="3227">
        <v>0.11536557828976156</v>
      </c>
      <c r="L34" s="3227">
        <v>0.32756983895074199</v>
      </c>
      <c r="M34" s="3497">
        <v>-4.2430438680122071E-2</v>
      </c>
    </row>
    <row r="35" spans="2:13" ht="18" customHeight="1" x14ac:dyDescent="0.2">
      <c r="B35" s="2616" t="s">
        <v>574</v>
      </c>
      <c r="C35" s="2618" t="s">
        <v>574</v>
      </c>
      <c r="D35" s="3227">
        <v>1.96991387092138E-2</v>
      </c>
      <c r="E35" s="3227">
        <v>0.53952599811731816</v>
      </c>
      <c r="F35" s="3227">
        <v>3.0443620300906492E-2</v>
      </c>
      <c r="G35" s="3103">
        <f t="shared" si="6"/>
        <v>6.000000000000001E-3</v>
      </c>
      <c r="H35" s="3103">
        <f t="shared" si="7"/>
        <v>1.759373787739231E-2</v>
      </c>
      <c r="I35" s="3103">
        <f t="shared" si="3"/>
        <v>0.7706464495010279</v>
      </c>
      <c r="J35" s="3227">
        <v>1.1819483225528282E-4</v>
      </c>
      <c r="K35" s="3227">
        <v>9.4922789889145525E-3</v>
      </c>
      <c r="L35" s="3227">
        <v>2.6952444097878753E-2</v>
      </c>
      <c r="M35" s="3497">
        <v>-3.4911762030277482E-3</v>
      </c>
    </row>
    <row r="36" spans="2:13" ht="18" customHeight="1" x14ac:dyDescent="0.2">
      <c r="B36" s="2616" t="s">
        <v>576</v>
      </c>
      <c r="C36" s="2618" t="s">
        <v>576</v>
      </c>
      <c r="D36" s="3227">
        <v>0.61915514195342902</v>
      </c>
      <c r="E36" s="3227">
        <v>16.95760920733299</v>
      </c>
      <c r="F36" s="3227">
        <v>0.95686031390640103</v>
      </c>
      <c r="G36" s="3103">
        <f t="shared" si="6"/>
        <v>6.0000000000000001E-3</v>
      </c>
      <c r="H36" s="3103">
        <f t="shared" si="7"/>
        <v>1.7593737877392306E-2</v>
      </c>
      <c r="I36" s="3103">
        <f t="shared" si="3"/>
        <v>0.77064644950102779</v>
      </c>
      <c r="J36" s="3227">
        <v>3.7149308517205742E-3</v>
      </c>
      <c r="K36" s="3227">
        <v>0.29834773142107096</v>
      </c>
      <c r="L36" s="3227">
        <v>0.84713065874340399</v>
      </c>
      <c r="M36" s="3497">
        <v>-0.10972965516299713</v>
      </c>
    </row>
    <row r="37" spans="2:13" ht="18" customHeight="1" x14ac:dyDescent="0.2">
      <c r="B37" s="2616" t="s">
        <v>577</v>
      </c>
      <c r="C37" s="2618" t="s">
        <v>577</v>
      </c>
      <c r="D37" s="3227">
        <v>0.46297557695572489</v>
      </c>
      <c r="E37" s="3227">
        <v>12.680115813598828</v>
      </c>
      <c r="F37" s="3227">
        <v>0.7154958844388849</v>
      </c>
      <c r="G37" s="3103">
        <f t="shared" si="6"/>
        <v>6.0000000000000001E-3</v>
      </c>
      <c r="H37" s="3103">
        <f t="shared" si="7"/>
        <v>1.759373787739231E-2</v>
      </c>
      <c r="I37" s="3103">
        <f t="shared" si="3"/>
        <v>0.77064644950102779</v>
      </c>
      <c r="J37" s="3227">
        <v>2.7778534617343494E-3</v>
      </c>
      <c r="K37" s="3227">
        <v>0.2230906338794349</v>
      </c>
      <c r="L37" s="3227">
        <v>0.63344512370715467</v>
      </c>
      <c r="M37" s="3497">
        <v>-8.2050760731730329E-2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5.1335128226226479</v>
      </c>
      <c r="K51" s="3103">
        <f>IF(SUM(K52:K63)=0,"NO",SUM(K52:K63))</f>
        <v>138.40193281644545</v>
      </c>
      <c r="L51" s="3103">
        <f>IF(SUM(L52:L63)=0,"NO",SUM(L52:L63))</f>
        <v>64.327244427811124</v>
      </c>
      <c r="M51" s="3226">
        <f>IF(SUM(M52:M63)=0,"NO",SUM(M52:M63))</f>
        <v>-9.7210986936851373</v>
      </c>
    </row>
    <row r="52" spans="2:13" ht="18" customHeight="1" x14ac:dyDescent="0.2">
      <c r="B52" s="2616" t="s">
        <v>559</v>
      </c>
      <c r="C52" s="2618" t="s">
        <v>559</v>
      </c>
      <c r="D52" s="3227">
        <v>0.87415939719991176</v>
      </c>
      <c r="E52" s="3227">
        <v>5.7738346247012435</v>
      </c>
      <c r="F52" s="3227">
        <v>0.64307481414591106</v>
      </c>
      <c r="G52" s="3103">
        <f>IF(SUM(D52)=0,"NA",J52/D52)</f>
        <v>5.0999999999999997E-2</v>
      </c>
      <c r="H52" s="3103">
        <f>IF(SUM(E52)=0,"NA",K52/E52)</f>
        <v>0.20817279352055879</v>
      </c>
      <c r="I52" s="3103">
        <f t="shared" si="3"/>
        <v>0.73743913006304418</v>
      </c>
      <c r="J52" s="3227">
        <v>4.4582129257195499E-2</v>
      </c>
      <c r="K52" s="3227">
        <v>1.2019552831497851</v>
      </c>
      <c r="L52" s="3227">
        <v>0.55865167282756278</v>
      </c>
      <c r="M52" s="3497">
        <v>-8.4423141318348341E-2</v>
      </c>
    </row>
    <row r="53" spans="2:13" ht="18" customHeight="1" x14ac:dyDescent="0.2">
      <c r="B53" s="2616" t="s">
        <v>560</v>
      </c>
      <c r="C53" s="2618" t="s">
        <v>560</v>
      </c>
      <c r="D53" s="3227">
        <v>8.2863234827590517</v>
      </c>
      <c r="E53" s="3227">
        <v>54.731278516803251</v>
      </c>
      <c r="F53" s="3227">
        <v>6.0958286906221382</v>
      </c>
      <c r="G53" s="3103">
        <f t="shared" ref="G53:G63" si="36">IF(SUM(D53)=0,"NA",J53/D53)</f>
        <v>5.1000000000000004E-2</v>
      </c>
      <c r="H53" s="3103">
        <f t="shared" ref="H53:H63" si="37">IF(SUM(E53)=0,"NA",K53/E53)</f>
        <v>0.20817279352055884</v>
      </c>
      <c r="I53" s="3103">
        <f t="shared" si="3"/>
        <v>0.73743913006304374</v>
      </c>
      <c r="J53" s="3227">
        <v>0.42260249762071167</v>
      </c>
      <c r="K53" s="3227">
        <v>11.393563141794681</v>
      </c>
      <c r="L53" s="3227">
        <v>5.2955656486239349</v>
      </c>
      <c r="M53" s="3497">
        <v>-0.80026304199820208</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19.641111268396678</v>
      </c>
      <c r="E55" s="3227">
        <v>129.72980519609283</v>
      </c>
      <c r="F55" s="3227">
        <v>14.44897122767512</v>
      </c>
      <c r="G55" s="3103">
        <f t="shared" si="36"/>
        <v>5.099999999999999E-2</v>
      </c>
      <c r="H55" s="3103">
        <f t="shared" si="37"/>
        <v>0.20817279352055884</v>
      </c>
      <c r="I55" s="3103">
        <f t="shared" si="3"/>
        <v>0.73743913006304374</v>
      </c>
      <c r="J55" s="3227">
        <v>1.0016966746882303</v>
      </c>
      <c r="K55" s="3227">
        <v>27.006215950548555</v>
      </c>
      <c r="L55" s="3227">
        <v>12.552104000058904</v>
      </c>
      <c r="M55" s="3497">
        <v>-1.8968672276162135</v>
      </c>
    </row>
    <row r="56" spans="2:13" ht="18" customHeight="1" x14ac:dyDescent="0.2">
      <c r="B56" s="2616" t="s">
        <v>564</v>
      </c>
      <c r="C56" s="2618" t="s">
        <v>564</v>
      </c>
      <c r="D56" s="3227">
        <v>4.1891534000952732E-2</v>
      </c>
      <c r="E56" s="3227">
        <v>0.27669414785371899</v>
      </c>
      <c r="F56" s="3227">
        <v>3.0817480802976499E-2</v>
      </c>
      <c r="G56" s="3103">
        <f t="shared" si="36"/>
        <v>5.099999999999999E-2</v>
      </c>
      <c r="H56" s="3103">
        <f t="shared" si="37"/>
        <v>0.20817279352055887</v>
      </c>
      <c r="I56" s="3103">
        <f t="shared" si="3"/>
        <v>0.73743913006304351</v>
      </c>
      <c r="J56" s="3227">
        <v>2.136468234048589E-3</v>
      </c>
      <c r="K56" s="3227">
        <v>5.7600193709499231E-2</v>
      </c>
      <c r="L56" s="3227">
        <v>2.6771748518529009E-2</v>
      </c>
      <c r="M56" s="3497">
        <v>-4.0457322844474758E-3</v>
      </c>
    </row>
    <row r="57" spans="2:13" ht="18" customHeight="1" x14ac:dyDescent="0.2">
      <c r="B57" s="2616" t="s">
        <v>565</v>
      </c>
      <c r="C57" s="2618" t="s">
        <v>565</v>
      </c>
      <c r="D57" s="3227">
        <v>51.906424490790336</v>
      </c>
      <c r="E57" s="3227">
        <v>342.84263479790468</v>
      </c>
      <c r="F57" s="3227">
        <v>38.184928731893677</v>
      </c>
      <c r="G57" s="3103">
        <f t="shared" si="36"/>
        <v>5.0999999999999997E-2</v>
      </c>
      <c r="H57" s="3103">
        <f t="shared" si="37"/>
        <v>0.20817279352055884</v>
      </c>
      <c r="I57" s="3103">
        <f t="shared" si="3"/>
        <v>0.73743913006304362</v>
      </c>
      <c r="J57" s="3227">
        <v>2.6472276490303068</v>
      </c>
      <c r="K57" s="3227">
        <v>71.370509023828575</v>
      </c>
      <c r="L57" s="3227">
        <v>33.171994678730329</v>
      </c>
      <c r="M57" s="3497">
        <v>-5.0129340531633346</v>
      </c>
    </row>
    <row r="58" spans="2:13" ht="18" customHeight="1" x14ac:dyDescent="0.2">
      <c r="B58" s="2616" t="s">
        <v>567</v>
      </c>
      <c r="C58" s="2618" t="s">
        <v>567</v>
      </c>
      <c r="D58" s="3227">
        <v>13.438167957128844</v>
      </c>
      <c r="E58" s="3227">
        <v>88.759280849642636</v>
      </c>
      <c r="F58" s="3227">
        <v>9.8857798579678082</v>
      </c>
      <c r="G58" s="3103">
        <f t="shared" si="36"/>
        <v>5.0999999999999997E-2</v>
      </c>
      <c r="H58" s="3103">
        <f t="shared" si="37"/>
        <v>0.20817279352055887</v>
      </c>
      <c r="I58" s="3103">
        <f t="shared" si="3"/>
        <v>0.73743913006304429</v>
      </c>
      <c r="J58" s="3227">
        <v>0.68534656581357101</v>
      </c>
      <c r="K58" s="3227">
        <v>18.477267445345952</v>
      </c>
      <c r="L58" s="3227">
        <v>8.5879703782111783</v>
      </c>
      <c r="M58" s="3497">
        <v>-1.2978094797566324</v>
      </c>
    </row>
    <row r="59" spans="2:13" ht="18" customHeight="1" x14ac:dyDescent="0.2">
      <c r="B59" s="2616" t="s">
        <v>569</v>
      </c>
      <c r="C59" s="2618" t="s">
        <v>569</v>
      </c>
      <c r="D59" s="3227">
        <v>1.9392203362372786</v>
      </c>
      <c r="E59" s="3227">
        <v>12.808576511511209</v>
      </c>
      <c r="F59" s="3227">
        <v>1.4265862282191628</v>
      </c>
      <c r="G59" s="3103">
        <f t="shared" si="36"/>
        <v>5.1000000000000004E-2</v>
      </c>
      <c r="H59" s="3103">
        <f t="shared" si="37"/>
        <v>0.20817279352055887</v>
      </c>
      <c r="I59" s="3103">
        <f t="shared" si="3"/>
        <v>0.73743913006304396</v>
      </c>
      <c r="J59" s="3227">
        <v>9.8900237148101214E-2</v>
      </c>
      <c r="K59" s="3227">
        <v>2.666397153423103</v>
      </c>
      <c r="L59" s="3227">
        <v>1.2393033676585108</v>
      </c>
      <c r="M59" s="3497">
        <v>-0.18728286056065213</v>
      </c>
    </row>
    <row r="60" spans="2:13" ht="18" customHeight="1" x14ac:dyDescent="0.2">
      <c r="B60" s="2616" t="s">
        <v>571</v>
      </c>
      <c r="C60" s="2618" t="s">
        <v>571</v>
      </c>
      <c r="D60" s="3227">
        <v>0.80858403594904882</v>
      </c>
      <c r="E60" s="3227">
        <v>5.3407084779935419</v>
      </c>
      <c r="F60" s="3227">
        <v>0.59483434063040896</v>
      </c>
      <c r="G60" s="3103">
        <f t="shared" si="36"/>
        <v>5.1000000000000004E-2</v>
      </c>
      <c r="H60" s="3103">
        <f t="shared" si="37"/>
        <v>0.20817279352055884</v>
      </c>
      <c r="I60" s="3103">
        <f t="shared" si="3"/>
        <v>0.73743913006304418</v>
      </c>
      <c r="J60" s="3227">
        <v>4.1237785833401493E-2</v>
      </c>
      <c r="K60" s="3227">
        <v>1.1117902032428477</v>
      </c>
      <c r="L60" s="3227">
        <v>0.51674422965826117</v>
      </c>
      <c r="M60" s="3497">
        <v>-7.8090110972147894E-2</v>
      </c>
    </row>
    <row r="61" spans="2:13" ht="18" customHeight="1" x14ac:dyDescent="0.2">
      <c r="B61" s="2616" t="s">
        <v>574</v>
      </c>
      <c r="C61" s="2618" t="s">
        <v>574</v>
      </c>
      <c r="D61" s="3227">
        <v>6.6530288921475056E-2</v>
      </c>
      <c r="E61" s="3227">
        <v>0.43943345686912777</v>
      </c>
      <c r="F61" s="3227">
        <v>4.8942965459498528E-2</v>
      </c>
      <c r="G61" s="3103">
        <f t="shared" si="36"/>
        <v>5.1000000000000004E-2</v>
      </c>
      <c r="H61" s="3103">
        <f t="shared" si="37"/>
        <v>0.20817279352055887</v>
      </c>
      <c r="I61" s="3103">
        <f t="shared" si="3"/>
        <v>0.73743913006304362</v>
      </c>
      <c r="J61" s="3227">
        <v>3.3930447349952279E-3</v>
      </c>
      <c r="K61" s="3227">
        <v>9.1478090282842345E-2</v>
      </c>
      <c r="L61" s="3227">
        <v>4.2517711665328348E-2</v>
      </c>
      <c r="M61" s="3497">
        <v>-6.4252537941701616E-3</v>
      </c>
    </row>
    <row r="62" spans="2:13" ht="18" customHeight="1" x14ac:dyDescent="0.2">
      <c r="B62" s="2616" t="s">
        <v>576</v>
      </c>
      <c r="C62" s="2618" t="s">
        <v>576</v>
      </c>
      <c r="D62" s="3227">
        <v>2.0910848484005897</v>
      </c>
      <c r="E62" s="3227">
        <v>13.811643665397064</v>
      </c>
      <c r="F62" s="3227">
        <v>1.5383052616673005</v>
      </c>
      <c r="G62" s="3103">
        <f t="shared" si="36"/>
        <v>5.1000000000000004E-2</v>
      </c>
      <c r="H62" s="3103">
        <f t="shared" si="37"/>
        <v>0.20817279352055884</v>
      </c>
      <c r="I62" s="3103">
        <f t="shared" si="3"/>
        <v>0.73743913006304396</v>
      </c>
      <c r="J62" s="3227">
        <v>0.10664532726843008</v>
      </c>
      <c r="K62" s="3227">
        <v>2.8752084449362374</v>
      </c>
      <c r="L62" s="3227">
        <v>1.3363558778013189</v>
      </c>
      <c r="M62" s="3497">
        <v>-0.2019493838659816</v>
      </c>
    </row>
    <row r="63" spans="2:13" ht="18" customHeight="1" x14ac:dyDescent="0.2">
      <c r="B63" s="2616" t="s">
        <v>577</v>
      </c>
      <c r="C63" s="2618" t="s">
        <v>577</v>
      </c>
      <c r="D63" s="3227">
        <v>1.5636165292873507</v>
      </c>
      <c r="E63" s="3227">
        <v>10.327708293788278</v>
      </c>
      <c r="F63" s="3227">
        <v>1.1502735224122795</v>
      </c>
      <c r="G63" s="3103">
        <f t="shared" si="36"/>
        <v>5.0999999999999997E-2</v>
      </c>
      <c r="H63" s="3103">
        <f t="shared" si="37"/>
        <v>0.20817279352055884</v>
      </c>
      <c r="I63" s="3103">
        <f t="shared" si="3"/>
        <v>0.73743913006304374</v>
      </c>
      <c r="J63" s="3227">
        <v>7.9744442993654879E-2</v>
      </c>
      <c r="K63" s="3227">
        <v>2.1499478861833503</v>
      </c>
      <c r="L63" s="3227">
        <v>0.99926511405727192</v>
      </c>
      <c r="M63" s="3497">
        <v>-0.1510084083550074</v>
      </c>
    </row>
    <row r="64" spans="2:13" ht="18" customHeight="1" x14ac:dyDescent="0.2">
      <c r="B64" s="104" t="s">
        <v>672</v>
      </c>
      <c r="C64" s="2508"/>
      <c r="D64" s="2108"/>
      <c r="E64" s="2108"/>
      <c r="F64" s="2108"/>
      <c r="G64" s="2108"/>
      <c r="H64" s="2108"/>
      <c r="I64" s="2108"/>
      <c r="J64" s="3103">
        <f>IF(SUM(J65:J76)=0,"NO",SUM(J65:J76))</f>
        <v>0.29231406413389921</v>
      </c>
      <c r="K64" s="3103">
        <f>IF(SUM(K65:K76)=0,"NO",SUM(K65:K76))</f>
        <v>473.75017614671037</v>
      </c>
      <c r="L64" s="3103">
        <f>IF(SUM(L65:L76)=0,"NO",SUM(L65:L76))</f>
        <v>113.49455839229249</v>
      </c>
      <c r="M64" s="3226">
        <f>IF(SUM(M65:M76)=0,"NO",SUM(M65:M76))</f>
        <v>-24.572438412800498</v>
      </c>
    </row>
    <row r="65" spans="2:13" ht="18" customHeight="1" x14ac:dyDescent="0.2">
      <c r="B65" s="2616" t="s">
        <v>559</v>
      </c>
      <c r="C65" s="2618" t="s">
        <v>559</v>
      </c>
      <c r="D65" s="3227">
        <v>0.72531694273105418</v>
      </c>
      <c r="E65" s="3227">
        <v>39.538305195827661</v>
      </c>
      <c r="F65" s="3227">
        <v>1.2667077185677358</v>
      </c>
      <c r="G65" s="3103">
        <f>IF(SUM(D65)=0,"NA",J65/D65)</f>
        <v>3.4999999999999996E-3</v>
      </c>
      <c r="H65" s="3103">
        <f>IF(SUM(E65)=0,"NA",K65/E65)</f>
        <v>0.10405848306550729</v>
      </c>
      <c r="I65" s="3103">
        <f t="shared" si="3"/>
        <v>0.60964855216683389</v>
      </c>
      <c r="J65" s="3227">
        <v>2.5386092995586893E-3</v>
      </c>
      <c r="K65" s="3227">
        <v>4.1142960616588917</v>
      </c>
      <c r="L65" s="3227">
        <v>0.9856465245271373</v>
      </c>
      <c r="M65" s="3497">
        <v>-0.21339999788376385</v>
      </c>
    </row>
    <row r="66" spans="2:13" ht="18" customHeight="1" x14ac:dyDescent="0.2">
      <c r="B66" s="2616" t="s">
        <v>560</v>
      </c>
      <c r="C66" s="2618" t="s">
        <v>560</v>
      </c>
      <c r="D66" s="3227">
        <v>6.8754174973661684</v>
      </c>
      <c r="E66" s="3227">
        <v>374.79112832525652</v>
      </c>
      <c r="F66" s="3227">
        <v>12.007363814633409</v>
      </c>
      <c r="G66" s="3103">
        <f t="shared" ref="G66:G76" si="38">IF(SUM(D66)=0,"NA",J66/D66)</f>
        <v>3.5000000000000001E-3</v>
      </c>
      <c r="H66" s="3103">
        <f t="shared" ref="H66:H76" si="39">IF(SUM(E66)=0,"NA",K66/E66)</f>
        <v>0.10405848306550729</v>
      </c>
      <c r="I66" s="3103">
        <f t="shared" si="3"/>
        <v>0.60964855216683278</v>
      </c>
      <c r="J66" s="3227">
        <v>2.4063961240781591E-2</v>
      </c>
      <c r="K66" s="3227">
        <v>39.000196279936077</v>
      </c>
      <c r="L66" s="3227">
        <v>9.3431312047329627</v>
      </c>
      <c r="M66" s="3497">
        <v>-2.0228592398012863</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16.296834218869588</v>
      </c>
      <c r="E68" s="3227">
        <v>888.3691626522459</v>
      </c>
      <c r="F68" s="3227">
        <v>28.461110553314899</v>
      </c>
      <c r="G68" s="3103">
        <f t="shared" si="38"/>
        <v>3.4999999999999996E-3</v>
      </c>
      <c r="H68" s="3103">
        <f t="shared" si="39"/>
        <v>0.10405848306550727</v>
      </c>
      <c r="I68" s="3103">
        <f t="shared" si="3"/>
        <v>0.60964855216683433</v>
      </c>
      <c r="J68" s="3227">
        <v>5.7038919766043548E-2</v>
      </c>
      <c r="K68" s="3227">
        <v>92.442347467767604</v>
      </c>
      <c r="L68" s="3227">
        <v>22.146067549644755</v>
      </c>
      <c r="M68" s="3497">
        <v>-4.7947927077561179</v>
      </c>
    </row>
    <row r="69" spans="2:13" ht="18" customHeight="1" x14ac:dyDescent="0.2">
      <c r="B69" s="2616" t="s">
        <v>564</v>
      </c>
      <c r="C69" s="2618" t="s">
        <v>564</v>
      </c>
      <c r="D69" s="3227">
        <v>3.4758694427140462E-2</v>
      </c>
      <c r="E69" s="3227">
        <v>1.8947577086702374</v>
      </c>
      <c r="F69" s="3227">
        <v>6.0703264909836886E-2</v>
      </c>
      <c r="G69" s="3103">
        <f t="shared" si="38"/>
        <v>3.4999999999999996E-3</v>
      </c>
      <c r="H69" s="3103">
        <f t="shared" si="39"/>
        <v>0.10405848306550727</v>
      </c>
      <c r="I69" s="3103">
        <f t="shared" si="3"/>
        <v>0.60964855216683411</v>
      </c>
      <c r="J69" s="3227">
        <v>1.2165543049499161E-4</v>
      </c>
      <c r="K69" s="3227">
        <v>0.19716561294090126</v>
      </c>
      <c r="L69" s="3227">
        <v>4.7234228708642245E-2</v>
      </c>
      <c r="M69" s="3497">
        <v>-1.0226571144560404E-2</v>
      </c>
    </row>
    <row r="70" spans="2:13" ht="18" customHeight="1" x14ac:dyDescent="0.2">
      <c r="B70" s="2616" t="s">
        <v>565</v>
      </c>
      <c r="C70" s="2618" t="s">
        <v>565</v>
      </c>
      <c r="D70" s="3227">
        <v>43.068357144424191</v>
      </c>
      <c r="E70" s="3227">
        <v>2347.7320723370462</v>
      </c>
      <c r="F70" s="3227">
        <v>75.215422675026204</v>
      </c>
      <c r="G70" s="3103">
        <f t="shared" si="38"/>
        <v>3.4999999999999996E-3</v>
      </c>
      <c r="H70" s="3103">
        <f t="shared" si="39"/>
        <v>0.10405848306550729</v>
      </c>
      <c r="I70" s="3103">
        <f t="shared" si="3"/>
        <v>0.60964855216683378</v>
      </c>
      <c r="J70" s="3227">
        <v>0.15073925000548466</v>
      </c>
      <c r="K70" s="3227">
        <v>244.30143809163286</v>
      </c>
      <c r="L70" s="3227">
        <v>58.526382103603538</v>
      </c>
      <c r="M70" s="3497">
        <v>-12.671408569157373</v>
      </c>
    </row>
    <row r="71" spans="2:13" ht="18" customHeight="1" x14ac:dyDescent="0.2">
      <c r="B71" s="2616" t="s">
        <v>567</v>
      </c>
      <c r="C71" s="2618" t="s">
        <v>567</v>
      </c>
      <c r="D71" s="3227">
        <v>11.15006133868979</v>
      </c>
      <c r="E71" s="3227">
        <v>607.80949980480955</v>
      </c>
      <c r="F71" s="3227">
        <v>19.472685564246024</v>
      </c>
      <c r="G71" s="3103">
        <f t="shared" si="38"/>
        <v>3.4999999999999996E-3</v>
      </c>
      <c r="H71" s="3103">
        <f t="shared" si="39"/>
        <v>0.10405848306550729</v>
      </c>
      <c r="I71" s="3103">
        <f t="shared" si="3"/>
        <v>0.60964855216683367</v>
      </c>
      <c r="J71" s="3227">
        <v>3.9025214685414263E-2</v>
      </c>
      <c r="K71" s="3227">
        <v>63.247734542493227</v>
      </c>
      <c r="L71" s="3227">
        <v>15.152023287037792</v>
      </c>
      <c r="M71" s="3497">
        <v>-3.2805287259951998</v>
      </c>
    </row>
    <row r="72" spans="2:13" ht="18" customHeight="1" x14ac:dyDescent="0.2">
      <c r="B72" s="2616" t="s">
        <v>569</v>
      </c>
      <c r="C72" s="2618" t="s">
        <v>569</v>
      </c>
      <c r="D72" s="3227">
        <v>1.6090307672341428</v>
      </c>
      <c r="E72" s="3227">
        <v>87.711103651924233</v>
      </c>
      <c r="F72" s="3227">
        <v>2.8100428546368645</v>
      </c>
      <c r="G72" s="3103">
        <f t="shared" si="38"/>
        <v>3.4999999999999996E-3</v>
      </c>
      <c r="H72" s="3103">
        <f t="shared" si="39"/>
        <v>0.10405848306550727</v>
      </c>
      <c r="I72" s="3103">
        <f t="shared" si="3"/>
        <v>0.609648552166834</v>
      </c>
      <c r="J72" s="3227">
        <v>5.6316076853194993E-3</v>
      </c>
      <c r="K72" s="3227">
        <v>9.1270843940207111</v>
      </c>
      <c r="L72" s="3227">
        <v>2.1865414829688152</v>
      </c>
      <c r="M72" s="3497">
        <v>-0.4734029251126935</v>
      </c>
    </row>
    <row r="73" spans="2:13" ht="18" customHeight="1" x14ac:dyDescent="0.2">
      <c r="B73" s="2616" t="s">
        <v>571</v>
      </c>
      <c r="C73" s="2618" t="s">
        <v>571</v>
      </c>
      <c r="D73" s="3227">
        <v>0.67090704827323244</v>
      </c>
      <c r="E73" s="3227">
        <v>36.572325930755099</v>
      </c>
      <c r="F73" s="3227">
        <v>1.1716852129350024</v>
      </c>
      <c r="G73" s="3103">
        <f t="shared" si="38"/>
        <v>3.4999999999999996E-3</v>
      </c>
      <c r="H73" s="3103">
        <f t="shared" si="39"/>
        <v>0.1040584830655073</v>
      </c>
      <c r="I73" s="3103">
        <f t="shared" si="3"/>
        <v>0.60964855216683345</v>
      </c>
      <c r="J73" s="3227">
        <v>2.3481746689563133E-3</v>
      </c>
      <c r="K73" s="3227">
        <v>3.8056607585316931</v>
      </c>
      <c r="L73" s="3227">
        <v>0.91170791891520953</v>
      </c>
      <c r="M73" s="3497">
        <v>-0.19739172525409726</v>
      </c>
    </row>
    <row r="74" spans="2:13" ht="18" customHeight="1" x14ac:dyDescent="0.2">
      <c r="B74" s="2616" t="s">
        <v>574</v>
      </c>
      <c r="C74" s="2618" t="s">
        <v>574</v>
      </c>
      <c r="D74" s="3227">
        <v>5.5202227321595028E-2</v>
      </c>
      <c r="E74" s="3227">
        <v>3.009170726265503</v>
      </c>
      <c r="F74" s="3227">
        <v>9.6406251268727414E-2</v>
      </c>
      <c r="G74" s="3103">
        <f t="shared" si="38"/>
        <v>3.4999999999999996E-3</v>
      </c>
      <c r="H74" s="3103">
        <f t="shared" si="39"/>
        <v>0.1040584830655073</v>
      </c>
      <c r="I74" s="3103">
        <f t="shared" si="3"/>
        <v>0.609648552166833</v>
      </c>
      <c r="J74" s="3227">
        <v>1.9320779562558257E-4</v>
      </c>
      <c r="K74" s="3227">
        <v>0.31312974106031916</v>
      </c>
      <c r="L74" s="3227">
        <v>7.501532130328592E-2</v>
      </c>
      <c r="M74" s="3497">
        <v>-1.6241389797474349E-2</v>
      </c>
    </row>
    <row r="75" spans="2:13" ht="18" customHeight="1" x14ac:dyDescent="0.2">
      <c r="B75" s="2616" t="s">
        <v>576</v>
      </c>
      <c r="C75" s="2618" t="s">
        <v>576</v>
      </c>
      <c r="D75" s="3227">
        <v>1.7350374246291964</v>
      </c>
      <c r="E75" s="3227">
        <v>94.579948681288286</v>
      </c>
      <c r="F75" s="3227">
        <v>3.0301033497250365</v>
      </c>
      <c r="G75" s="3103">
        <f t="shared" si="38"/>
        <v>3.5000000000000001E-3</v>
      </c>
      <c r="H75" s="3103">
        <f t="shared" si="39"/>
        <v>0.10405848306550727</v>
      </c>
      <c r="I75" s="3103">
        <f t="shared" si="3"/>
        <v>0.60964855216683378</v>
      </c>
      <c r="J75" s="3227">
        <v>6.0726309862021875E-3</v>
      </c>
      <c r="K75" s="3227">
        <v>9.8418459881883837</v>
      </c>
      <c r="L75" s="3227">
        <v>2.3577742456574544</v>
      </c>
      <c r="M75" s="3497">
        <v>-0.51047612558171285</v>
      </c>
    </row>
    <row r="76" spans="2:13" ht="18" customHeight="1" x14ac:dyDescent="0.2">
      <c r="B76" s="2616" t="s">
        <v>577</v>
      </c>
      <c r="C76" s="2618" t="s">
        <v>577</v>
      </c>
      <c r="D76" s="3227">
        <v>1.297380734290821</v>
      </c>
      <c r="E76" s="3227">
        <v>70.722510954218819</v>
      </c>
      <c r="F76" s="3227">
        <v>2.265771131526745</v>
      </c>
      <c r="G76" s="3103">
        <f t="shared" si="38"/>
        <v>3.4999999999999996E-3</v>
      </c>
      <c r="H76" s="3103">
        <f t="shared" si="39"/>
        <v>0.10405848306550729</v>
      </c>
      <c r="I76" s="3103">
        <f t="shared" si="3"/>
        <v>0.60964855216683267</v>
      </c>
      <c r="J76" s="3227">
        <v>4.540832570017873E-3</v>
      </c>
      <c r="K76" s="3227">
        <v>7.3592772084797327</v>
      </c>
      <c r="L76" s="3227">
        <v>1.7630345251929018</v>
      </c>
      <c r="M76" s="3497">
        <v>-0.38171043531621546</v>
      </c>
    </row>
    <row r="77" spans="2:13" ht="18" customHeight="1" x14ac:dyDescent="0.2">
      <c r="B77" s="104" t="s">
        <v>673</v>
      </c>
      <c r="C77" s="2508"/>
      <c r="D77" s="2108"/>
      <c r="E77" s="2108"/>
      <c r="F77" s="2108"/>
      <c r="G77" s="2108"/>
      <c r="H77" s="2108"/>
      <c r="I77" s="2108"/>
      <c r="J77" s="3103">
        <f>IF(SUM(J78:J89)=0,"NO",SUM(J78:J89))</f>
        <v>1.0887732612644101</v>
      </c>
      <c r="K77" s="3103">
        <f>IF(SUM(K78:K89)=0,"NO",SUM(K78:K89))</f>
        <v>550.40632493243083</v>
      </c>
      <c r="L77" s="3103">
        <f>IF(SUM(L78:L89)=0,"NO",SUM(L78:L89))</f>
        <v>522.26901164545632</v>
      </c>
      <c r="M77" s="3226">
        <f>IF(SUM(M78:M89)=0,"NO",SUM(M78:M89))</f>
        <v>-130.32969018693953</v>
      </c>
    </row>
    <row r="78" spans="2:13" ht="18" customHeight="1" x14ac:dyDescent="0.2">
      <c r="B78" s="2616" t="s">
        <v>559</v>
      </c>
      <c r="C78" s="2618" t="s">
        <v>559</v>
      </c>
      <c r="D78" s="3227">
        <v>0.90579135633526175</v>
      </c>
      <c r="E78" s="3227">
        <v>119.90341594988402</v>
      </c>
      <c r="F78" s="3227">
        <v>4.0121882129936441</v>
      </c>
      <c r="G78" s="3103">
        <f>IF(SUM(D78)=0,"NA",J78/D78)</f>
        <v>1.0438916654978724E-2</v>
      </c>
      <c r="H78" s="3103">
        <f>IF(SUM(E78)=0,"NA",K78/E78)</f>
        <v>3.986557343591373E-2</v>
      </c>
      <c r="I78" s="3103">
        <f t="shared" si="3"/>
        <v>0.84836685811548795</v>
      </c>
      <c r="J78" s="3227">
        <v>9.4554804755839321E-3</v>
      </c>
      <c r="K78" s="3227">
        <v>4.7800184337670109</v>
      </c>
      <c r="L78" s="3227">
        <v>3.7019145499858421</v>
      </c>
      <c r="M78" s="3497">
        <v>-0.29810704156043022</v>
      </c>
    </row>
    <row r="79" spans="2:13" ht="18" customHeight="1" x14ac:dyDescent="0.2">
      <c r="B79" s="2616" t="s">
        <v>560</v>
      </c>
      <c r="C79" s="2618" t="s">
        <v>560</v>
      </c>
      <c r="D79" s="3227">
        <v>8.586168850352788</v>
      </c>
      <c r="E79" s="3227">
        <v>1136.5873254135288</v>
      </c>
      <c r="F79" s="3227">
        <v>38.032296527466386</v>
      </c>
      <c r="G79" s="3103">
        <f t="shared" ref="G79:G89" si="40">IF(SUM(D79)=0,"NA",J79/D79)</f>
        <v>1.0438916654978724E-2</v>
      </c>
      <c r="H79" s="3103">
        <f t="shared" ref="H79:H89" si="41">IF(SUM(E79)=0,"NA",K79/E79)</f>
        <v>3.986557343591373E-2</v>
      </c>
      <c r="I79" s="3103">
        <f t="shared" ref="I79:I89" si="42">IF(SUM(F79)=0,"NA",(SUM(L79:M79))/F79)</f>
        <v>0.84836685811548818</v>
      </c>
      <c r="J79" s="3227">
        <v>8.9630301014407235E-2</v>
      </c>
      <c r="K79" s="3227">
        <v>45.310705487601808</v>
      </c>
      <c r="L79" s="3227">
        <v>119.92783916981892</v>
      </c>
      <c r="M79" s="3497">
        <v>-87.662499257895675</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20.351836144208661</v>
      </c>
      <c r="E81" s="3227">
        <v>2694.0582480450603</v>
      </c>
      <c r="F81" s="3227">
        <v>90.148130162051118</v>
      </c>
      <c r="G81" s="3103">
        <f t="shared" si="40"/>
        <v>1.0438916654978725E-2</v>
      </c>
      <c r="H81" s="3103">
        <f t="shared" si="41"/>
        <v>3.9865573435913744E-2</v>
      </c>
      <c r="I81" s="3103">
        <f t="shared" si="42"/>
        <v>0.84836685811548718</v>
      </c>
      <c r="J81" s="3227">
        <v>0.21245112128517779</v>
      </c>
      <c r="K81" s="3227">
        <v>107.40017692806947</v>
      </c>
      <c r="L81" s="3227">
        <v>83.176724765838642</v>
      </c>
      <c r="M81" s="3497">
        <v>-6.6980388152733505</v>
      </c>
    </row>
    <row r="82" spans="2:13" ht="18" customHeight="1" x14ac:dyDescent="0.2">
      <c r="B82" s="2616" t="s">
        <v>564</v>
      </c>
      <c r="C82" s="2618" t="s">
        <v>564</v>
      </c>
      <c r="D82" s="3227">
        <v>4.3407403184398938E-2</v>
      </c>
      <c r="E82" s="3227">
        <v>5.7460207396778085</v>
      </c>
      <c r="F82" s="3227">
        <v>0.19227239274807853</v>
      </c>
      <c r="G82" s="3103">
        <f t="shared" si="40"/>
        <v>1.0438916654978725E-2</v>
      </c>
      <c r="H82" s="3103">
        <f t="shared" si="41"/>
        <v>3.986557343591373E-2</v>
      </c>
      <c r="I82" s="3103">
        <f t="shared" si="42"/>
        <v>0.84836685811548795</v>
      </c>
      <c r="J82" s="3227">
        <v>4.5312626405099861E-4</v>
      </c>
      <c r="K82" s="3227">
        <v>0.22906841176190901</v>
      </c>
      <c r="L82" s="3227">
        <v>0.35540031363120284</v>
      </c>
      <c r="M82" s="3497">
        <v>-0.19228278789316833</v>
      </c>
    </row>
    <row r="83" spans="2:13" ht="18" customHeight="1" x14ac:dyDescent="0.2">
      <c r="B83" s="2616" t="s">
        <v>565</v>
      </c>
      <c r="C83" s="2618" t="s">
        <v>565</v>
      </c>
      <c r="D83" s="3227">
        <v>53.784688230348721</v>
      </c>
      <c r="E83" s="3227">
        <v>7119.7056579455466</v>
      </c>
      <c r="F83" s="3227">
        <v>238.23840959404225</v>
      </c>
      <c r="G83" s="3103">
        <f t="shared" si="40"/>
        <v>1.0438916654978725E-2</v>
      </c>
      <c r="H83" s="3103">
        <f t="shared" si="41"/>
        <v>3.9865573435913737E-2</v>
      </c>
      <c r="I83" s="3103">
        <f t="shared" si="42"/>
        <v>0.84836685811548773</v>
      </c>
      <c r="J83" s="3227">
        <v>0.5614538777506255</v>
      </c>
      <c r="K83" s="3227">
        <v>283.83114874891874</v>
      </c>
      <c r="L83" s="3227">
        <v>224.91477139718336</v>
      </c>
      <c r="M83" s="3497">
        <v>-22.80120036745506</v>
      </c>
    </row>
    <row r="84" spans="2:13" ht="18" customHeight="1" x14ac:dyDescent="0.2">
      <c r="B84" s="2616" t="s">
        <v>567</v>
      </c>
      <c r="C84" s="2618" t="s">
        <v>567</v>
      </c>
      <c r="D84" s="3227">
        <v>13.924435771712158</v>
      </c>
      <c r="E84" s="3227">
        <v>1843.2361962008838</v>
      </c>
      <c r="F84" s="3227">
        <v>61.678063811388689</v>
      </c>
      <c r="G84" s="3103">
        <f t="shared" si="40"/>
        <v>1.0438916654978725E-2</v>
      </c>
      <c r="H84" s="3103">
        <f t="shared" si="41"/>
        <v>3.9865573435913737E-2</v>
      </c>
      <c r="I84" s="3103">
        <f t="shared" si="42"/>
        <v>0.84836685811548795</v>
      </c>
      <c r="J84" s="3227">
        <v>0.1453560244885076</v>
      </c>
      <c r="K84" s="3227">
        <v>73.481667939380628</v>
      </c>
      <c r="L84" s="3227">
        <v>61.972952585151234</v>
      </c>
      <c r="M84" s="3497">
        <v>-9.6473273748368324</v>
      </c>
    </row>
    <row r="85" spans="2:13" ht="18" customHeight="1" x14ac:dyDescent="0.2">
      <c r="B85" s="2616" t="s">
        <v>569</v>
      </c>
      <c r="C85" s="2618" t="s">
        <v>569</v>
      </c>
      <c r="D85" s="3227" t="s">
        <v>2146</v>
      </c>
      <c r="E85" s="3227">
        <v>243.68395592758438</v>
      </c>
      <c r="F85" s="3227">
        <v>8.7225732002465435</v>
      </c>
      <c r="G85" s="3103" t="str">
        <f t="shared" si="40"/>
        <v>NA</v>
      </c>
      <c r="H85" s="3103">
        <f t="shared" si="41"/>
        <v>4.3515017388801702E-2</v>
      </c>
      <c r="I85" s="3103">
        <f t="shared" si="42"/>
        <v>0.86567902618297088</v>
      </c>
      <c r="J85" s="3227">
        <v>2.0975877037850539E-2</v>
      </c>
      <c r="K85" s="3227">
        <v>10.603911579560823</v>
      </c>
      <c r="L85" s="3227">
        <v>8.4042004610620573</v>
      </c>
      <c r="M85" s="3497">
        <v>-0.85325178726294926</v>
      </c>
    </row>
    <row r="86" spans="2:13" ht="18" customHeight="1" x14ac:dyDescent="0.2">
      <c r="B86" s="2616" t="s">
        <v>571</v>
      </c>
      <c r="C86" s="2618" t="s">
        <v>571</v>
      </c>
      <c r="D86" s="3227">
        <v>0.83784311302877224</v>
      </c>
      <c r="E86" s="3227">
        <v>110.90882086652533</v>
      </c>
      <c r="F86" s="3227">
        <v>3.7112125644834637</v>
      </c>
      <c r="G86" s="3103">
        <f t="shared" si="40"/>
        <v>1.0438916654978724E-2</v>
      </c>
      <c r="H86" s="3103">
        <f t="shared" si="41"/>
        <v>3.9865573435913737E-2</v>
      </c>
      <c r="I86" s="3103">
        <f t="shared" si="42"/>
        <v>0.84836685811548784</v>
      </c>
      <c r="J86" s="3227">
        <v>8.7461744268552723E-3</v>
      </c>
      <c r="K86" s="3227">
        <v>4.4214437429450673</v>
      </c>
      <c r="L86" s="3227">
        <v>3.4310143806441991</v>
      </c>
      <c r="M86" s="3497">
        <v>-0.28254463751464076</v>
      </c>
    </row>
    <row r="87" spans="2:13" ht="18" customHeight="1" x14ac:dyDescent="0.2">
      <c r="B87" s="2616" t="s">
        <v>574</v>
      </c>
      <c r="C87" s="2618" t="s">
        <v>574</v>
      </c>
      <c r="D87" s="3227">
        <v>6.8937725582532722E-2</v>
      </c>
      <c r="E87" s="3227">
        <v>9.1255770187565393</v>
      </c>
      <c r="F87" s="3227">
        <v>0.30535854430305814</v>
      </c>
      <c r="G87" s="3103">
        <f t="shared" si="40"/>
        <v>1.0438916654978724E-2</v>
      </c>
      <c r="H87" s="3103">
        <f t="shared" si="41"/>
        <v>3.986557343591373E-2</v>
      </c>
      <c r="I87" s="3103">
        <f t="shared" si="42"/>
        <v>0.84836685811548795</v>
      </c>
      <c r="J87" s="3227">
        <v>7.1963517173985361E-4</v>
      </c>
      <c r="K87" s="3227">
        <v>0.36379636078632549</v>
      </c>
      <c r="L87" s="3227">
        <v>0.76364187817347018</v>
      </c>
      <c r="M87" s="3497">
        <v>-0.5045858093443657</v>
      </c>
    </row>
    <row r="88" spans="2:13" ht="18" customHeight="1" x14ac:dyDescent="0.2">
      <c r="B88" s="2616" t="s">
        <v>576</v>
      </c>
      <c r="C88" s="2618" t="s">
        <v>576</v>
      </c>
      <c r="D88" s="3227" t="s">
        <v>2146</v>
      </c>
      <c r="E88" s="3227">
        <v>262.76737022426721</v>
      </c>
      <c r="F88" s="3227">
        <v>9.4056566534834598</v>
      </c>
      <c r="G88" s="3103" t="str">
        <f t="shared" si="40"/>
        <v>NA</v>
      </c>
      <c r="H88" s="3103">
        <f t="shared" si="41"/>
        <v>4.3515017388801702E-2</v>
      </c>
      <c r="I88" s="3103">
        <f t="shared" si="42"/>
        <v>0.86567902618297066</v>
      </c>
      <c r="J88" s="3227">
        <v>2.2618543048527624E-2</v>
      </c>
      <c r="K88" s="3227">
        <v>11.434326684518682</v>
      </c>
      <c r="L88" s="3227">
        <v>8.9989053380091466</v>
      </c>
      <c r="M88" s="3497">
        <v>-0.85662564561020671</v>
      </c>
    </row>
    <row r="89" spans="2:13" ht="18" customHeight="1" x14ac:dyDescent="0.2">
      <c r="B89" s="2616" t="s">
        <v>577</v>
      </c>
      <c r="C89" s="2618" t="s">
        <v>577</v>
      </c>
      <c r="D89" s="3227" t="s">
        <v>2146</v>
      </c>
      <c r="E89" s="3227">
        <v>196.48528549871781</v>
      </c>
      <c r="F89" s="3227">
        <v>7.0331149993445363</v>
      </c>
      <c r="G89" s="3103" t="str">
        <f t="shared" si="40"/>
        <v>NA</v>
      </c>
      <c r="H89" s="3103">
        <f t="shared" si="41"/>
        <v>4.3515017388801702E-2</v>
      </c>
      <c r="I89" s="3103">
        <f t="shared" si="42"/>
        <v>0.86567902618297066</v>
      </c>
      <c r="J89" s="3227">
        <v>1.6913100301083565E-2</v>
      </c>
      <c r="K89" s="3227">
        <v>8.5500606151203726</v>
      </c>
      <c r="L89" s="3227">
        <v>6.6216468059582745</v>
      </c>
      <c r="M89" s="3497">
        <v>-0.53322666229285143</v>
      </c>
    </row>
    <row r="90" spans="2:13" ht="18" customHeight="1" x14ac:dyDescent="0.2">
      <c r="B90" s="88" t="s">
        <v>475</v>
      </c>
      <c r="C90" s="2508" t="s">
        <v>623</v>
      </c>
      <c r="D90" s="2108"/>
      <c r="E90" s="2108"/>
      <c r="F90" s="2108"/>
      <c r="G90" s="2108"/>
      <c r="H90" s="2108"/>
      <c r="I90" s="2108"/>
      <c r="J90" s="3103">
        <f>IF(SUM(J91,J104)=0,"NO",SUM(J91,J104))</f>
        <v>25.386629198380579</v>
      </c>
      <c r="K90" s="3103">
        <f t="shared" ref="K90:M90" si="43">IF(SUM(K91,K104)=0,"NO",SUM(K91,K104))</f>
        <v>4.0297054502880316</v>
      </c>
      <c r="L90" s="3103">
        <f t="shared" si="43"/>
        <v>3.3052292305013284</v>
      </c>
      <c r="M90" s="3226" t="str">
        <f t="shared" si="43"/>
        <v>NO</v>
      </c>
    </row>
    <row r="91" spans="2:13" ht="18" customHeight="1" x14ac:dyDescent="0.2">
      <c r="B91" s="104" t="s">
        <v>674</v>
      </c>
      <c r="C91" s="2508"/>
      <c r="D91" s="2108"/>
      <c r="E91" s="2108"/>
      <c r="F91" s="2108"/>
      <c r="G91" s="2108"/>
      <c r="H91" s="2108"/>
      <c r="I91" s="2108"/>
      <c r="J91" s="3103">
        <f>IF(SUM(J92:J103)=0,"NO",SUM(J92:J103))</f>
        <v>25.386629198380579</v>
      </c>
      <c r="K91" s="3103">
        <f>IF(SUM(K92:K103)=0,"NO",SUM(K92:K103))</f>
        <v>4.0297054502880316</v>
      </c>
      <c r="L91" s="3103">
        <f>IF(SUM(L92:L103)=0,"NO",SUM(L92:L103))</f>
        <v>3.3052292305013284</v>
      </c>
      <c r="M91" s="3226" t="str">
        <f>IF(SUM(M92:M103)=0,"NO",SUM(M92:M103))</f>
        <v>NO</v>
      </c>
    </row>
    <row r="92" spans="2:13" ht="18" customHeight="1" x14ac:dyDescent="0.2">
      <c r="B92" s="2616" t="s">
        <v>559</v>
      </c>
      <c r="C92" s="2618" t="s">
        <v>559</v>
      </c>
      <c r="D92" s="3227">
        <v>0.36745143252234014</v>
      </c>
      <c r="E92" s="3227">
        <v>1.4666670803032931</v>
      </c>
      <c r="F92" s="3227">
        <v>2.8704351556209602E-2</v>
      </c>
      <c r="G92" s="3103">
        <f>IF(SUM(D92)=0,"NA",J92/D92)</f>
        <v>0.6</v>
      </c>
      <c r="H92" s="3103">
        <f>IF(SUM(E92)=0,"NA",K92/E92)</f>
        <v>2.3860960072225618E-2</v>
      </c>
      <c r="I92" s="3103">
        <f t="shared" ref="I92:I103" si="44">IF(SUM(F92)=0,"NA",(SUM(L92:M92))/F92)</f>
        <v>1.0000000000000056</v>
      </c>
      <c r="J92" s="3227">
        <v>0.22047085951340406</v>
      </c>
      <c r="K92" s="3227">
        <v>3.4996084642364603E-2</v>
      </c>
      <c r="L92" s="3227">
        <v>2.8704351556209762E-2</v>
      </c>
      <c r="M92" s="3497" t="s">
        <v>2146</v>
      </c>
    </row>
    <row r="93" spans="2:13" ht="18" customHeight="1" x14ac:dyDescent="0.2">
      <c r="B93" s="2616" t="s">
        <v>560</v>
      </c>
      <c r="C93" s="2618" t="s">
        <v>560</v>
      </c>
      <c r="D93" s="3227">
        <v>3.4831421407084635</v>
      </c>
      <c r="E93" s="3227">
        <v>13.902816703493604</v>
      </c>
      <c r="F93" s="3227">
        <v>0.27209401754357188</v>
      </c>
      <c r="G93" s="3103">
        <f t="shared" ref="G93:G103" si="45">IF(SUM(D93)=0,"NA",J93/D93)</f>
        <v>0.6</v>
      </c>
      <c r="H93" s="3103">
        <f t="shared" ref="H93:H103" si="46">IF(SUM(E93)=0,"NA",K93/E93)</f>
        <v>2.3860960072225622E-2</v>
      </c>
      <c r="I93" s="3103">
        <f t="shared" si="44"/>
        <v>1.0000000000000038</v>
      </c>
      <c r="J93" s="3227">
        <v>2.0898852844250779</v>
      </c>
      <c r="K93" s="3227">
        <v>0.33173455425353232</v>
      </c>
      <c r="L93" s="3227">
        <v>0.27209401754357287</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8.2561080908365998</v>
      </c>
      <c r="E95" s="3227">
        <v>32.95391139213892</v>
      </c>
      <c r="F95" s="3227">
        <v>0.64494572112202087</v>
      </c>
      <c r="G95" s="3103">
        <f t="shared" si="45"/>
        <v>0.6</v>
      </c>
      <c r="H95" s="3103">
        <f t="shared" si="46"/>
        <v>2.3860960072225618E-2</v>
      </c>
      <c r="I95" s="3103">
        <f t="shared" si="44"/>
        <v>1.0000000000000024</v>
      </c>
      <c r="J95" s="3227">
        <v>4.9536648545019597</v>
      </c>
      <c r="K95" s="3227">
        <v>0.78631196395148772</v>
      </c>
      <c r="L95" s="3227">
        <v>0.64494572112202242</v>
      </c>
      <c r="M95" s="3497" t="s">
        <v>2146</v>
      </c>
    </row>
    <row r="96" spans="2:13" ht="18" customHeight="1" x14ac:dyDescent="0.2">
      <c r="B96" s="2616" t="s">
        <v>564</v>
      </c>
      <c r="C96" s="2618" t="s">
        <v>564</v>
      </c>
      <c r="D96" s="3227">
        <v>1.7609035867503404E-2</v>
      </c>
      <c r="E96" s="3227">
        <v>7.0285732853081165E-2</v>
      </c>
      <c r="F96" s="3227">
        <v>1.3755721474183981E-3</v>
      </c>
      <c r="G96" s="3103">
        <f t="shared" si="45"/>
        <v>0.59999999999999987</v>
      </c>
      <c r="H96" s="3103">
        <f t="shared" si="46"/>
        <v>2.3860960072225625E-2</v>
      </c>
      <c r="I96" s="3103">
        <f t="shared" si="44"/>
        <v>1.0000000000000058</v>
      </c>
      <c r="J96" s="3227">
        <v>1.0565421520502041E-2</v>
      </c>
      <c r="K96" s="3227">
        <v>1.6770850652544865E-3</v>
      </c>
      <c r="L96" s="3227">
        <v>1.3755721474184059E-3</v>
      </c>
      <c r="M96" s="3497" t="s">
        <v>2146</v>
      </c>
    </row>
    <row r="97" spans="2:13" ht="18" customHeight="1" x14ac:dyDescent="0.2">
      <c r="B97" s="2616" t="s">
        <v>565</v>
      </c>
      <c r="C97" s="2618" t="s">
        <v>565</v>
      </c>
      <c r="D97" s="3227">
        <v>21.818778242673012</v>
      </c>
      <c r="E97" s="3227">
        <v>87.088744113198331</v>
      </c>
      <c r="F97" s="3227">
        <v>1.7044262881369669</v>
      </c>
      <c r="G97" s="3103">
        <f t="shared" si="45"/>
        <v>0.6</v>
      </c>
      <c r="H97" s="3103">
        <f t="shared" si="46"/>
        <v>2.3860960072225618E-2</v>
      </c>
      <c r="I97" s="3103">
        <f t="shared" si="44"/>
        <v>1.0000000000000049</v>
      </c>
      <c r="J97" s="3227">
        <v>13.091266945603806</v>
      </c>
      <c r="K97" s="3227">
        <v>2.0780210460252992</v>
      </c>
      <c r="L97" s="3227">
        <v>1.7044262881369754</v>
      </c>
      <c r="M97" s="3497" t="s">
        <v>2146</v>
      </c>
    </row>
    <row r="98" spans="2:13" ht="18" customHeight="1" x14ac:dyDescent="0.2">
      <c r="B98" s="2616" t="s">
        <v>567</v>
      </c>
      <c r="C98" s="2618" t="s">
        <v>567</v>
      </c>
      <c r="D98" s="3227">
        <v>5.6487113015540338</v>
      </c>
      <c r="E98" s="3227">
        <v>22.54659576438792</v>
      </c>
      <c r="F98" s="3227">
        <v>0.44126265592795977</v>
      </c>
      <c r="G98" s="3103">
        <f t="shared" si="45"/>
        <v>0.6</v>
      </c>
      <c r="H98" s="3103">
        <f t="shared" si="46"/>
        <v>2.3860960072225618E-2</v>
      </c>
      <c r="I98" s="3103">
        <f t="shared" si="44"/>
        <v>1.0000000000000064</v>
      </c>
      <c r="J98" s="3227">
        <v>3.3892267809324199</v>
      </c>
      <c r="K98" s="3227">
        <v>0.53798342129867138</v>
      </c>
      <c r="L98" s="3227">
        <v>0.44126265592796265</v>
      </c>
      <c r="M98" s="3497" t="s">
        <v>2146</v>
      </c>
    </row>
    <row r="99" spans="2:13" ht="18" customHeight="1" x14ac:dyDescent="0.2">
      <c r="B99" s="2616" t="s">
        <v>569</v>
      </c>
      <c r="C99" s="2618" t="s">
        <v>569</v>
      </c>
      <c r="D99" s="3227">
        <v>0.81514800711326618</v>
      </c>
      <c r="E99" s="3227">
        <v>3.2536293011598905</v>
      </c>
      <c r="F99" s="3227">
        <v>6.3677245196479895E-2</v>
      </c>
      <c r="G99" s="3103">
        <f t="shared" si="45"/>
        <v>0.60000000000000009</v>
      </c>
      <c r="H99" s="3103">
        <f t="shared" si="46"/>
        <v>2.3860960072225618E-2</v>
      </c>
      <c r="I99" s="3103">
        <f t="shared" si="44"/>
        <v>1.0000000000000051</v>
      </c>
      <c r="J99" s="3227">
        <v>0.48908880426795975</v>
      </c>
      <c r="K99" s="3227">
        <v>7.7634718844799486E-2</v>
      </c>
      <c r="L99" s="3227">
        <v>6.3677245196480214E-2</v>
      </c>
      <c r="M99" s="3497" t="s">
        <v>2146</v>
      </c>
    </row>
    <row r="100" spans="2:13" ht="18" customHeight="1" x14ac:dyDescent="0.2">
      <c r="B100" s="2616" t="s">
        <v>571</v>
      </c>
      <c r="C100" s="2618" t="s">
        <v>571</v>
      </c>
      <c r="D100" s="3227">
        <v>0.33988693969988404</v>
      </c>
      <c r="E100" s="3227">
        <v>1.356644555883022</v>
      </c>
      <c r="F100" s="3227">
        <v>2.6551084967988338E-2</v>
      </c>
      <c r="G100" s="3103">
        <f t="shared" si="45"/>
        <v>0.60000000000000009</v>
      </c>
      <c r="H100" s="3103">
        <f t="shared" si="46"/>
        <v>2.3860960072225622E-2</v>
      </c>
      <c r="I100" s="3103">
        <f t="shared" si="44"/>
        <v>1.0000000000000029</v>
      </c>
      <c r="J100" s="3227">
        <v>0.20393216381993046</v>
      </c>
      <c r="K100" s="3227">
        <v>3.2370841580127048E-2</v>
      </c>
      <c r="L100" s="3227">
        <v>2.6551084967988414E-2</v>
      </c>
      <c r="M100" s="3497" t="s">
        <v>2146</v>
      </c>
    </row>
    <row r="101" spans="2:13" ht="18" customHeight="1" x14ac:dyDescent="0.2">
      <c r="B101" s="2616" t="s">
        <v>574</v>
      </c>
      <c r="C101" s="2618" t="s">
        <v>574</v>
      </c>
      <c r="D101" s="3227">
        <v>2.7965895062877732E-2</v>
      </c>
      <c r="E101" s="3227">
        <v>0.11162470473549031</v>
      </c>
      <c r="F101" s="3227">
        <v>2.1846230887128302E-3</v>
      </c>
      <c r="G101" s="3103">
        <f t="shared" si="45"/>
        <v>0.6</v>
      </c>
      <c r="H101" s="3103">
        <f t="shared" si="46"/>
        <v>2.3860960072225618E-2</v>
      </c>
      <c r="I101" s="3103">
        <f t="shared" si="44"/>
        <v>1.0000000000000042</v>
      </c>
      <c r="J101" s="3227">
        <v>1.6779537037726638E-2</v>
      </c>
      <c r="K101" s="3227">
        <v>2.6634726227675082E-3</v>
      </c>
      <c r="L101" s="3227">
        <v>2.1846230887128393E-3</v>
      </c>
      <c r="M101" s="3497" t="s">
        <v>2146</v>
      </c>
    </row>
    <row r="102" spans="2:13" ht="18" customHeight="1" x14ac:dyDescent="0.2">
      <c r="B102" s="2616" t="s">
        <v>576</v>
      </c>
      <c r="C102" s="2618" t="s">
        <v>576</v>
      </c>
      <c r="D102" s="3227">
        <v>0.87898399940764804</v>
      </c>
      <c r="E102" s="3227">
        <v>3.5084280041992977</v>
      </c>
      <c r="F102" s="3227">
        <v>6.8663947118361837E-2</v>
      </c>
      <c r="G102" s="3103">
        <f t="shared" si="45"/>
        <v>0.6</v>
      </c>
      <c r="H102" s="3103">
        <f t="shared" si="46"/>
        <v>2.3860960072225618E-2</v>
      </c>
      <c r="I102" s="3103">
        <f t="shared" si="44"/>
        <v>1.0000000000000056</v>
      </c>
      <c r="J102" s="3227">
        <v>0.52739039964458878</v>
      </c>
      <c r="K102" s="3227">
        <v>8.371446052447766E-2</v>
      </c>
      <c r="L102" s="3227">
        <v>6.8663947118362212E-2</v>
      </c>
      <c r="M102" s="3497" t="s">
        <v>2146</v>
      </c>
    </row>
    <row r="103" spans="2:13" ht="18" customHeight="1" x14ac:dyDescent="0.2">
      <c r="B103" s="2616" t="s">
        <v>577</v>
      </c>
      <c r="C103" s="2618" t="s">
        <v>577</v>
      </c>
      <c r="D103" s="3227">
        <v>0.6572635785219979</v>
      </c>
      <c r="E103" s="3227">
        <v>2.6234401838723134</v>
      </c>
      <c r="F103" s="3227">
        <v>5.1343723695622769E-2</v>
      </c>
      <c r="G103" s="3103">
        <f t="shared" si="45"/>
        <v>0.60000000000000009</v>
      </c>
      <c r="H103" s="3103">
        <f t="shared" si="46"/>
        <v>2.3860960072225622E-2</v>
      </c>
      <c r="I103" s="3103">
        <f t="shared" si="44"/>
        <v>1.0000000000000047</v>
      </c>
      <c r="J103" s="3227">
        <v>0.39435814711319883</v>
      </c>
      <c r="K103" s="3227">
        <v>6.259780147924951E-2</v>
      </c>
      <c r="L103" s="3227">
        <v>5.1343723695623011E-2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0.14478721613952805</v>
      </c>
      <c r="K117" s="3103">
        <f>IF(SUM(K118:K129)=0,"NO",SUM(K118:K129))</f>
        <v>19.813695868603425</v>
      </c>
      <c r="L117" s="3103">
        <f>IF(SUM(L118:L129)=0,"NO",SUM(L118:L129))</f>
        <v>21.86672334981143</v>
      </c>
      <c r="M117" s="3226">
        <f>IF(SUM(M118:M129)=0,"NO",SUM(M118:M129))</f>
        <v>-8.0251839538616601</v>
      </c>
    </row>
    <row r="118" spans="2:13" ht="18" customHeight="1" x14ac:dyDescent="0.2">
      <c r="B118" s="2616" t="s">
        <v>559</v>
      </c>
      <c r="C118" s="2618" t="s">
        <v>559</v>
      </c>
      <c r="D118" s="3227">
        <v>0.3579045340186518</v>
      </c>
      <c r="E118" s="3227">
        <v>3.4392981957653244</v>
      </c>
      <c r="F118" s="3227">
        <v>0.25959706758375811</v>
      </c>
      <c r="G118" s="3103">
        <f>IF(SUM(D118)=0,"NA",J118/D118)</f>
        <v>3.5132509572944784E-3</v>
      </c>
      <c r="H118" s="3103">
        <f>IF(SUM(E118)=0,"NA",K118/E118)</f>
        <v>5.0031303285636881E-2</v>
      </c>
      <c r="I118" s="3103">
        <f t="shared" ref="I118:I129" si="72">IF(SUM(F118)=0,"NA",(SUM(L118:M118))/F118)</f>
        <v>0.46305306835502374</v>
      </c>
      <c r="J118" s="3227">
        <v>1.2574084467610626E-3</v>
      </c>
      <c r="K118" s="3227">
        <v>0.17207257112207866</v>
      </c>
      <c r="L118" s="3227">
        <v>0.18990214313219184</v>
      </c>
      <c r="M118" s="3497">
        <v>-6.9694924451566179E-2</v>
      </c>
    </row>
    <row r="119" spans="2:13" ht="18" customHeight="1" x14ac:dyDescent="0.2">
      <c r="B119" s="2616" t="s">
        <v>560</v>
      </c>
      <c r="C119" s="2618" t="s">
        <v>560</v>
      </c>
      <c r="D119" s="3227">
        <v>3.3926452707874515</v>
      </c>
      <c r="E119" s="3227">
        <v>32.601762899385243</v>
      </c>
      <c r="F119" s="3227">
        <v>2.4607700655796378</v>
      </c>
      <c r="G119" s="3103">
        <f t="shared" ref="G119:G129" si="73">IF(SUM(D119)=0,"NA",J119/D119)</f>
        <v>3.5132509572944788E-3</v>
      </c>
      <c r="H119" s="3103">
        <f t="shared" ref="H119:H129" si="74">IF(SUM(E119)=0,"NA",K119/E119)</f>
        <v>5.0031303285636868E-2</v>
      </c>
      <c r="I119" s="3103">
        <f t="shared" si="72"/>
        <v>0.46305306835502352</v>
      </c>
      <c r="J119" s="3227">
        <v>1.19192142453546E-2</v>
      </c>
      <c r="K119" s="3227">
        <v>1.6311086872655671</v>
      </c>
      <c r="L119" s="3227">
        <v>1.8001185974812404</v>
      </c>
      <c r="M119" s="3497">
        <v>-0.66065146809839648</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8.0416029372231197</v>
      </c>
      <c r="E121" s="3227">
        <v>77.276110929657222</v>
      </c>
      <c r="F121" s="3227">
        <v>5.8327747842033943</v>
      </c>
      <c r="G121" s="3103">
        <f t="shared" si="73"/>
        <v>3.5132509572944788E-3</v>
      </c>
      <c r="H121" s="3103">
        <f t="shared" si="74"/>
        <v>5.0031303285636881E-2</v>
      </c>
      <c r="I121" s="3103">
        <f t="shared" si="72"/>
        <v>0.46305306835502374</v>
      </c>
      <c r="J121" s="3227">
        <v>2.8252169217381218E-2</v>
      </c>
      <c r="K121" s="3227">
        <v>3.8662245426561994</v>
      </c>
      <c r="L121" s="3227">
        <v>4.2668295225262929</v>
      </c>
      <c r="M121" s="3497">
        <v>-1.5659452616770999</v>
      </c>
    </row>
    <row r="122" spans="2:13" ht="18" customHeight="1" x14ac:dyDescent="0.2">
      <c r="B122" s="2616" t="s">
        <v>564</v>
      </c>
      <c r="C122" s="2618" t="s">
        <v>564</v>
      </c>
      <c r="D122" s="3227">
        <v>1.7151528661664323E-2</v>
      </c>
      <c r="E122" s="3227">
        <v>0.16481831319187817</v>
      </c>
      <c r="F122" s="3227">
        <v>1.2440430678966481E-2</v>
      </c>
      <c r="G122" s="3103">
        <f t="shared" si="73"/>
        <v>3.5132509572944788E-3</v>
      </c>
      <c r="H122" s="3103">
        <f t="shared" si="74"/>
        <v>5.0031303285636868E-2</v>
      </c>
      <c r="I122" s="3103">
        <f t="shared" si="72"/>
        <v>0.4630530683550238</v>
      </c>
      <c r="J122" s="3227">
        <v>6.0257624489655872E-5</v>
      </c>
      <c r="K122" s="3227">
        <v>8.2460750143299403E-3</v>
      </c>
      <c r="L122" s="3227">
        <v>9.10050513825994E-3</v>
      </c>
      <c r="M122" s="3497">
        <v>-3.3399255407065387E-3</v>
      </c>
    </row>
    <row r="123" spans="2:13" ht="18" customHeight="1" x14ac:dyDescent="0.2">
      <c r="B123" s="2616" t="s">
        <v>565</v>
      </c>
      <c r="C123" s="2618" t="s">
        <v>565</v>
      </c>
      <c r="D123" s="3227">
        <v>21.251896083778124</v>
      </c>
      <c r="E123" s="3227">
        <v>204.22096092731027</v>
      </c>
      <c r="F123" s="3227">
        <v>15.41452923772138</v>
      </c>
      <c r="G123" s="3103">
        <f t="shared" si="73"/>
        <v>3.5132509572944779E-3</v>
      </c>
      <c r="H123" s="3103">
        <f t="shared" si="74"/>
        <v>5.0031303285636874E-2</v>
      </c>
      <c r="I123" s="3103">
        <f t="shared" si="72"/>
        <v>0.46305306835502369</v>
      </c>
      <c r="J123" s="3227">
        <v>7.4663244260656264E-2</v>
      </c>
      <c r="K123" s="3227">
        <v>10.217440833438458</v>
      </c>
      <c r="L123" s="3227">
        <v>11.276137149248243</v>
      </c>
      <c r="M123" s="3497">
        <v>-4.1383920884731333</v>
      </c>
    </row>
    <row r="124" spans="2:13" ht="18" customHeight="1" x14ac:dyDescent="0.2">
      <c r="B124" s="2616" t="s">
        <v>567</v>
      </c>
      <c r="C124" s="2618" t="s">
        <v>567</v>
      </c>
      <c r="D124" s="3227">
        <v>5.5019499374673781</v>
      </c>
      <c r="E124" s="3227">
        <v>52.871211997936172</v>
      </c>
      <c r="F124" s="3227">
        <v>3.9907012457258761</v>
      </c>
      <c r="G124" s="3103">
        <f t="shared" si="73"/>
        <v>3.5132509572944788E-3</v>
      </c>
      <c r="H124" s="3103">
        <f t="shared" si="74"/>
        <v>5.0031303285636874E-2</v>
      </c>
      <c r="I124" s="3103">
        <f t="shared" si="72"/>
        <v>0.46305306835502391</v>
      </c>
      <c r="J124" s="3227">
        <v>1.9329730884793565E-2</v>
      </c>
      <c r="K124" s="3227">
        <v>2.6452156425479476</v>
      </c>
      <c r="L124" s="3227">
        <v>2.9193038512237295</v>
      </c>
      <c r="M124" s="3497">
        <v>-1.0713973945021462</v>
      </c>
    </row>
    <row r="125" spans="2:13" ht="18" customHeight="1" x14ac:dyDescent="0.2">
      <c r="B125" s="2616" t="s">
        <v>569</v>
      </c>
      <c r="C125" s="2618" t="s">
        <v>569</v>
      </c>
      <c r="D125" s="3227">
        <v>0.79396932987700031</v>
      </c>
      <c r="E125" s="3227">
        <v>7.6296806108543569</v>
      </c>
      <c r="F125" s="3227">
        <v>0.575885718667005</v>
      </c>
      <c r="G125" s="3103">
        <f t="shared" si="73"/>
        <v>3.5132509572944788E-3</v>
      </c>
      <c r="H125" s="3103">
        <f t="shared" si="74"/>
        <v>5.0031303285636874E-2</v>
      </c>
      <c r="I125" s="3103">
        <f t="shared" si="72"/>
        <v>0.46305306835502358</v>
      </c>
      <c r="J125" s="3227">
        <v>2.7894135082528271E-3</v>
      </c>
      <c r="K125" s="3227">
        <v>0.38172286461419752</v>
      </c>
      <c r="L125" s="3227">
        <v>0.4212756838587996</v>
      </c>
      <c r="M125" s="3497">
        <v>-0.15461003480820507</v>
      </c>
    </row>
    <row r="126" spans="2:13" ht="18" customHeight="1" x14ac:dyDescent="0.2">
      <c r="B126" s="2616" t="s">
        <v>571</v>
      </c>
      <c r="C126" s="2618" t="s">
        <v>571</v>
      </c>
      <c r="D126" s="3227">
        <v>0.33105620499905586</v>
      </c>
      <c r="E126" s="3227">
        <v>3.1812980846194914</v>
      </c>
      <c r="F126" s="3227">
        <v>0.24012330622971007</v>
      </c>
      <c r="G126" s="3103">
        <f t="shared" si="73"/>
        <v>3.5132509572944784E-3</v>
      </c>
      <c r="H126" s="3103">
        <f t="shared" si="74"/>
        <v>5.0031303285636868E-2</v>
      </c>
      <c r="I126" s="3103">
        <f t="shared" si="72"/>
        <v>0.46305306835502374</v>
      </c>
      <c r="J126" s="3227">
        <v>1.1630835291312101E-3</v>
      </c>
      <c r="K126" s="3227">
        <v>0.15916448931361343</v>
      </c>
      <c r="L126" s="3227">
        <v>0.17565656998146512</v>
      </c>
      <c r="M126" s="3497">
        <v>-6.446673624824488E-2</v>
      </c>
    </row>
    <row r="127" spans="2:13" ht="18" customHeight="1" x14ac:dyDescent="0.2">
      <c r="B127" s="2616" t="s">
        <v>574</v>
      </c>
      <c r="C127" s="2618" t="s">
        <v>574</v>
      </c>
      <c r="D127" s="3227">
        <v>2.7239302272376465E-2</v>
      </c>
      <c r="E127" s="3227">
        <v>0.26175718454130692</v>
      </c>
      <c r="F127" s="3227">
        <v>1.975734398650569E-2</v>
      </c>
      <c r="G127" s="3103">
        <f t="shared" si="73"/>
        <v>3.5132509572944788E-3</v>
      </c>
      <c r="H127" s="3103">
        <f t="shared" si="74"/>
        <v>5.0031303285636874E-2</v>
      </c>
      <c r="I127" s="3103">
        <f t="shared" si="72"/>
        <v>0.4630530683550238</v>
      </c>
      <c r="J127" s="3227">
        <v>9.5698504784460289E-5</v>
      </c>
      <c r="K127" s="3227">
        <v>1.3096053086980546E-2</v>
      </c>
      <c r="L127" s="3227">
        <v>1.445302137100141E-2</v>
      </c>
      <c r="M127" s="3497">
        <v>-5.3043226155042736E-3</v>
      </c>
    </row>
    <row r="128" spans="2:13" ht="18" customHeight="1" x14ac:dyDescent="0.2">
      <c r="B128" s="2616" t="s">
        <v>576</v>
      </c>
      <c r="C128" s="2618" t="s">
        <v>576</v>
      </c>
      <c r="D128" s="3227">
        <v>0.85614677444132359</v>
      </c>
      <c r="E128" s="3227">
        <v>8.227177296649991</v>
      </c>
      <c r="F128" s="3227">
        <v>0.6209845669478955</v>
      </c>
      <c r="G128" s="3103">
        <f t="shared" si="73"/>
        <v>3.5132509572944784E-3</v>
      </c>
      <c r="H128" s="3103">
        <f t="shared" si="74"/>
        <v>5.0031303285636874E-2</v>
      </c>
      <c r="I128" s="3103">
        <f t="shared" si="72"/>
        <v>0.46305306835502374</v>
      </c>
      <c r="J128" s="3227">
        <v>3.00785847489056E-3</v>
      </c>
      <c r="K128" s="3227">
        <v>0.41161640251340181</v>
      </c>
      <c r="L128" s="3227">
        <v>0.45426668803711701</v>
      </c>
      <c r="M128" s="3497">
        <v>-0.16671787891077833</v>
      </c>
    </row>
    <row r="129" spans="2:13" ht="18" customHeight="1" x14ac:dyDescent="0.2">
      <c r="B129" s="2616" t="s">
        <v>577</v>
      </c>
      <c r="C129" s="2618" t="s">
        <v>577</v>
      </c>
      <c r="D129" s="3227">
        <v>0.64018695799762693</v>
      </c>
      <c r="E129" s="3227">
        <v>6.1519026452986658</v>
      </c>
      <c r="F129" s="3227">
        <v>0.46434353634896858</v>
      </c>
      <c r="G129" s="3103">
        <f t="shared" si="73"/>
        <v>3.5132509572944792E-3</v>
      </c>
      <c r="H129" s="3103">
        <f t="shared" si="74"/>
        <v>5.0031303285636874E-2</v>
      </c>
      <c r="I129" s="3103">
        <f t="shared" si="72"/>
        <v>0.46305306835502358</v>
      </c>
      <c r="J129" s="3227">
        <v>2.2491374430326032E-3</v>
      </c>
      <c r="K129" s="3227">
        <v>0.30778770703064934</v>
      </c>
      <c r="L129" s="3227">
        <v>0.33967961781309031</v>
      </c>
      <c r="M129" s="3497">
        <v>-0.12466391853587801</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62.807062936318125</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62.807062936318125</v>
      </c>
      <c r="L131" s="3229"/>
      <c r="M131" s="3226" t="str">
        <f>IF(SUM(M132:M143)=0,"NO",SUM(M132:M143))</f>
        <v>NO</v>
      </c>
    </row>
    <row r="132" spans="2:13" ht="18" customHeight="1" x14ac:dyDescent="0.2">
      <c r="B132" s="2616" t="s">
        <v>559</v>
      </c>
      <c r="C132" s="2618" t="s">
        <v>559</v>
      </c>
      <c r="D132" s="3227" t="s">
        <v>2146</v>
      </c>
      <c r="E132" s="3227">
        <v>0.68908495322464169</v>
      </c>
      <c r="F132" s="3229"/>
      <c r="G132" s="3103" t="str">
        <f>IF(SUM(D132)=0,"NA",J132/D132)</f>
        <v>NA</v>
      </c>
      <c r="H132" s="3103">
        <f>IF(SUM(E132)=0,"NA",K132/E132)</f>
        <v>0.7915564162276153</v>
      </c>
      <c r="I132" s="4327"/>
      <c r="J132" s="3227" t="s">
        <v>2146</v>
      </c>
      <c r="K132" s="3227">
        <v>0.54544961605087128</v>
      </c>
      <c r="L132" s="3229"/>
      <c r="M132" s="3497" t="s">
        <v>2146</v>
      </c>
    </row>
    <row r="133" spans="2:13" ht="18" customHeight="1" x14ac:dyDescent="0.2">
      <c r="B133" s="2616" t="s">
        <v>560</v>
      </c>
      <c r="C133" s="2618" t="s">
        <v>560</v>
      </c>
      <c r="D133" s="3227" t="s">
        <v>2146</v>
      </c>
      <c r="E133" s="3227">
        <v>6.531967565424976</v>
      </c>
      <c r="F133" s="3229"/>
      <c r="G133" s="3103" t="str">
        <f t="shared" ref="G133:G143" si="75">IF(SUM(D133)=0,"NA",J133/D133)</f>
        <v>NA</v>
      </c>
      <c r="H133" s="3103">
        <f t="shared" ref="H133:H143" si="76">IF(SUM(E133)=0,"NA",K133/E133)</f>
        <v>0.79155641622761508</v>
      </c>
      <c r="I133" s="4327"/>
      <c r="J133" s="3227" t="s">
        <v>2146</v>
      </c>
      <c r="K133" s="3227">
        <v>5.1704208370028137</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15.482753240445831</v>
      </c>
      <c r="F135" s="3229"/>
      <c r="G135" s="3103" t="str">
        <f t="shared" si="75"/>
        <v>NA</v>
      </c>
      <c r="H135" s="3103">
        <f t="shared" si="76"/>
        <v>0.79155641622761519</v>
      </c>
      <c r="I135" s="4327"/>
      <c r="J135" s="3227" t="s">
        <v>2146</v>
      </c>
      <c r="K135" s="3227">
        <v>12.255472668343797</v>
      </c>
      <c r="L135" s="3229"/>
      <c r="M135" s="3497" t="s">
        <v>2146</v>
      </c>
    </row>
    <row r="136" spans="2:13" ht="18" customHeight="1" x14ac:dyDescent="0.2">
      <c r="B136" s="2616" t="s">
        <v>564</v>
      </c>
      <c r="C136" s="2618" t="s">
        <v>564</v>
      </c>
      <c r="D136" s="3227" t="s">
        <v>2146</v>
      </c>
      <c r="E136" s="3227">
        <v>3.3022382233744312E-2</v>
      </c>
      <c r="F136" s="3229"/>
      <c r="G136" s="3103" t="str">
        <f t="shared" si="75"/>
        <v>NA</v>
      </c>
      <c r="H136" s="3103">
        <f t="shared" si="76"/>
        <v>0.79155641622761519</v>
      </c>
      <c r="I136" s="4327"/>
      <c r="J136" s="3227" t="s">
        <v>2146</v>
      </c>
      <c r="K136" s="3227">
        <v>2.6139078536241117E-2</v>
      </c>
      <c r="L136" s="3229"/>
      <c r="M136" s="3497" t="s">
        <v>2146</v>
      </c>
    </row>
    <row r="137" spans="2:13" ht="18" customHeight="1" x14ac:dyDescent="0.2">
      <c r="B137" s="2616" t="s">
        <v>565</v>
      </c>
      <c r="C137" s="2618" t="s">
        <v>565</v>
      </c>
      <c r="D137" s="3227" t="s">
        <v>2146</v>
      </c>
      <c r="E137" s="3227">
        <v>40.916949708332062</v>
      </c>
      <c r="F137" s="3229"/>
      <c r="G137" s="3103" t="str">
        <f t="shared" si="75"/>
        <v>NA</v>
      </c>
      <c r="H137" s="3103">
        <f t="shared" si="76"/>
        <v>0.79155641622761519</v>
      </c>
      <c r="I137" s="4327"/>
      <c r="J137" s="3227" t="s">
        <v>2146</v>
      </c>
      <c r="K137" s="3227">
        <v>32.388074074092891</v>
      </c>
      <c r="L137" s="3229"/>
      <c r="M137" s="3497" t="s">
        <v>2146</v>
      </c>
    </row>
    <row r="138" spans="2:13" ht="18" customHeight="1" x14ac:dyDescent="0.2">
      <c r="B138" s="2616" t="s">
        <v>567</v>
      </c>
      <c r="C138" s="2618" t="s">
        <v>567</v>
      </c>
      <c r="D138" s="3227" t="s">
        <v>2146</v>
      </c>
      <c r="E138" s="3227">
        <v>10.593078754085999</v>
      </c>
      <c r="F138" s="3229"/>
      <c r="G138" s="3103" t="str">
        <f t="shared" si="75"/>
        <v>NA</v>
      </c>
      <c r="H138" s="3103">
        <f t="shared" si="76"/>
        <v>0.79155641622761508</v>
      </c>
      <c r="I138" s="4327"/>
      <c r="J138" s="3227" t="s">
        <v>2146</v>
      </c>
      <c r="K138" s="3227">
        <v>8.3850194554012027</v>
      </c>
      <c r="L138" s="3229"/>
      <c r="M138" s="3497" t="s">
        <v>2146</v>
      </c>
    </row>
    <row r="139" spans="2:13" ht="18" customHeight="1" x14ac:dyDescent="0.2">
      <c r="B139" s="2616" t="s">
        <v>569</v>
      </c>
      <c r="C139" s="2618" t="s">
        <v>569</v>
      </c>
      <c r="D139" s="3227" t="s">
        <v>2146</v>
      </c>
      <c r="E139" s="3227">
        <v>1.5286543380631796</v>
      </c>
      <c r="F139" s="3229"/>
      <c r="G139" s="3103" t="str">
        <f t="shared" si="75"/>
        <v>NA</v>
      </c>
      <c r="H139" s="3103">
        <f t="shared" si="76"/>
        <v>0.7915564162276153</v>
      </c>
      <c r="I139" s="4327"/>
      <c r="J139" s="3227" t="s">
        <v>2146</v>
      </c>
      <c r="K139" s="3227">
        <v>1.2100161494880879</v>
      </c>
      <c r="L139" s="3229"/>
      <c r="M139" s="3497" t="s">
        <v>2146</v>
      </c>
    </row>
    <row r="140" spans="2:13" ht="18" customHeight="1" x14ac:dyDescent="0.2">
      <c r="B140" s="2616" t="s">
        <v>571</v>
      </c>
      <c r="C140" s="2618" t="s">
        <v>571</v>
      </c>
      <c r="D140" s="3227" t="s">
        <v>2146</v>
      </c>
      <c r="E140" s="3227">
        <v>0.63739301364819634</v>
      </c>
      <c r="F140" s="3229"/>
      <c r="G140" s="3103" t="str">
        <f t="shared" si="75"/>
        <v>NA</v>
      </c>
      <c r="H140" s="3103">
        <f t="shared" si="76"/>
        <v>0.79155641622761508</v>
      </c>
      <c r="I140" s="4327"/>
      <c r="J140" s="3227" t="s">
        <v>2146</v>
      </c>
      <c r="K140" s="3227">
        <v>0.50453252961188566</v>
      </c>
      <c r="L140" s="3229"/>
      <c r="M140" s="3497" t="s">
        <v>2146</v>
      </c>
    </row>
    <row r="141" spans="2:13" ht="18" customHeight="1" x14ac:dyDescent="0.2">
      <c r="B141" s="2616" t="s">
        <v>574</v>
      </c>
      <c r="C141" s="2618" t="s">
        <v>574</v>
      </c>
      <c r="D141" s="3227" t="s">
        <v>2146</v>
      </c>
      <c r="E141" s="3227">
        <v>5.244469278294818E-2</v>
      </c>
      <c r="F141" s="3229"/>
      <c r="G141" s="3103" t="str">
        <f t="shared" si="75"/>
        <v>NA</v>
      </c>
      <c r="H141" s="3103">
        <f t="shared" si="76"/>
        <v>0.79155641622761519</v>
      </c>
      <c r="I141" s="4327"/>
      <c r="J141" s="3227" t="s">
        <v>2146</v>
      </c>
      <c r="K141" s="3227">
        <v>4.1512933069428735E-2</v>
      </c>
      <c r="L141" s="3229"/>
      <c r="M141" s="3497" t="s">
        <v>2146</v>
      </c>
    </row>
    <row r="142" spans="2:13" ht="18" customHeight="1" x14ac:dyDescent="0.2">
      <c r="B142" s="2616" t="s">
        <v>576</v>
      </c>
      <c r="C142" s="2618" t="s">
        <v>576</v>
      </c>
      <c r="D142" s="3227" t="s">
        <v>2146</v>
      </c>
      <c r="E142" s="3227">
        <v>1.648366544550627</v>
      </c>
      <c r="F142" s="3229"/>
      <c r="G142" s="3103" t="str">
        <f t="shared" si="75"/>
        <v>NA</v>
      </c>
      <c r="H142" s="3103">
        <f t="shared" si="76"/>
        <v>0.79155641622761519</v>
      </c>
      <c r="I142" s="4327"/>
      <c r="J142" s="3227" t="s">
        <v>2146</v>
      </c>
      <c r="K142" s="3227">
        <v>1.3047751146339919</v>
      </c>
      <c r="L142" s="3229"/>
      <c r="M142" s="3497" t="s">
        <v>2146</v>
      </c>
    </row>
    <row r="143" spans="2:13" ht="18" customHeight="1" x14ac:dyDescent="0.2">
      <c r="B143" s="2616" t="s">
        <v>577</v>
      </c>
      <c r="C143" s="2618" t="s">
        <v>577</v>
      </c>
      <c r="D143" s="3227" t="s">
        <v>2146</v>
      </c>
      <c r="E143" s="3227">
        <v>1.2325722590142734</v>
      </c>
      <c r="F143" s="3229"/>
      <c r="G143" s="3103" t="str">
        <f t="shared" si="75"/>
        <v>NA</v>
      </c>
      <c r="H143" s="3103">
        <f t="shared" si="76"/>
        <v>0.79155641622761519</v>
      </c>
      <c r="I143" s="4327"/>
      <c r="J143" s="3227" t="s">
        <v>2146</v>
      </c>
      <c r="K143" s="3227">
        <v>0.97565048008691413</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32.404859662019327</v>
      </c>
      <c r="L146" s="3103">
        <f>IF(SUM(L147:L158)=0,"NO",SUM(L147:L158))</f>
        <v>11.686119506664001</v>
      </c>
      <c r="M146" s="3226" t="str">
        <f>IF(SUM(M147:M158)=0,"NO",SUM(M147:M158))</f>
        <v>NO</v>
      </c>
    </row>
    <row r="147" spans="2:13" ht="18" customHeight="1" x14ac:dyDescent="0.2">
      <c r="B147" s="2616" t="s">
        <v>559</v>
      </c>
      <c r="C147" s="2618" t="s">
        <v>559</v>
      </c>
      <c r="D147" s="3227">
        <v>0.42475430727749114</v>
      </c>
      <c r="E147" s="3227">
        <v>0.77521889259260235</v>
      </c>
      <c r="F147" s="3227">
        <v>0.10148841706700162</v>
      </c>
      <c r="G147" s="3103" t="str">
        <f>IFERROR(J147/D147,"NA")</f>
        <v>NA</v>
      </c>
      <c r="H147" s="3103">
        <f>IF(SUM(E147)=0,"NA",K147/E147)</f>
        <v>0.36302117010559276</v>
      </c>
      <c r="I147" s="3103">
        <f t="shared" ref="I147:I158" si="77">IF(SUM(F147)=0,"NA",(SUM(L147:M147))/F147)</f>
        <v>1</v>
      </c>
      <c r="J147" s="3227" t="s">
        <v>2146</v>
      </c>
      <c r="K147" s="3227">
        <v>0.28142086947692835</v>
      </c>
      <c r="L147" s="3227">
        <v>0.10148841706700162</v>
      </c>
      <c r="M147" s="3497" t="s">
        <v>2146</v>
      </c>
    </row>
    <row r="148" spans="2:13" ht="18" customHeight="1" x14ac:dyDescent="0.2">
      <c r="B148" s="2616" t="s">
        <v>560</v>
      </c>
      <c r="C148" s="2618" t="s">
        <v>560</v>
      </c>
      <c r="D148" s="3227">
        <v>4.0263270086332081</v>
      </c>
      <c r="E148" s="3227">
        <v>7.3484475880998934</v>
      </c>
      <c r="F148" s="3227">
        <v>0.96202804232741024</v>
      </c>
      <c r="G148" s="3103" t="str">
        <f t="shared" ref="G148:G158" si="78">IFERROR(J148/D148,"NA")</f>
        <v>NA</v>
      </c>
      <c r="H148" s="3103">
        <f t="shared" ref="H148:H158" si="79">IF(SUM(E148)=0,"NA",K148/E148)</f>
        <v>0.36302117010559282</v>
      </c>
      <c r="I148" s="3103">
        <f t="shared" si="77"/>
        <v>1.0000000000000004</v>
      </c>
      <c r="J148" s="3227" t="s">
        <v>2146</v>
      </c>
      <c r="K148" s="3227">
        <v>2.6676420418916447</v>
      </c>
      <c r="L148" s="3227">
        <v>0.96202804232741057</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9.5436217212683836</v>
      </c>
      <c r="E150" s="3227">
        <v>17.418059653132662</v>
      </c>
      <c r="F150" s="3227">
        <v>2.280299563731131</v>
      </c>
      <c r="G150" s="3103" t="str">
        <f t="shared" si="78"/>
        <v>NA</v>
      </c>
      <c r="H150" s="3103">
        <f t="shared" si="79"/>
        <v>0.36302117010559287</v>
      </c>
      <c r="I150" s="3103">
        <f t="shared" si="77"/>
        <v>1.0000000000000007</v>
      </c>
      <c r="J150" s="3227" t="s">
        <v>2146</v>
      </c>
      <c r="K150" s="3227">
        <v>6.3231243962492361</v>
      </c>
      <c r="L150" s="3227">
        <v>2.2802995637311323</v>
      </c>
      <c r="M150" s="3497" t="s">
        <v>2146</v>
      </c>
    </row>
    <row r="151" spans="2:13" ht="18" customHeight="1" x14ac:dyDescent="0.2">
      <c r="B151" s="2616" t="s">
        <v>564</v>
      </c>
      <c r="C151" s="2618" t="s">
        <v>564</v>
      </c>
      <c r="D151" s="3227">
        <v>2.0355108647647377E-2</v>
      </c>
      <c r="E151" s="3227">
        <v>3.7150099514170393E-2</v>
      </c>
      <c r="F151" s="3227">
        <v>4.8635357440342105E-3</v>
      </c>
      <c r="G151" s="3103" t="str">
        <f t="shared" si="78"/>
        <v>NA</v>
      </c>
      <c r="H151" s="3103">
        <f t="shared" si="79"/>
        <v>0.36302117010559282</v>
      </c>
      <c r="I151" s="3103">
        <f t="shared" si="77"/>
        <v>0.99999999999999978</v>
      </c>
      <c r="J151" s="3227" t="s">
        <v>2146</v>
      </c>
      <c r="K151" s="3227">
        <v>1.348627259517335E-2</v>
      </c>
      <c r="L151" s="3227">
        <v>4.8635357440342097E-3</v>
      </c>
      <c r="M151" s="3497" t="s">
        <v>2146</v>
      </c>
    </row>
    <row r="152" spans="2:13" ht="18" customHeight="1" x14ac:dyDescent="0.2">
      <c r="B152" s="2616" t="s">
        <v>565</v>
      </c>
      <c r="C152" s="2618" t="s">
        <v>565</v>
      </c>
      <c r="D152" s="3227">
        <v>25.221346871587777</v>
      </c>
      <c r="E152" s="3227">
        <v>46.031468678463206</v>
      </c>
      <c r="F152" s="3227">
        <v>6.0262474716306684</v>
      </c>
      <c r="G152" s="3103" t="str">
        <f t="shared" si="78"/>
        <v>NA</v>
      </c>
      <c r="H152" s="3103">
        <f t="shared" si="79"/>
        <v>0.36302117010559287</v>
      </c>
      <c r="I152" s="3103">
        <f t="shared" si="77"/>
        <v>1.0000000000000007</v>
      </c>
      <c r="J152" s="3227" t="s">
        <v>2146</v>
      </c>
      <c r="K152" s="3227">
        <v>16.710397621334661</v>
      </c>
      <c r="L152" s="3227">
        <v>6.026247471630672</v>
      </c>
      <c r="M152" s="3497" t="s">
        <v>2146</v>
      </c>
    </row>
    <row r="153" spans="2:13" ht="18" customHeight="1" x14ac:dyDescent="0.2">
      <c r="B153" s="2616" t="s">
        <v>567</v>
      </c>
      <c r="C153" s="2618" t="s">
        <v>567</v>
      </c>
      <c r="D153" s="3227">
        <v>6.5296097485107678</v>
      </c>
      <c r="E153" s="3227">
        <v>11.917187775556714</v>
      </c>
      <c r="F153" s="3227">
        <v>1.5601484107109784</v>
      </c>
      <c r="G153" s="3103" t="str">
        <f t="shared" si="78"/>
        <v>NA</v>
      </c>
      <c r="H153" s="3103">
        <f t="shared" si="79"/>
        <v>0.36302117010559287</v>
      </c>
      <c r="I153" s="3103">
        <f t="shared" si="77"/>
        <v>1.0000000000000002</v>
      </c>
      <c r="J153" s="3227" t="s">
        <v>2146</v>
      </c>
      <c r="K153" s="3227">
        <v>4.3261914506506658</v>
      </c>
      <c r="L153" s="3227">
        <v>1.5601484107109789</v>
      </c>
      <c r="M153" s="3497" t="s">
        <v>2146</v>
      </c>
    </row>
    <row r="154" spans="2:13" ht="18" customHeight="1" x14ac:dyDescent="0.2">
      <c r="B154" s="2616" t="s">
        <v>569</v>
      </c>
      <c r="C154" s="2618" t="s">
        <v>569</v>
      </c>
      <c r="D154" s="3227">
        <v>0.94226772967873085</v>
      </c>
      <c r="E154" s="3227">
        <v>1.7197324039143429</v>
      </c>
      <c r="F154" s="3227">
        <v>0.22514017798043745</v>
      </c>
      <c r="G154" s="3103" t="str">
        <f t="shared" si="78"/>
        <v>NA</v>
      </c>
      <c r="H154" s="3103">
        <f t="shared" si="79"/>
        <v>0.36302117010559282</v>
      </c>
      <c r="I154" s="3103">
        <f t="shared" si="77"/>
        <v>1.0000000000000002</v>
      </c>
      <c r="J154" s="3227" t="s">
        <v>2146</v>
      </c>
      <c r="K154" s="3227">
        <v>0.62429926953748871</v>
      </c>
      <c r="L154" s="3227">
        <v>0.22514017798043751</v>
      </c>
      <c r="M154" s="3497" t="s">
        <v>2146</v>
      </c>
    </row>
    <row r="155" spans="2:13" ht="18" customHeight="1" x14ac:dyDescent="0.2">
      <c r="B155" s="2616" t="s">
        <v>571</v>
      </c>
      <c r="C155" s="2618" t="s">
        <v>571</v>
      </c>
      <c r="D155" s="3227">
        <v>0.39289122002841392</v>
      </c>
      <c r="E155" s="3227">
        <v>0.71706558657874697</v>
      </c>
      <c r="F155" s="3227">
        <v>9.3875229319704656E-2</v>
      </c>
      <c r="G155" s="3103" t="str">
        <f t="shared" si="78"/>
        <v>NA</v>
      </c>
      <c r="H155" s="3103">
        <f t="shared" si="79"/>
        <v>0.36302117010559287</v>
      </c>
      <c r="I155" s="3103">
        <f t="shared" si="77"/>
        <v>1.0000000000000007</v>
      </c>
      <c r="J155" s="3227" t="s">
        <v>2146</v>
      </c>
      <c r="K155" s="3227">
        <v>0.26030998828227003</v>
      </c>
      <c r="L155" s="3227">
        <v>9.3875229319704712E-2</v>
      </c>
      <c r="M155" s="3497" t="s">
        <v>2146</v>
      </c>
    </row>
    <row r="156" spans="2:13" ht="18" customHeight="1" x14ac:dyDescent="0.2">
      <c r="B156" s="2616" t="s">
        <v>574</v>
      </c>
      <c r="C156" s="2618" t="s">
        <v>574</v>
      </c>
      <c r="D156" s="3227">
        <v>3.2327086884075346E-2</v>
      </c>
      <c r="E156" s="3227">
        <v>5.9000151536181385E-2</v>
      </c>
      <c r="F156" s="3227">
        <v>7.7240532233352503E-3</v>
      </c>
      <c r="G156" s="3103" t="str">
        <f t="shared" si="78"/>
        <v>NA</v>
      </c>
      <c r="H156" s="3103">
        <f t="shared" si="79"/>
        <v>0.36302117010559287</v>
      </c>
      <c r="I156" s="3103">
        <f t="shared" si="77"/>
        <v>1.0000000000000007</v>
      </c>
      <c r="J156" s="3227" t="s">
        <v>2146</v>
      </c>
      <c r="K156" s="3227">
        <v>2.1418304047071859E-2</v>
      </c>
      <c r="L156" s="3227">
        <v>7.7240532233352546E-3</v>
      </c>
      <c r="M156" s="3497" t="s">
        <v>2146</v>
      </c>
    </row>
    <row r="157" spans="2:13" ht="18" customHeight="1" x14ac:dyDescent="0.2">
      <c r="B157" s="2616" t="s">
        <v>576</v>
      </c>
      <c r="C157" s="2618" t="s">
        <v>576</v>
      </c>
      <c r="D157" s="3227">
        <v>1.0160587406437593</v>
      </c>
      <c r="E157" s="3227">
        <v>1.8544083443898012</v>
      </c>
      <c r="F157" s="3227">
        <v>0.24277138917312821</v>
      </c>
      <c r="G157" s="3103" t="str">
        <f t="shared" si="78"/>
        <v>NA</v>
      </c>
      <c r="H157" s="3103">
        <f t="shared" si="79"/>
        <v>0.36302117010559287</v>
      </c>
      <c r="I157" s="3103">
        <f t="shared" si="77"/>
        <v>1.0000000000000007</v>
      </c>
      <c r="J157" s="3227" t="s">
        <v>2146</v>
      </c>
      <c r="K157" s="3227">
        <v>0.67318948703396086</v>
      </c>
      <c r="L157" s="3227">
        <v>0.24277138917312835</v>
      </c>
      <c r="M157" s="3497" t="s">
        <v>2146</v>
      </c>
    </row>
    <row r="158" spans="2:13" ht="18" customHeight="1" x14ac:dyDescent="0.2">
      <c r="B158" s="2616" t="s">
        <v>577</v>
      </c>
      <c r="C158" s="2618" t="s">
        <v>577</v>
      </c>
      <c r="D158" s="3227">
        <v>0.75976172980864076</v>
      </c>
      <c r="E158" s="3227">
        <v>1.3866407867447801</v>
      </c>
      <c r="F158" s="3227">
        <v>0.18153321575616668</v>
      </c>
      <c r="G158" s="3103" t="str">
        <f t="shared" si="78"/>
        <v>NA</v>
      </c>
      <c r="H158" s="3103">
        <f t="shared" si="79"/>
        <v>0.36302117010559282</v>
      </c>
      <c r="I158" s="3103">
        <f t="shared" si="77"/>
        <v>1.0000000000000011</v>
      </c>
      <c r="J158" s="3227" t="s">
        <v>2146</v>
      </c>
      <c r="K158" s="3227">
        <v>0.50337996092022985</v>
      </c>
      <c r="L158" s="3227">
        <v>0.18153321575616688</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0.55344229409327872</v>
      </c>
      <c r="K162" s="3233">
        <f t="shared" ref="K162:M162" si="85">IF(SUM(K163,K165,K175)=0,"NO",SUM(K163,K165,K175))</f>
        <v>2.9395899201039359</v>
      </c>
      <c r="L162" s="3233">
        <f t="shared" si="85"/>
        <v>1.1399999999999999</v>
      </c>
      <c r="M162" s="3234" t="str">
        <f t="shared" si="85"/>
        <v>NO</v>
      </c>
    </row>
    <row r="163" spans="2:13" ht="18" customHeight="1" x14ac:dyDescent="0.2">
      <c r="B163" s="88" t="s">
        <v>681</v>
      </c>
      <c r="C163" s="2508"/>
      <c r="D163" s="4326"/>
      <c r="E163" s="4326"/>
      <c r="F163" s="4326"/>
      <c r="G163" s="4327"/>
      <c r="H163" s="4327"/>
      <c r="I163" s="4327"/>
      <c r="J163" s="3230">
        <f>J164</f>
        <v>0.55344229409327872</v>
      </c>
      <c r="K163" s="3230">
        <f t="shared" ref="K163:M163" si="86">K164</f>
        <v>2.1271521187225746</v>
      </c>
      <c r="L163" s="3230">
        <f t="shared" si="86"/>
        <v>1.1399999999999999</v>
      </c>
      <c r="M163" s="3226" t="str">
        <f t="shared" si="86"/>
        <v>NO</v>
      </c>
    </row>
    <row r="164" spans="2:13" ht="18" customHeight="1" x14ac:dyDescent="0.2">
      <c r="B164" s="2616" t="s">
        <v>1621</v>
      </c>
      <c r="C164" s="2618" t="s">
        <v>1621</v>
      </c>
      <c r="D164" s="3235">
        <v>6.5110858128621016</v>
      </c>
      <c r="E164" s="3235">
        <v>609.25533580870785</v>
      </c>
      <c r="F164" s="3235">
        <v>1.1399999999999999</v>
      </c>
      <c r="G164" s="3103">
        <f t="shared" ref="G164" si="87">IF(SUM(D164)=0,"NA",J164/D164)</f>
        <v>8.5000000000000006E-2</v>
      </c>
      <c r="H164" s="3103">
        <f t="shared" ref="H164" si="88">IF(SUM(E164)=0,"NA",K164/E164)</f>
        <v>3.4913967817763215E-3</v>
      </c>
      <c r="I164" s="3103">
        <f t="shared" ref="I164" si="89">IF(SUM(F164)=0,"NA",(SUM(L164:M164))/F164)</f>
        <v>1</v>
      </c>
      <c r="J164" s="3142">
        <v>0.55344229409327872</v>
      </c>
      <c r="K164" s="3142">
        <v>2.1271521187225746</v>
      </c>
      <c r="L164" s="3142">
        <v>1.1399999999999999</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0.81243780138136135</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0.81243780138136135</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0.81243780138136135</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0.81243780138136135</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2490.9097255348615</v>
      </c>
      <c r="D10" s="2500">
        <f t="shared" ref="D10:I10" si="0">IF(SUM(D11,D20,D31:D32,D42:D47)=0,"NO",SUM(D11,D20,D31:D32,D42:D47))</f>
        <v>2389.9401854800021</v>
      </c>
      <c r="E10" s="2500">
        <f t="shared" si="0"/>
        <v>47.618047150109263</v>
      </c>
      <c r="F10" s="2500">
        <f t="shared" si="0"/>
        <v>21.49924125390076</v>
      </c>
      <c r="G10" s="2500">
        <f t="shared" si="0"/>
        <v>345.20827867991829</v>
      </c>
      <c r="H10" s="2915">
        <f t="shared" si="0"/>
        <v>20.137149589661902</v>
      </c>
      <c r="I10" s="2924" t="str">
        <f t="shared" si="0"/>
        <v>NO</v>
      </c>
      <c r="J10" s="2925">
        <f>IF(SUM(C10:E10)=0,"NO",SUM(C10)+28*SUM(D10)+265*SUM(E10))</f>
        <v>82028.017413753871</v>
      </c>
    </row>
    <row r="11" spans="1:10" ht="18" customHeight="1" x14ac:dyDescent="0.2">
      <c r="B11" s="234" t="s">
        <v>694</v>
      </c>
      <c r="C11" s="2926"/>
      <c r="D11" s="2137">
        <f>SUM(D16:D19)</f>
        <v>2118.3079834701616</v>
      </c>
      <c r="E11" s="1929"/>
      <c r="F11" s="1929"/>
      <c r="G11" s="1929"/>
      <c r="H11" s="2927"/>
      <c r="I11" s="2928"/>
      <c r="J11" s="1880">
        <f>IF(SUM(C11:E11)=0,"NO",SUM(C11)+28*SUM(D11)+265*SUM(E11))</f>
        <v>59312.623537164523</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1613.3936336067482</v>
      </c>
      <c r="E16" s="628"/>
      <c r="F16" s="628"/>
      <c r="G16" s="628"/>
      <c r="H16" s="2930"/>
      <c r="I16" s="2931"/>
      <c r="J16" s="2934">
        <f>IF(SUM(C16:E16)=0,"NO",SUM(C16)+28*SUM(D16)+265*SUM(E16))</f>
        <v>45175.021740988945</v>
      </c>
    </row>
    <row r="17" spans="2:10" ht="18" customHeight="1" x14ac:dyDescent="0.2">
      <c r="B17" s="228" t="s">
        <v>699</v>
      </c>
      <c r="C17" s="2936"/>
      <c r="D17" s="2920">
        <f>Table3.A!G24</f>
        <v>491.70635357276274</v>
      </c>
      <c r="E17" s="628"/>
      <c r="F17" s="628"/>
      <c r="G17" s="628"/>
      <c r="H17" s="2930"/>
      <c r="I17" s="2931"/>
      <c r="J17" s="2934">
        <f t="shared" ref="J17:J21" si="1">IF(SUM(C17:E17)=0,"NO",SUM(C17)+28*SUM(D17)+265*SUM(E17))</f>
        <v>13767.777900037356</v>
      </c>
    </row>
    <row r="18" spans="2:10" ht="18" customHeight="1" x14ac:dyDescent="0.2">
      <c r="B18" s="228" t="s">
        <v>700</v>
      </c>
      <c r="C18" s="2936"/>
      <c r="D18" s="2920">
        <f>Table3.A!G27</f>
        <v>3.6335103573390315</v>
      </c>
      <c r="E18" s="628"/>
      <c r="F18" s="628"/>
      <c r="G18" s="628"/>
      <c r="H18" s="2930"/>
      <c r="I18" s="2931"/>
      <c r="J18" s="2934">
        <f t="shared" si="1"/>
        <v>101.73829000549289</v>
      </c>
    </row>
    <row r="19" spans="2:10" ht="18" customHeight="1" thickBot="1" x14ac:dyDescent="0.25">
      <c r="B19" s="1297" t="s">
        <v>701</v>
      </c>
      <c r="C19" s="2937"/>
      <c r="D19" s="2500">
        <f>Table3.A!G30</f>
        <v>9.5744859333113475</v>
      </c>
      <c r="E19" s="1923"/>
      <c r="F19" s="1923"/>
      <c r="G19" s="1923"/>
      <c r="H19" s="2938"/>
      <c r="I19" s="2939"/>
      <c r="J19" s="2934">
        <f t="shared" si="1"/>
        <v>268.08560613271771</v>
      </c>
    </row>
    <row r="20" spans="2:10" ht="18" customHeight="1" x14ac:dyDescent="0.2">
      <c r="B20" s="1456" t="s">
        <v>702</v>
      </c>
      <c r="C20" s="2940"/>
      <c r="D20" s="2920">
        <f>IF(SUM(D26:D30)=0,"NO",SUM(D26:D30))</f>
        <v>250.59427579071425</v>
      </c>
      <c r="E20" s="2920">
        <f>IF(SUM(E26:E30)=0,"NO",SUM(E26:E30))</f>
        <v>1.7033373433807621</v>
      </c>
      <c r="F20" s="2134"/>
      <c r="G20" s="2134"/>
      <c r="H20" s="2920" t="str">
        <f>IF(SUM(H26:H30)=0,"NE",SUM(H26:H30))</f>
        <v>NE</v>
      </c>
      <c r="I20" s="2931"/>
      <c r="J20" s="2941">
        <f t="shared" si="1"/>
        <v>7468.0241181359015</v>
      </c>
    </row>
    <row r="21" spans="2:10" ht="18" customHeight="1" x14ac:dyDescent="0.2">
      <c r="B21" s="228" t="s">
        <v>2019</v>
      </c>
      <c r="C21" s="2936"/>
      <c r="D21" s="2920">
        <f>D26</f>
        <v>167.60168055979224</v>
      </c>
      <c r="E21" s="2920">
        <f>E26</f>
        <v>0.77132033284301282</v>
      </c>
      <c r="F21" s="2942"/>
      <c r="G21" s="2942"/>
      <c r="H21" s="2920" t="str">
        <f>H26</f>
        <v>NE</v>
      </c>
      <c r="I21" s="2931"/>
      <c r="J21" s="2934">
        <f t="shared" si="1"/>
        <v>4897.2469438775815</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167.60168055979224</v>
      </c>
      <c r="E26" s="2920">
        <f>'Table3.B(b)'!X15</f>
        <v>0.77132033284301282</v>
      </c>
      <c r="F26" s="628"/>
      <c r="G26" s="628"/>
      <c r="H26" s="2944" t="s">
        <v>2154</v>
      </c>
      <c r="I26" s="2931"/>
      <c r="J26" s="2934">
        <f t="shared" ref="J26:J48" si="2">IF(SUM(C26:E26)=0,"NO",SUM(C26)+28*SUM(D26)+265*SUM(E26))</f>
        <v>4897.2469438775815</v>
      </c>
    </row>
    <row r="27" spans="2:10" ht="18" customHeight="1" x14ac:dyDescent="0.2">
      <c r="B27" s="228" t="s">
        <v>705</v>
      </c>
      <c r="C27" s="2936"/>
      <c r="D27" s="2920">
        <f>'Table3.B(a)'!K24</f>
        <v>24.939085959371006</v>
      </c>
      <c r="E27" s="2920" t="str">
        <f>'Table3.B(b)'!X24</f>
        <v>NA</v>
      </c>
      <c r="F27" s="2942"/>
      <c r="G27" s="2942"/>
      <c r="H27" s="2944" t="s">
        <v>2154</v>
      </c>
      <c r="I27" s="2931"/>
      <c r="J27" s="2934">
        <f t="shared" si="2"/>
        <v>698.2944068623882</v>
      </c>
    </row>
    <row r="28" spans="2:10" ht="18" customHeight="1" x14ac:dyDescent="0.2">
      <c r="B28" s="228" t="s">
        <v>706</v>
      </c>
      <c r="C28" s="2936"/>
      <c r="D28" s="2920">
        <f>'Table3.B(a)'!K27</f>
        <v>53.576912860990689</v>
      </c>
      <c r="E28" s="2920">
        <f>'Table3.B(b)'!X27</f>
        <v>0.18228482427519491</v>
      </c>
      <c r="F28" s="2942"/>
      <c r="G28" s="2942"/>
      <c r="H28" s="2944" t="s">
        <v>2154</v>
      </c>
      <c r="I28" s="2931"/>
      <c r="J28" s="2934">
        <f t="shared" si="2"/>
        <v>1548.4590385406661</v>
      </c>
    </row>
    <row r="29" spans="2:10" ht="18" customHeight="1" x14ac:dyDescent="0.2">
      <c r="B29" s="228" t="s">
        <v>707</v>
      </c>
      <c r="C29" s="2936"/>
      <c r="D29" s="2920">
        <f>'Table3.B(a)'!K30</f>
        <v>4.4765964105603242</v>
      </c>
      <c r="E29" s="2920">
        <f>'Table3.B(b)'!X30</f>
        <v>0.41350486473469189</v>
      </c>
      <c r="F29" s="2942"/>
      <c r="G29" s="2942"/>
      <c r="H29" s="2944" t="s">
        <v>2154</v>
      </c>
      <c r="I29" s="2931"/>
      <c r="J29" s="2934">
        <f t="shared" si="2"/>
        <v>234.92348865038241</v>
      </c>
    </row>
    <row r="30" spans="2:10" ht="18" customHeight="1" thickBot="1" x14ac:dyDescent="0.25">
      <c r="B30" s="1297" t="s">
        <v>708</v>
      </c>
      <c r="C30" s="2945"/>
      <c r="D30" s="2946"/>
      <c r="E30" s="2947">
        <f>SUM('Table3.B(b)'!Y46:Z46)</f>
        <v>0.33622732152786261</v>
      </c>
      <c r="F30" s="2948"/>
      <c r="G30" s="2948"/>
      <c r="H30" s="2949"/>
      <c r="I30" s="2950"/>
      <c r="J30" s="2934">
        <f t="shared" si="2"/>
        <v>89.10024020488359</v>
      </c>
    </row>
    <row r="31" spans="2:10" ht="18" customHeight="1" thickBot="1" x14ac:dyDescent="0.25">
      <c r="B31" s="2639" t="s">
        <v>709</v>
      </c>
      <c r="C31" s="2951"/>
      <c r="D31" s="2952">
        <f>Table3.C!G11</f>
        <v>12.186431894</v>
      </c>
      <c r="E31" s="2953"/>
      <c r="F31" s="2953"/>
      <c r="G31" s="2953"/>
      <c r="H31" s="2954" t="s">
        <v>2154</v>
      </c>
      <c r="I31" s="2955"/>
      <c r="J31" s="2956">
        <f t="shared" si="2"/>
        <v>341.22009303200002</v>
      </c>
    </row>
    <row r="32" spans="2:10" ht="18" customHeight="1" x14ac:dyDescent="0.2">
      <c r="B32" s="2638" t="s">
        <v>2020</v>
      </c>
      <c r="C32" s="2957"/>
      <c r="D32" s="2958" t="s">
        <v>2154</v>
      </c>
      <c r="E32" s="2958">
        <f>IF(SUM(E33,E41)=0,"NO",SUM(E33,E41))</f>
        <v>45.542590434300735</v>
      </c>
      <c r="F32" s="2958" t="str">
        <f>IF(SUM(F33,F41)=0,"NO",SUM(F33,F41))</f>
        <v>NO</v>
      </c>
      <c r="G32" s="2958" t="str">
        <f>IF(SUM(G33,G41)=0,"NO",SUM(G33,G41))</f>
        <v>NO</v>
      </c>
      <c r="H32" s="2958" t="str">
        <f>IF(SUM(H33,H41)=0,"NO",SUM(H33,H41))</f>
        <v>NO</v>
      </c>
      <c r="I32" s="2959"/>
      <c r="J32" s="2960">
        <f t="shared" si="2"/>
        <v>12068.786465089695</v>
      </c>
    </row>
    <row r="33" spans="2:10" ht="18" customHeight="1" x14ac:dyDescent="0.2">
      <c r="B33" s="228" t="s">
        <v>710</v>
      </c>
      <c r="C33" s="2961"/>
      <c r="D33" s="2962" t="s">
        <v>2154</v>
      </c>
      <c r="E33" s="2962">
        <f>IF(SUM(E34:E40)=0,"NO",SUM(E34:E40))</f>
        <v>34.578455014685829</v>
      </c>
      <c r="F33" s="2962" t="str">
        <f>IF(SUM(F34:F40)=0,"NO",SUM(F34:F40))</f>
        <v>NO</v>
      </c>
      <c r="G33" s="2962" t="str">
        <f>IF(SUM(G34:G40)=0,"NO",SUM(G34:G40))</f>
        <v>NO</v>
      </c>
      <c r="H33" s="2962" t="str">
        <f>IF(SUM(H34:H40)=0,"NO",SUM(H34:H40))</f>
        <v>NO</v>
      </c>
      <c r="I33" s="2931"/>
      <c r="J33" s="2963">
        <f t="shared" si="2"/>
        <v>9163.2905788917451</v>
      </c>
    </row>
    <row r="34" spans="2:10" ht="18" customHeight="1" x14ac:dyDescent="0.2">
      <c r="B34" s="232" t="s">
        <v>711</v>
      </c>
      <c r="C34" s="2961"/>
      <c r="D34" s="2905" t="s">
        <v>2154</v>
      </c>
      <c r="E34" s="2962">
        <f>Table3.D!F11</f>
        <v>8.4961903584349709</v>
      </c>
      <c r="F34" s="2964" t="s">
        <v>2147</v>
      </c>
      <c r="G34" s="2964" t="s">
        <v>2147</v>
      </c>
      <c r="H34" s="2964" t="s">
        <v>2147</v>
      </c>
      <c r="I34" s="2931"/>
      <c r="J34" s="2963">
        <f t="shared" si="2"/>
        <v>2251.4904449852675</v>
      </c>
    </row>
    <row r="35" spans="2:10" ht="18" customHeight="1" x14ac:dyDescent="0.2">
      <c r="B35" s="232" t="s">
        <v>712</v>
      </c>
      <c r="C35" s="2961"/>
      <c r="D35" s="2905" t="s">
        <v>2154</v>
      </c>
      <c r="E35" s="2962">
        <f>Table3.D!F12</f>
        <v>1.5282929674751864</v>
      </c>
      <c r="F35" s="2964" t="s">
        <v>2147</v>
      </c>
      <c r="G35" s="2964" t="s">
        <v>2147</v>
      </c>
      <c r="H35" s="2965" t="s">
        <v>2147</v>
      </c>
      <c r="I35" s="2931"/>
      <c r="J35" s="2963">
        <f t="shared" si="2"/>
        <v>404.9976363809244</v>
      </c>
    </row>
    <row r="36" spans="2:10" ht="18" customHeight="1" x14ac:dyDescent="0.2">
      <c r="B36" s="232" t="s">
        <v>713</v>
      </c>
      <c r="C36" s="2961"/>
      <c r="D36" s="2905" t="s">
        <v>2154</v>
      </c>
      <c r="E36" s="2962">
        <f>Table3.D!F16</f>
        <v>10.706859514573289</v>
      </c>
      <c r="F36" s="2964" t="s">
        <v>2147</v>
      </c>
      <c r="G36" s="2964" t="s">
        <v>2147</v>
      </c>
      <c r="H36" s="2965" t="s">
        <v>2147</v>
      </c>
      <c r="I36" s="2931"/>
      <c r="J36" s="2963">
        <f t="shared" si="2"/>
        <v>2837.3177713619216</v>
      </c>
    </row>
    <row r="37" spans="2:10" ht="18" customHeight="1" x14ac:dyDescent="0.2">
      <c r="B37" s="232" t="s">
        <v>714</v>
      </c>
      <c r="C37" s="2961"/>
      <c r="D37" s="2905" t="s">
        <v>2154</v>
      </c>
      <c r="E37" s="2962">
        <f>Table3.D!F17</f>
        <v>13.502012998920048</v>
      </c>
      <c r="F37" s="2964" t="s">
        <v>2147</v>
      </c>
      <c r="G37" s="2964" t="s">
        <v>2147</v>
      </c>
      <c r="H37" s="2965" t="s">
        <v>2147</v>
      </c>
      <c r="I37" s="2931"/>
      <c r="J37" s="2963">
        <f t="shared" si="2"/>
        <v>3578.0334447138125</v>
      </c>
    </row>
    <row r="38" spans="2:10" ht="18" customHeight="1" x14ac:dyDescent="0.2">
      <c r="B38" s="1705" t="s">
        <v>715</v>
      </c>
      <c r="C38" s="2961"/>
      <c r="D38" s="2905" t="s">
        <v>2154</v>
      </c>
      <c r="E38" s="2962">
        <f>Table3.D!F18</f>
        <v>0.25709917528233489</v>
      </c>
      <c r="F38" s="2964" t="s">
        <v>2147</v>
      </c>
      <c r="G38" s="2964" t="s">
        <v>2147</v>
      </c>
      <c r="H38" s="2965" t="s">
        <v>2147</v>
      </c>
      <c r="I38" s="2931"/>
      <c r="J38" s="2963">
        <f t="shared" si="2"/>
        <v>68.131281449818744</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10.964135419614905</v>
      </c>
      <c r="F41" s="2969" t="s">
        <v>2147</v>
      </c>
      <c r="G41" s="2969" t="s">
        <v>2147</v>
      </c>
      <c r="H41" s="2970" t="s">
        <v>2147</v>
      </c>
      <c r="I41" s="2971"/>
      <c r="J41" s="2972">
        <f t="shared" si="2"/>
        <v>2905.4958861979499</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8.8514943251261098</v>
      </c>
      <c r="E43" s="2979">
        <f>SUM(Table3.F!J10,Table3.F!J20,Table3.F!J23,Table3.F!J26:J27)</f>
        <v>0.37211937242776477</v>
      </c>
      <c r="F43" s="2909">
        <v>21.49924125390076</v>
      </c>
      <c r="G43" s="2909">
        <v>345.20827867991829</v>
      </c>
      <c r="H43" s="2910">
        <v>20.137149589661902</v>
      </c>
      <c r="I43" s="2980" t="s">
        <v>2146</v>
      </c>
      <c r="J43" s="2981">
        <f t="shared" si="2"/>
        <v>346.45347479688871</v>
      </c>
    </row>
    <row r="44" spans="2:10" ht="18" customHeight="1" thickBot="1" x14ac:dyDescent="0.25">
      <c r="B44" s="2641" t="s">
        <v>721</v>
      </c>
      <c r="C44" s="2982">
        <f>'Table3.G-J'!E10</f>
        <v>1138.7434395518412</v>
      </c>
      <c r="D44" s="2983"/>
      <c r="E44" s="2983"/>
      <c r="F44" s="2983"/>
      <c r="G44" s="2983"/>
      <c r="H44" s="2984"/>
      <c r="I44" s="2985"/>
      <c r="J44" s="2981">
        <f t="shared" si="2"/>
        <v>1138.7434395518412</v>
      </c>
    </row>
    <row r="45" spans="2:10" ht="18" customHeight="1" thickBot="1" x14ac:dyDescent="0.25">
      <c r="B45" s="2641" t="s">
        <v>722</v>
      </c>
      <c r="C45" s="2982">
        <f>'Table3.G-J'!E13</f>
        <v>1352.1662859830203</v>
      </c>
      <c r="D45" s="2983"/>
      <c r="E45" s="2983"/>
      <c r="F45" s="2983"/>
      <c r="G45" s="2983"/>
      <c r="H45" s="2984"/>
      <c r="I45" s="2985"/>
      <c r="J45" s="2981">
        <f t="shared" si="2"/>
        <v>1352.1662859830203</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29102.953999999998</v>
      </c>
      <c r="D10" s="3241"/>
      <c r="E10" s="3241"/>
      <c r="F10" s="3131">
        <f>IF(SUM(C10)=0,"NA",G10*1000/C10)</f>
        <v>55.437452624456895</v>
      </c>
      <c r="G10" s="3242">
        <f>G15</f>
        <v>1613.3936336067482</v>
      </c>
      <c r="I10" s="275" t="s">
        <v>738</v>
      </c>
      <c r="J10" s="276" t="s">
        <v>739</v>
      </c>
      <c r="K10" s="691">
        <v>452.49038350574898</v>
      </c>
      <c r="L10" s="691">
        <v>359.69698889126499</v>
      </c>
      <c r="M10" s="3147">
        <v>524.73704034096602</v>
      </c>
      <c r="N10" s="3147">
        <v>44.242420725348502</v>
      </c>
      <c r="O10" s="2911">
        <v>58.119332171253802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15.832364051304101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29102.953999999998</v>
      </c>
      <c r="D15" s="3248"/>
      <c r="E15" s="3248"/>
      <c r="F15" s="3131">
        <f>IF(SUM(C15)=0,"NA",G15*1000/C15)</f>
        <v>55.437452624456895</v>
      </c>
      <c r="G15" s="3249">
        <f>G20</f>
        <v>1613.3936336067482</v>
      </c>
      <c r="I15" s="1777" t="s">
        <v>748</v>
      </c>
      <c r="J15" s="1849" t="s">
        <v>297</v>
      </c>
      <c r="K15" s="3445">
        <v>75</v>
      </c>
      <c r="L15" s="3445">
        <v>57.633876238494203</v>
      </c>
      <c r="M15" s="1560">
        <v>80.436510243450897</v>
      </c>
      <c r="N15" s="1560">
        <v>66.746791459390394</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1613.3936336067482</v>
      </c>
      <c r="I20" s="72"/>
      <c r="J20" s="288"/>
      <c r="K20" s="288"/>
      <c r="L20" s="288"/>
      <c r="M20" s="288"/>
      <c r="N20" s="288"/>
      <c r="O20" s="288"/>
    </row>
    <row r="21" spans="2:15" ht="18" customHeight="1" x14ac:dyDescent="0.2">
      <c r="B21" s="2633" t="s">
        <v>2196</v>
      </c>
      <c r="C21" s="3272">
        <v>2807.174</v>
      </c>
      <c r="D21" s="3257">
        <v>227.24416747023199</v>
      </c>
      <c r="E21" s="3257">
        <v>6.1441583491890404</v>
      </c>
      <c r="F21" s="3131">
        <f t="shared" ref="F21:F30" si="0">IF(SUM(C21)=0,"NA",G21*1000/C21)</f>
        <v>92.289355924210682</v>
      </c>
      <c r="G21" s="3239">
        <v>259.07228042719021</v>
      </c>
      <c r="I21" s="72"/>
      <c r="J21" s="288"/>
      <c r="K21" s="288"/>
      <c r="L21" s="288"/>
      <c r="M21" s="288"/>
      <c r="N21" s="288"/>
      <c r="O21" s="288"/>
    </row>
    <row r="22" spans="2:15" ht="18" customHeight="1" x14ac:dyDescent="0.2">
      <c r="B22" s="2633" t="s">
        <v>2197</v>
      </c>
      <c r="C22" s="3272">
        <v>25484.928</v>
      </c>
      <c r="D22" s="3257">
        <v>124.256007572569</v>
      </c>
      <c r="E22" s="3257">
        <v>6.21225</v>
      </c>
      <c r="F22" s="3131">
        <f t="shared" si="0"/>
        <v>51.022623980249847</v>
      </c>
      <c r="G22" s="3239">
        <v>1300.3078985077409</v>
      </c>
      <c r="I22" s="72"/>
      <c r="J22" s="288"/>
      <c r="K22" s="288"/>
      <c r="L22" s="288"/>
      <c r="M22" s="288"/>
      <c r="N22" s="288"/>
      <c r="O22" s="288"/>
    </row>
    <row r="23" spans="2:15" ht="18" customHeight="1" x14ac:dyDescent="0.2">
      <c r="B23" s="2633" t="s">
        <v>2198</v>
      </c>
      <c r="C23" s="3272">
        <v>810.85199999999998</v>
      </c>
      <c r="D23" s="3257">
        <v>199.79196674844201</v>
      </c>
      <c r="E23" s="3257">
        <v>5.0441263487047303</v>
      </c>
      <c r="F23" s="3131">
        <f t="shared" si="0"/>
        <v>66.613210144165791</v>
      </c>
      <c r="G23" s="3239">
        <v>54.013454671817122</v>
      </c>
      <c r="I23" s="72"/>
      <c r="J23" s="288"/>
      <c r="K23" s="288"/>
      <c r="L23" s="288"/>
      <c r="M23" s="288"/>
      <c r="N23" s="288"/>
      <c r="O23" s="288"/>
    </row>
    <row r="24" spans="2:15" ht="18" customHeight="1" x14ac:dyDescent="0.2">
      <c r="B24" s="287" t="s">
        <v>753</v>
      </c>
      <c r="C24" s="2635">
        <f>C25</f>
        <v>72612.254000000001</v>
      </c>
      <c r="D24" s="3258"/>
      <c r="E24" s="3258"/>
      <c r="F24" s="3131">
        <f t="shared" si="0"/>
        <v>6.7716718113827277</v>
      </c>
      <c r="G24" s="3128">
        <f>G25</f>
        <v>491.70635357276274</v>
      </c>
      <c r="I24" s="72"/>
    </row>
    <row r="25" spans="2:15" ht="18" customHeight="1" x14ac:dyDescent="0.2">
      <c r="B25" s="282" t="s">
        <v>754</v>
      </c>
      <c r="C25" s="2635">
        <f>C26</f>
        <v>72612.254000000001</v>
      </c>
      <c r="D25" s="3258"/>
      <c r="E25" s="3258"/>
      <c r="F25" s="3131">
        <f t="shared" si="0"/>
        <v>6.7716718113827277</v>
      </c>
      <c r="G25" s="3128">
        <f>G26</f>
        <v>491.70635357276274</v>
      </c>
    </row>
    <row r="26" spans="2:15" ht="18" customHeight="1" x14ac:dyDescent="0.2">
      <c r="B26" s="2634" t="s">
        <v>2201</v>
      </c>
      <c r="C26" s="289">
        <v>72612.254000000001</v>
      </c>
      <c r="D26" s="3259">
        <v>16.6114080541095</v>
      </c>
      <c r="E26" s="3259">
        <v>6.1672704771751299</v>
      </c>
      <c r="F26" s="3131">
        <f t="shared" si="0"/>
        <v>6.7716718113827277</v>
      </c>
      <c r="G26" s="3240">
        <v>491.70635357276274</v>
      </c>
    </row>
    <row r="27" spans="2:15" ht="18" customHeight="1" x14ac:dyDescent="0.2">
      <c r="B27" s="287" t="s">
        <v>755</v>
      </c>
      <c r="C27" s="2635">
        <f>C28</f>
        <v>2308.2179999999998</v>
      </c>
      <c r="D27" s="3258"/>
      <c r="E27" s="3258"/>
      <c r="F27" s="3131">
        <f t="shared" si="0"/>
        <v>1.5741625606156056</v>
      </c>
      <c r="G27" s="3128">
        <f>G28</f>
        <v>3.6335103573390315</v>
      </c>
    </row>
    <row r="28" spans="2:15" ht="18" customHeight="1" x14ac:dyDescent="0.2">
      <c r="B28" s="282" t="s">
        <v>756</v>
      </c>
      <c r="C28" s="2635">
        <f>C29</f>
        <v>2308.2179999999998</v>
      </c>
      <c r="D28" s="3258"/>
      <c r="E28" s="3258"/>
      <c r="F28" s="3131">
        <f t="shared" si="0"/>
        <v>1.5741625606156056</v>
      </c>
      <c r="G28" s="3128">
        <f>G29</f>
        <v>3.6335103573390315</v>
      </c>
    </row>
    <row r="29" spans="2:15" ht="18" customHeight="1" x14ac:dyDescent="0.2">
      <c r="B29" s="2634" t="s">
        <v>817</v>
      </c>
      <c r="C29" s="289">
        <v>2308.2179999999998</v>
      </c>
      <c r="D29" s="3259">
        <v>34.0216239003475</v>
      </c>
      <c r="E29" s="3259">
        <v>0.7</v>
      </c>
      <c r="F29" s="3131">
        <f t="shared" si="0"/>
        <v>1.5741625606156056</v>
      </c>
      <c r="G29" s="3240">
        <v>3.6335103573390315</v>
      </c>
    </row>
    <row r="30" spans="2:15" ht="18" customHeight="1" x14ac:dyDescent="0.2">
      <c r="B30" s="287" t="s">
        <v>757</v>
      </c>
      <c r="C30" s="2635">
        <f>SUM(C32:C39)</f>
        <v>92656.592999999993</v>
      </c>
      <c r="D30" s="3258"/>
      <c r="E30" s="3258"/>
      <c r="F30" s="3131">
        <f t="shared" si="0"/>
        <v>0.10333302383901972</v>
      </c>
      <c r="G30" s="3128">
        <f>SUM(G32:G39)</f>
        <v>9.5744859333113475</v>
      </c>
    </row>
    <row r="31" spans="2:15" ht="18" customHeight="1" x14ac:dyDescent="0.2">
      <c r="B31" s="1305" t="s">
        <v>345</v>
      </c>
      <c r="C31" s="3273"/>
      <c r="D31" s="3261"/>
      <c r="E31" s="3261"/>
      <c r="F31" s="3261"/>
      <c r="G31" s="3262"/>
    </row>
    <row r="32" spans="2:15" ht="18" customHeight="1" x14ac:dyDescent="0.2">
      <c r="B32" s="286" t="s">
        <v>758</v>
      </c>
      <c r="C32" s="3267">
        <v>5.0890000000000004</v>
      </c>
      <c r="D32" s="3263" t="s">
        <v>2147</v>
      </c>
      <c r="E32" s="3263" t="s">
        <v>2147</v>
      </c>
      <c r="F32" s="3131">
        <f t="shared" ref="F32:F40" si="1">IF(SUM(C32)=0,"NA",G32*1000/C32)</f>
        <v>76.000917856735185</v>
      </c>
      <c r="G32" s="3239">
        <v>0.38676867097292539</v>
      </c>
    </row>
    <row r="33" spans="2:7" ht="18" customHeight="1" x14ac:dyDescent="0.2">
      <c r="B33" s="286" t="s">
        <v>759</v>
      </c>
      <c r="C33" s="3267">
        <v>3.2629999999999999</v>
      </c>
      <c r="D33" s="3263" t="s">
        <v>2147</v>
      </c>
      <c r="E33" s="3263" t="s">
        <v>2147</v>
      </c>
      <c r="F33" s="3131">
        <f t="shared" si="1"/>
        <v>46.002614614974689</v>
      </c>
      <c r="G33" s="3239">
        <v>0.1501065314886624</v>
      </c>
    </row>
    <row r="34" spans="2:7" ht="18" customHeight="1" x14ac:dyDescent="0.2">
      <c r="B34" s="286" t="s">
        <v>760</v>
      </c>
      <c r="C34" s="3267">
        <v>38.395000000000003</v>
      </c>
      <c r="D34" s="3263" t="s">
        <v>2147</v>
      </c>
      <c r="E34" s="3263" t="s">
        <v>2147</v>
      </c>
      <c r="F34" s="3131">
        <f t="shared" si="1"/>
        <v>20.000104477061658</v>
      </c>
      <c r="G34" s="3239">
        <v>0.76790401139678233</v>
      </c>
    </row>
    <row r="35" spans="2:7" ht="18" customHeight="1" x14ac:dyDescent="0.2">
      <c r="B35" s="286" t="s">
        <v>761</v>
      </c>
      <c r="C35" s="3267">
        <v>516.14300000000003</v>
      </c>
      <c r="D35" s="3263" t="s">
        <v>2147</v>
      </c>
      <c r="E35" s="3263" t="s">
        <v>2147</v>
      </c>
      <c r="F35" s="3131">
        <f t="shared" si="1"/>
        <v>5</v>
      </c>
      <c r="G35" s="3239">
        <v>2.5807150000000001</v>
      </c>
    </row>
    <row r="36" spans="2:7" ht="18" customHeight="1" x14ac:dyDescent="0.2">
      <c r="B36" s="286" t="s">
        <v>762</v>
      </c>
      <c r="C36" s="3267">
        <v>254.21799999999999</v>
      </c>
      <c r="D36" s="3263" t="s">
        <v>2147</v>
      </c>
      <c r="E36" s="3263" t="s">
        <v>2147</v>
      </c>
      <c r="F36" s="3131">
        <f t="shared" si="1"/>
        <v>17.999968534089721</v>
      </c>
      <c r="G36" s="3239">
        <v>4.5759160007992206</v>
      </c>
    </row>
    <row r="37" spans="2:7" ht="18" customHeight="1" x14ac:dyDescent="0.2">
      <c r="B37" s="286" t="s">
        <v>763</v>
      </c>
      <c r="C37" s="3267">
        <v>0.86099999999999999</v>
      </c>
      <c r="D37" s="3263" t="s">
        <v>2147</v>
      </c>
      <c r="E37" s="3263" t="s">
        <v>2147</v>
      </c>
      <c r="F37" s="3131">
        <f t="shared" si="1"/>
        <v>10.00183900665497</v>
      </c>
      <c r="G37" s="3239">
        <v>8.6115833847299292E-3</v>
      </c>
    </row>
    <row r="38" spans="2:7" ht="18" customHeight="1" x14ac:dyDescent="0.2">
      <c r="B38" s="286" t="s">
        <v>764</v>
      </c>
      <c r="C38" s="3274">
        <v>91696.938999999998</v>
      </c>
      <c r="D38" s="3263" t="s">
        <v>2147</v>
      </c>
      <c r="E38" s="3263" t="s">
        <v>2147</v>
      </c>
      <c r="F38" s="3131" t="s">
        <v>2147</v>
      </c>
      <c r="G38" s="3264" t="s">
        <v>2154</v>
      </c>
    </row>
    <row r="39" spans="2:7" ht="18" customHeight="1" x14ac:dyDescent="0.2">
      <c r="B39" s="286" t="s">
        <v>765</v>
      </c>
      <c r="C39" s="2635">
        <f>SUM(C40:C44)</f>
        <v>141.685</v>
      </c>
      <c r="D39" s="3258"/>
      <c r="E39" s="3258"/>
      <c r="F39" s="3131">
        <f t="shared" si="1"/>
        <v>7.7952086337228925</v>
      </c>
      <c r="G39" s="3128">
        <f>SUM(G40:G44)</f>
        <v>1.1044641352690281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9.673</v>
      </c>
      <c r="D42" s="2967" t="s">
        <v>2147</v>
      </c>
      <c r="E42" s="2967" t="s">
        <v>2147</v>
      </c>
      <c r="F42" s="3131">
        <f t="shared" si="2"/>
        <v>5.0000868744065352</v>
      </c>
      <c r="G42" s="3201">
        <v>4.8365840336134419E-2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132.012</v>
      </c>
      <c r="D44" s="3258"/>
      <c r="E44" s="3258"/>
      <c r="F44" s="3131">
        <f>IF(SUM(C44)=0,"NA",G44*1000/C44)</f>
        <v>8.0000173842748659</v>
      </c>
      <c r="G44" s="3128">
        <f>G45</f>
        <v>1.0560982949328936</v>
      </c>
    </row>
    <row r="45" spans="2:7" ht="18" customHeight="1" thickBot="1" x14ac:dyDescent="0.25">
      <c r="B45" s="2636" t="s">
        <v>2199</v>
      </c>
      <c r="C45" s="3276">
        <v>132.012</v>
      </c>
      <c r="D45" s="3137" t="s">
        <v>2147</v>
      </c>
      <c r="E45" s="3137" t="s">
        <v>2147</v>
      </c>
      <c r="F45" s="3265">
        <f>IF(SUM(C45)=0,"NA",G45*1000/C45)</f>
        <v>8.0000173842748659</v>
      </c>
      <c r="G45" s="3203">
        <v>1.0560982949328936</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29102.953999999998</v>
      </c>
      <c r="D10" s="2942"/>
      <c r="E10" s="2942"/>
      <c r="F10" s="2942"/>
      <c r="G10" s="2942"/>
      <c r="H10" s="2942"/>
      <c r="I10" s="3279"/>
      <c r="J10" s="3280">
        <f>IF(SUM(C10)=0,"NA",K10*1000/C10)</f>
        <v>5.7589233230342272</v>
      </c>
      <c r="K10" s="3281">
        <f>K15</f>
        <v>167.60168055979224</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29102.953999999998</v>
      </c>
      <c r="D15" s="3293"/>
      <c r="E15" s="3293"/>
      <c r="F15" s="3293"/>
      <c r="G15" s="3293"/>
      <c r="H15" s="3293"/>
      <c r="I15" s="3288"/>
      <c r="J15" s="3287">
        <f>IF(SUM(C15)=0,"NA",K15*1000/C15)</f>
        <v>5.7589233230342272</v>
      </c>
      <c r="K15" s="3281">
        <f>SUM(K17:K20)</f>
        <v>167.60168055979224</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29102.953999999998</v>
      </c>
      <c r="D20" s="3293"/>
      <c r="E20" s="3293"/>
      <c r="F20" s="3293"/>
      <c r="G20" s="3293"/>
      <c r="H20" s="3293"/>
      <c r="I20" s="3288"/>
      <c r="J20" s="3301">
        <f>IF(SUM(C20)=0,"NA",K20*1000/C20)</f>
        <v>5.7589233230342272</v>
      </c>
      <c r="K20" s="3281">
        <f>SUM(K21:K23)</f>
        <v>167.60168055979224</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2807.174</v>
      </c>
      <c r="D21" s="3325">
        <v>8.2357258895293608</v>
      </c>
      <c r="E21" s="3325">
        <v>91.764274110470637</v>
      </c>
      <c r="F21" s="3325" t="s">
        <v>2146</v>
      </c>
      <c r="G21" s="3298">
        <f>Table3.A!K10</f>
        <v>452.49038350574898</v>
      </c>
      <c r="H21" s="3299">
        <v>3.2605066927655599</v>
      </c>
      <c r="I21" s="3300">
        <v>0.24</v>
      </c>
      <c r="J21" s="3301">
        <f>IF(SUM(C21)=0,"NA",K21*1000/C21)</f>
        <v>14.802013550327992</v>
      </c>
      <c r="K21" s="3277">
        <v>41.551827586128425</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25484.928</v>
      </c>
      <c r="D22" s="3325" t="s">
        <v>2146</v>
      </c>
      <c r="E22" s="3325">
        <v>82.3744042837031</v>
      </c>
      <c r="F22" s="3325">
        <v>17.6255957162969</v>
      </c>
      <c r="G22" s="3298">
        <f>Table3.A!L10</f>
        <v>359.69698889126499</v>
      </c>
      <c r="H22" s="3299" t="s">
        <v>2147</v>
      </c>
      <c r="I22" s="3300" t="s">
        <v>2147</v>
      </c>
      <c r="J22" s="3301">
        <f t="shared" ref="J22:J45" si="0">IF(SUM(C22)=0,"NA",K22*1000/C22)</f>
        <v>4.8354013925332922</v>
      </c>
      <c r="K22" s="3277">
        <v>123.22985633981068</v>
      </c>
      <c r="M22" s="1594" t="s">
        <v>800</v>
      </c>
      <c r="N22" s="4486" t="s">
        <v>2196</v>
      </c>
      <c r="O22" s="1690" t="s">
        <v>802</v>
      </c>
      <c r="P22" s="1691" t="s">
        <v>791</v>
      </c>
      <c r="Q22" s="3774">
        <v>6.4616798846550996</v>
      </c>
      <c r="R22" s="300" t="s">
        <v>2146</v>
      </c>
      <c r="S22" s="3772">
        <v>3.9191141155051001</v>
      </c>
      <c r="T22" s="3772">
        <v>1.6113712995568483</v>
      </c>
      <c r="U22" s="3772" t="s">
        <v>2146</v>
      </c>
      <c r="V22" s="3772" t="s">
        <v>2153</v>
      </c>
      <c r="W22" s="3772" t="s">
        <v>2146</v>
      </c>
      <c r="X22" s="3772">
        <v>88.007834700282999</v>
      </c>
      <c r="Y22" s="301" t="s">
        <v>2146</v>
      </c>
      <c r="Z22" s="301" t="s">
        <v>2146</v>
      </c>
      <c r="AA22" s="301" t="s">
        <v>2146</v>
      </c>
      <c r="AB22" s="1306" t="s">
        <v>2146</v>
      </c>
    </row>
    <row r="23" spans="2:28" s="84" customFormat="1" ht="18" customHeight="1" x14ac:dyDescent="0.2">
      <c r="B23" s="2642" t="s">
        <v>2198</v>
      </c>
      <c r="C23" s="3325">
        <f>Table3.A!C23</f>
        <v>810.85199999999998</v>
      </c>
      <c r="D23" s="3325" t="s">
        <v>2146</v>
      </c>
      <c r="E23" s="3325">
        <v>100</v>
      </c>
      <c r="F23" s="3325" t="s">
        <v>2146</v>
      </c>
      <c r="G23" s="3298">
        <f>Table3.A!M10</f>
        <v>524.73704034096602</v>
      </c>
      <c r="H23" s="3299">
        <v>1.7100247915292199</v>
      </c>
      <c r="I23" s="3300">
        <v>0.19</v>
      </c>
      <c r="J23" s="3301">
        <f t="shared" si="0"/>
        <v>3.4778191752047847</v>
      </c>
      <c r="K23" s="3277">
        <v>2.8199966338531497</v>
      </c>
      <c r="M23" s="1664" t="s">
        <v>813</v>
      </c>
      <c r="N23" s="4487"/>
      <c r="O23" s="1692" t="s">
        <v>794</v>
      </c>
      <c r="P23" s="1693" t="s">
        <v>792</v>
      </c>
      <c r="Q23" s="3776">
        <v>9.0925074070969494</v>
      </c>
      <c r="R23" s="277" t="s">
        <v>2146</v>
      </c>
      <c r="S23" s="691">
        <v>1.9288221236280301</v>
      </c>
      <c r="T23" s="3147">
        <v>2.476096931071043</v>
      </c>
      <c r="U23" s="3147" t="s">
        <v>2146</v>
      </c>
      <c r="V23" s="3147" t="s">
        <v>2153</v>
      </c>
      <c r="W23" s="3147" t="s">
        <v>2146</v>
      </c>
      <c r="X23" s="3147">
        <v>86.502573538204004</v>
      </c>
      <c r="Y23" s="278" t="s">
        <v>2146</v>
      </c>
      <c r="Z23" s="278" t="s">
        <v>2146</v>
      </c>
      <c r="AA23" s="278" t="s">
        <v>2146</v>
      </c>
      <c r="AB23" s="279" t="s">
        <v>2146</v>
      </c>
    </row>
    <row r="24" spans="2:28" s="84" customFormat="1" ht="18" customHeight="1" thickBot="1" x14ac:dyDescent="0.25">
      <c r="B24" s="1643" t="s">
        <v>811</v>
      </c>
      <c r="C24" s="4184">
        <f>C25</f>
        <v>72612.254000000001</v>
      </c>
      <c r="D24" s="3303"/>
      <c r="E24" s="3303"/>
      <c r="F24" s="3303"/>
      <c r="G24" s="3303"/>
      <c r="H24" s="3303"/>
      <c r="I24" s="3304"/>
      <c r="J24" s="3301">
        <f t="shared" si="0"/>
        <v>0.34345560956379351</v>
      </c>
      <c r="K24" s="3281">
        <f>K25</f>
        <v>24.939085959371006</v>
      </c>
      <c r="M24" s="1656"/>
      <c r="N24" s="4487"/>
      <c r="O24" s="1694"/>
      <c r="P24" s="1693" t="s">
        <v>793</v>
      </c>
      <c r="Q24" s="4208" t="s">
        <v>2146</v>
      </c>
      <c r="R24" s="304" t="s">
        <v>2146</v>
      </c>
      <c r="S24" s="1559" t="s">
        <v>2146</v>
      </c>
      <c r="T24" s="1560" t="s">
        <v>2146</v>
      </c>
      <c r="U24" s="1560" t="s">
        <v>2146</v>
      </c>
      <c r="V24" s="1560" t="s">
        <v>2153</v>
      </c>
      <c r="W24" s="1560" t="s">
        <v>2146</v>
      </c>
      <c r="X24" s="1560" t="s">
        <v>2146</v>
      </c>
      <c r="Y24" s="305" t="s">
        <v>2146</v>
      </c>
      <c r="Z24" s="305" t="s">
        <v>2146</v>
      </c>
      <c r="AA24" s="305" t="s">
        <v>2146</v>
      </c>
      <c r="AB24" s="442" t="s">
        <v>2146</v>
      </c>
    </row>
    <row r="25" spans="2:28" s="84" customFormat="1" ht="18" customHeight="1" x14ac:dyDescent="0.2">
      <c r="B25" s="1644" t="s">
        <v>812</v>
      </c>
      <c r="C25" s="4184">
        <f>C26</f>
        <v>72612.254000000001</v>
      </c>
      <c r="D25" s="3250"/>
      <c r="E25" s="3250"/>
      <c r="F25" s="3250"/>
      <c r="G25" s="3250"/>
      <c r="H25" s="3250"/>
      <c r="I25" s="3260"/>
      <c r="J25" s="3301">
        <f t="shared" si="0"/>
        <v>0.34345560956379351</v>
      </c>
      <c r="K25" s="3281">
        <f>K26</f>
        <v>24.939085959371006</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72612.254000000001</v>
      </c>
      <c r="D26" s="3325" t="s">
        <v>2146</v>
      </c>
      <c r="E26" s="3325">
        <v>100</v>
      </c>
      <c r="F26" s="3325" t="s">
        <v>2146</v>
      </c>
      <c r="G26" s="3305">
        <f>Table3.A!N10</f>
        <v>44.242420725348502</v>
      </c>
      <c r="H26" s="3033" t="s">
        <v>2147</v>
      </c>
      <c r="I26" s="3126" t="s">
        <v>2147</v>
      </c>
      <c r="J26" s="3301">
        <f t="shared" si="0"/>
        <v>0.34345560956379351</v>
      </c>
      <c r="K26" s="3277">
        <v>24.939085959371006</v>
      </c>
      <c r="M26" s="1656"/>
      <c r="N26" s="4487"/>
      <c r="O26" s="1696"/>
      <c r="P26" s="1693" t="s">
        <v>792</v>
      </c>
      <c r="Q26" s="3776">
        <v>0.74390014422804995</v>
      </c>
      <c r="R26" s="277" t="s">
        <v>2146</v>
      </c>
      <c r="S26" s="691">
        <v>6.6264994145230002E-2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2308.2179999999998</v>
      </c>
      <c r="D27" s="3250"/>
      <c r="E27" s="3250"/>
      <c r="F27" s="3250"/>
      <c r="G27" s="3250"/>
      <c r="H27" s="3250"/>
      <c r="I27" s="3260"/>
      <c r="J27" s="3301">
        <f t="shared" si="0"/>
        <v>23.211374688608569</v>
      </c>
      <c r="K27" s="3281">
        <f>K28</f>
        <v>53.576912860990689</v>
      </c>
      <c r="M27" s="1656"/>
      <c r="N27" s="4488"/>
      <c r="O27" s="1697"/>
      <c r="P27" s="1693" t="s">
        <v>793</v>
      </c>
      <c r="Q27" s="4208" t="s">
        <v>2146</v>
      </c>
      <c r="R27" s="304" t="s">
        <v>2146</v>
      </c>
      <c r="S27" s="1559" t="s">
        <v>2146</v>
      </c>
      <c r="T27" s="1560" t="s">
        <v>2146</v>
      </c>
      <c r="U27" s="1560" t="s">
        <v>2146</v>
      </c>
      <c r="V27" s="1560" t="s">
        <v>2153</v>
      </c>
      <c r="W27" s="1560" t="s">
        <v>2146</v>
      </c>
      <c r="X27" s="1560" t="s">
        <v>2146</v>
      </c>
      <c r="Y27" s="305" t="s">
        <v>2146</v>
      </c>
      <c r="Z27" s="305" t="s">
        <v>2146</v>
      </c>
      <c r="AA27" s="305" t="s">
        <v>2146</v>
      </c>
      <c r="AB27" s="442" t="s">
        <v>2146</v>
      </c>
    </row>
    <row r="28" spans="2:28" s="84" customFormat="1" ht="18" customHeight="1" x14ac:dyDescent="0.2">
      <c r="B28" s="1644" t="s">
        <v>815</v>
      </c>
      <c r="C28" s="4184">
        <f>C29</f>
        <v>2308.2179999999998</v>
      </c>
      <c r="D28" s="3250"/>
      <c r="E28" s="3250"/>
      <c r="F28" s="3250"/>
      <c r="G28" s="3250"/>
      <c r="H28" s="3250"/>
      <c r="I28" s="3260"/>
      <c r="J28" s="3301">
        <f t="shared" si="0"/>
        <v>23.211374688608569</v>
      </c>
      <c r="K28" s="3281">
        <f>K29</f>
        <v>53.576912860990689</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2308.2179999999998</v>
      </c>
      <c r="D29" s="3325">
        <v>0.50667310046088998</v>
      </c>
      <c r="E29" s="3325">
        <v>99.493326899539113</v>
      </c>
      <c r="F29" s="3325" t="s">
        <v>2146</v>
      </c>
      <c r="G29" s="3305">
        <f>Table3.A!O10</f>
        <v>58.119332171253802</v>
      </c>
      <c r="H29" s="3033">
        <v>0.39684755840640001</v>
      </c>
      <c r="I29" s="3126">
        <v>0.45</v>
      </c>
      <c r="J29" s="3301">
        <f t="shared" si="0"/>
        <v>23.211374688608569</v>
      </c>
      <c r="K29" s="3277">
        <v>53.576912860990689</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92656.592999999993</v>
      </c>
      <c r="D30" s="3250"/>
      <c r="E30" s="3250"/>
      <c r="F30" s="3250"/>
      <c r="G30" s="3250"/>
      <c r="H30" s="3250"/>
      <c r="I30" s="3260"/>
      <c r="J30" s="3301">
        <f t="shared" si="0"/>
        <v>4.8313846490776156E-2</v>
      </c>
      <c r="K30" s="3281">
        <f>SUM(K32:K39)</f>
        <v>4.4765964105603242</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5.0890000000000004</v>
      </c>
      <c r="D32" s="3325" t="s">
        <v>2146</v>
      </c>
      <c r="E32" s="3325">
        <v>34.310358085392807</v>
      </c>
      <c r="F32" s="3325">
        <v>65.689641914607193</v>
      </c>
      <c r="G32" s="3307" t="s">
        <v>2147</v>
      </c>
      <c r="H32" s="3307" t="s">
        <v>2147</v>
      </c>
      <c r="I32" s="3307" t="s">
        <v>2147</v>
      </c>
      <c r="J32" s="3301">
        <f t="shared" si="0"/>
        <v>8.629576980932061</v>
      </c>
      <c r="K32" s="3277">
        <v>4.3915917255963256E-2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3.2629999999999999</v>
      </c>
      <c r="D33" s="3325" t="s">
        <v>2146</v>
      </c>
      <c r="E33" s="3325">
        <v>21.475934970551805</v>
      </c>
      <c r="F33" s="3325">
        <v>78.524065029448195</v>
      </c>
      <c r="G33" s="3307" t="s">
        <v>2147</v>
      </c>
      <c r="H33" s="3307" t="s">
        <v>2147</v>
      </c>
      <c r="I33" s="3307" t="s">
        <v>2147</v>
      </c>
      <c r="J33" s="3287">
        <f t="shared" si="0"/>
        <v>9.7299830582010678</v>
      </c>
      <c r="K33" s="3277">
        <v>3.1748934718910084E-2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38.395000000000003</v>
      </c>
      <c r="D34" s="3325" t="s">
        <v>2146</v>
      </c>
      <c r="E34" s="3325">
        <v>98.888532958113444</v>
      </c>
      <c r="F34" s="3325">
        <v>1.11146704188655</v>
      </c>
      <c r="G34" s="3307" t="s">
        <v>2147</v>
      </c>
      <c r="H34" s="3307" t="s">
        <v>2147</v>
      </c>
      <c r="I34" s="3307" t="s">
        <v>2147</v>
      </c>
      <c r="J34" s="3287">
        <f t="shared" si="0"/>
        <v>1.0316339171529203</v>
      </c>
      <c r="K34" s="3277">
        <v>3.960958424908638E-2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516.14300000000003</v>
      </c>
      <c r="D35" s="3325" t="s">
        <v>2146</v>
      </c>
      <c r="E35" s="3325">
        <v>99.913589838475005</v>
      </c>
      <c r="F35" s="3325">
        <v>8.6410161525000001E-2</v>
      </c>
      <c r="G35" s="3307" t="s">
        <v>2147</v>
      </c>
      <c r="H35" s="3307" t="s">
        <v>2147</v>
      </c>
      <c r="I35" s="3307" t="s">
        <v>2147</v>
      </c>
      <c r="J35" s="3287">
        <f t="shared" si="0"/>
        <v>0.35820472932343683</v>
      </c>
      <c r="K35" s="3277">
        <v>0.18488486360718667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254.21799999999999</v>
      </c>
      <c r="D36" s="3325" t="s">
        <v>2146</v>
      </c>
      <c r="E36" s="3325">
        <v>97.628856714567107</v>
      </c>
      <c r="F36" s="3325">
        <v>2.3711432854328902</v>
      </c>
      <c r="G36" s="3307" t="s">
        <v>2147</v>
      </c>
      <c r="H36" s="3307" t="s">
        <v>2147</v>
      </c>
      <c r="I36" s="3307" t="s">
        <v>2147</v>
      </c>
      <c r="J36" s="3287">
        <f t="shared" si="0"/>
        <v>3.2028388739022913</v>
      </c>
      <c r="K36" s="3277">
        <v>0.81421929284569261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0.86099999999999999</v>
      </c>
      <c r="D37" s="3325" t="s">
        <v>2146</v>
      </c>
      <c r="E37" s="3325">
        <v>96.728275269248215</v>
      </c>
      <c r="F37" s="3325">
        <v>3.27172473075179</v>
      </c>
      <c r="G37" s="3307" t="s">
        <v>2147</v>
      </c>
      <c r="H37" s="3307" t="s">
        <v>2147</v>
      </c>
      <c r="I37" s="3307" t="s">
        <v>2147</v>
      </c>
      <c r="J37" s="3287">
        <f t="shared" si="0"/>
        <v>1.0935436050982703</v>
      </c>
      <c r="K37" s="3277">
        <v>9.4154104398961084E-4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91696.938999999998</v>
      </c>
      <c r="D38" s="3325">
        <v>0.93664327705295003</v>
      </c>
      <c r="E38" s="3325">
        <v>99.063356722947049</v>
      </c>
      <c r="F38" s="3325" t="s">
        <v>2146</v>
      </c>
      <c r="G38" s="3307" t="s">
        <v>2147</v>
      </c>
      <c r="H38" s="3307" t="s">
        <v>2147</v>
      </c>
      <c r="I38" s="3307" t="s">
        <v>2147</v>
      </c>
      <c r="J38" s="3287">
        <f t="shared" si="0"/>
        <v>3.6104246281081082E-2</v>
      </c>
      <c r="K38" s="3277">
        <v>3.3106488688772688</v>
      </c>
      <c r="M38" s="1656"/>
      <c r="N38" s="4487"/>
      <c r="O38" s="1696"/>
      <c r="P38" s="1693" t="s">
        <v>792</v>
      </c>
      <c r="Q38" s="3776">
        <v>0.76276345936274004</v>
      </c>
      <c r="R38" s="277" t="s">
        <v>2146</v>
      </c>
      <c r="S38" s="277" t="s">
        <v>2146</v>
      </c>
      <c r="T38" s="3147" t="s">
        <v>2153</v>
      </c>
      <c r="U38" s="3147" t="s">
        <v>2146</v>
      </c>
      <c r="V38" s="3147">
        <v>2.1731477557429258E-2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141.685</v>
      </c>
      <c r="D39" s="3294"/>
      <c r="E39" s="3294"/>
      <c r="F39" s="3294"/>
      <c r="G39" s="3294"/>
      <c r="H39" s="3294"/>
      <c r="I39" s="3295"/>
      <c r="J39" s="3287">
        <f t="shared" si="0"/>
        <v>0.35732369666673458</v>
      </c>
      <c r="K39" s="3281">
        <f>SUM(K40:K44)</f>
        <v>5.0627407962226291E-2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66.5410035731976</v>
      </c>
      <c r="R41" s="277" t="s">
        <v>2146</v>
      </c>
      <c r="S41" s="277" t="s">
        <v>2146</v>
      </c>
      <c r="T41" s="3147" t="s">
        <v>2153</v>
      </c>
      <c r="U41" s="3147" t="s">
        <v>2153</v>
      </c>
      <c r="V41" s="3147">
        <v>26.517272629515119</v>
      </c>
      <c r="W41" s="3147" t="s">
        <v>2153</v>
      </c>
      <c r="X41" s="278" t="s">
        <v>2146</v>
      </c>
      <c r="Y41" s="278" t="s">
        <v>2146</v>
      </c>
      <c r="Z41" s="3147">
        <v>5.3365153978943596</v>
      </c>
      <c r="AA41" s="278" t="s">
        <v>2146</v>
      </c>
      <c r="AB41" s="2911">
        <v>22.324536602521999</v>
      </c>
    </row>
    <row r="42" spans="2:28" s="84" customFormat="1" ht="18" customHeight="1" thickBot="1" x14ac:dyDescent="0.25">
      <c r="B42" s="350" t="s">
        <v>828</v>
      </c>
      <c r="C42" s="3307">
        <f>Table3.A!C42</f>
        <v>9.673</v>
      </c>
      <c r="D42" s="3325" t="s">
        <v>2146</v>
      </c>
      <c r="E42" s="3325">
        <v>100</v>
      </c>
      <c r="F42" s="3325" t="s">
        <v>2146</v>
      </c>
      <c r="G42" s="3307" t="s">
        <v>2147</v>
      </c>
      <c r="H42" s="3307" t="s">
        <v>2147</v>
      </c>
      <c r="I42" s="3307" t="s">
        <v>2147</v>
      </c>
      <c r="J42" s="3287">
        <f t="shared" si="0"/>
        <v>0.35732875778301937</v>
      </c>
      <c r="K42" s="3277">
        <v>3.4564410740351463E-3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132.012</v>
      </c>
      <c r="D44" s="3294"/>
      <c r="E44" s="3294"/>
      <c r="F44" s="3294"/>
      <c r="G44" s="3294"/>
      <c r="H44" s="3294"/>
      <c r="I44" s="3295"/>
      <c r="J44" s="3287">
        <f t="shared" si="0"/>
        <v>0.3573233258203129</v>
      </c>
      <c r="K44" s="3281">
        <f>K45</f>
        <v>4.7170966888191147E-2</v>
      </c>
      <c r="M44" s="4491"/>
      <c r="N44" s="4492"/>
      <c r="O44" s="1696"/>
      <c r="P44" s="1693" t="s">
        <v>792</v>
      </c>
      <c r="Q44" s="3776">
        <v>0.75521278139707004</v>
      </c>
      <c r="R44" s="277" t="s">
        <v>2146</v>
      </c>
      <c r="S44" s="277" t="s">
        <v>2146</v>
      </c>
      <c r="T44" s="3147" t="s">
        <v>2153</v>
      </c>
      <c r="U44" s="3147" t="s">
        <v>2153</v>
      </c>
      <c r="V44" s="3147">
        <v>1.9239314986326088</v>
      </c>
      <c r="W44" s="3147" t="s">
        <v>2153</v>
      </c>
      <c r="X44" s="278" t="s">
        <v>2146</v>
      </c>
      <c r="Y44" s="278" t="s">
        <v>2146</v>
      </c>
      <c r="Z44" s="3147">
        <v>0.1</v>
      </c>
      <c r="AA44" s="278" t="s">
        <v>2146</v>
      </c>
      <c r="AB44" s="2911">
        <v>3.9390339841559999E-2</v>
      </c>
    </row>
    <row r="45" spans="2:28" s="84" customFormat="1" ht="18" customHeight="1" thickBot="1" x14ac:dyDescent="0.25">
      <c r="B45" s="2648" t="s">
        <v>2199</v>
      </c>
      <c r="C45" s="4186">
        <f>Table3.A!C45</f>
        <v>132.012</v>
      </c>
      <c r="D45" s="3040" t="s">
        <v>2146</v>
      </c>
      <c r="E45" s="3040">
        <v>100</v>
      </c>
      <c r="F45" s="3040" t="s">
        <v>2146</v>
      </c>
      <c r="G45" s="3040" t="s">
        <v>2147</v>
      </c>
      <c r="H45" s="3040" t="s">
        <v>2147</v>
      </c>
      <c r="I45" s="3308" t="s">
        <v>2147</v>
      </c>
      <c r="J45" s="3309">
        <f t="shared" si="0"/>
        <v>0.3573233258203129</v>
      </c>
      <c r="K45" s="3278">
        <v>4.7170966888191147E-2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47.52572663447642</v>
      </c>
      <c r="U46" s="3773" t="s">
        <v>2146</v>
      </c>
      <c r="V46" s="3773" t="s">
        <v>2146</v>
      </c>
      <c r="W46" s="3773" t="s">
        <v>2153</v>
      </c>
      <c r="X46" s="3773">
        <v>2.4430236590324101</v>
      </c>
      <c r="Y46" s="3773">
        <v>17.9985338348542</v>
      </c>
      <c r="Z46" s="3773">
        <v>0.41360434235998</v>
      </c>
      <c r="AA46" s="301" t="s">
        <v>2146</v>
      </c>
      <c r="AB46" s="3775">
        <v>97.556976340967594</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43.286602782099862</v>
      </c>
      <c r="U47" s="3147" t="s">
        <v>2146</v>
      </c>
      <c r="V47" s="3147" t="s">
        <v>2146</v>
      </c>
      <c r="W47" s="3147" t="s">
        <v>2153</v>
      </c>
      <c r="X47" s="3147">
        <v>2.6913290735716799</v>
      </c>
      <c r="Y47" s="3147">
        <v>18.7962950775824</v>
      </c>
      <c r="Z47" s="3147">
        <v>0.22921554497134</v>
      </c>
      <c r="AA47" s="278" t="s">
        <v>2146</v>
      </c>
      <c r="AB47" s="2911">
        <v>97.308670926428306</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1.357214709654E-2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29102.953999999998</v>
      </c>
      <c r="D10" s="3490"/>
      <c r="E10" s="3491"/>
      <c r="F10" s="3478">
        <f>F15</f>
        <v>31213957.014424101</v>
      </c>
      <c r="G10" s="3478" t="str">
        <f t="shared" ref="G10:R10" si="0">G15</f>
        <v>NO</v>
      </c>
      <c r="H10" s="3478">
        <f t="shared" si="0"/>
        <v>6999871.4389585499</v>
      </c>
      <c r="I10" s="3478">
        <f t="shared" si="0"/>
        <v>8090439.5139937149</v>
      </c>
      <c r="J10" s="3478" t="str">
        <f t="shared" si="0"/>
        <v>NO</v>
      </c>
      <c r="K10" s="3478">
        <f t="shared" si="0"/>
        <v>69060605.049372002</v>
      </c>
      <c r="L10" s="3478">
        <f t="shared" si="0"/>
        <v>8212914.0205337126</v>
      </c>
      <c r="M10" s="3478">
        <f t="shared" si="0"/>
        <v>1183227597.174006</v>
      </c>
      <c r="N10" s="3478">
        <f t="shared" si="0"/>
        <v>8212914.0205337126</v>
      </c>
      <c r="O10" s="3478" t="str">
        <f t="shared" si="0"/>
        <v>NO</v>
      </c>
      <c r="P10" s="3478" t="str">
        <f t="shared" si="0"/>
        <v>NO</v>
      </c>
      <c r="Q10" s="3478" t="str">
        <f t="shared" si="0"/>
        <v>NO</v>
      </c>
      <c r="R10" s="3478">
        <f t="shared" si="0"/>
        <v>1315018298.2318218</v>
      </c>
      <c r="S10" s="2651"/>
      <c r="T10" s="2652"/>
      <c r="U10" s="3456">
        <f>IF(SUM(X10)=0,"NA",X10*1000/C10)</f>
        <v>2.6503162972494575E-2</v>
      </c>
      <c r="V10" s="3448"/>
      <c r="W10" s="3449"/>
      <c r="X10" s="3311">
        <f t="shared" ref="X10" si="1">X15</f>
        <v>0.77132033284301282</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29102.953999999998</v>
      </c>
      <c r="D15" s="3493"/>
      <c r="E15" s="3493"/>
      <c r="F15" s="2649">
        <f>F20</f>
        <v>31213957.014424101</v>
      </c>
      <c r="G15" s="2649" t="str">
        <f t="shared" ref="G15:R15" si="2">G20</f>
        <v>NO</v>
      </c>
      <c r="H15" s="2649">
        <f t="shared" si="2"/>
        <v>6999871.4389585499</v>
      </c>
      <c r="I15" s="2649">
        <f t="shared" si="2"/>
        <v>8090439.5139937149</v>
      </c>
      <c r="J15" s="2649" t="str">
        <f t="shared" si="2"/>
        <v>NO</v>
      </c>
      <c r="K15" s="2649">
        <f t="shared" si="2"/>
        <v>69060605.049372002</v>
      </c>
      <c r="L15" s="2649">
        <f t="shared" si="2"/>
        <v>8212914.0205337126</v>
      </c>
      <c r="M15" s="2649">
        <f t="shared" si="2"/>
        <v>1183227597.174006</v>
      </c>
      <c r="N15" s="2649">
        <f t="shared" si="2"/>
        <v>8212914.0205337126</v>
      </c>
      <c r="O15" s="2649" t="str">
        <f t="shared" si="2"/>
        <v>NO</v>
      </c>
      <c r="P15" s="2649" t="str">
        <f t="shared" si="2"/>
        <v>NO</v>
      </c>
      <c r="Q15" s="2649" t="str">
        <f t="shared" si="2"/>
        <v>NO</v>
      </c>
      <c r="R15" s="2649">
        <f t="shared" si="2"/>
        <v>1315018298.2318218</v>
      </c>
      <c r="S15" s="2657"/>
      <c r="T15" s="2658"/>
      <c r="U15" s="3456">
        <f>IF(SUM(X15)=0,"NA",X15*1000/C15)</f>
        <v>2.6503162972494575E-2</v>
      </c>
      <c r="V15" s="3454"/>
      <c r="W15" s="3455"/>
      <c r="X15" s="3314">
        <f t="shared" ref="X15" si="3">X20</f>
        <v>0.77132033284301282</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29102.953999999998</v>
      </c>
      <c r="D20" s="3492"/>
      <c r="E20" s="3492"/>
      <c r="F20" s="2649">
        <f>IF(SUM(F21:F23)=0,"NO",SUM(F21:F23))</f>
        <v>31213957.014424101</v>
      </c>
      <c r="G20" s="2649" t="str">
        <f t="shared" ref="G20:Q20" si="6">IF(SUM(G21:G23)=0,"NO",SUM(G21:G23))</f>
        <v>NO</v>
      </c>
      <c r="H20" s="2649">
        <f t="shared" si="6"/>
        <v>6999871.4389585499</v>
      </c>
      <c r="I20" s="2649">
        <f t="shared" si="6"/>
        <v>8090439.5139937149</v>
      </c>
      <c r="J20" s="2649" t="str">
        <f t="shared" si="6"/>
        <v>NO</v>
      </c>
      <c r="K20" s="2649">
        <f t="shared" si="6"/>
        <v>69060605.049372002</v>
      </c>
      <c r="L20" s="2649">
        <f t="shared" si="6"/>
        <v>8212914.0205337126</v>
      </c>
      <c r="M20" s="2649">
        <f t="shared" si="6"/>
        <v>1183227597.174006</v>
      </c>
      <c r="N20" s="2649">
        <f t="shared" si="6"/>
        <v>8212914.0205337126</v>
      </c>
      <c r="O20" s="2649" t="str">
        <f t="shared" si="6"/>
        <v>NO</v>
      </c>
      <c r="P20" s="2649" t="str">
        <f t="shared" si="6"/>
        <v>NO</v>
      </c>
      <c r="Q20" s="2649" t="str">
        <f t="shared" si="6"/>
        <v>NO</v>
      </c>
      <c r="R20" s="3482">
        <f>IF(SUM(F20:Q20)=0,"NO",SUM(F20:Q20))</f>
        <v>1315018298.2318218</v>
      </c>
      <c r="S20" s="2657"/>
      <c r="T20" s="2658"/>
      <c r="U20" s="3456">
        <f t="shared" si="4"/>
        <v>2.6503162972494575E-2</v>
      </c>
      <c r="V20" s="3454"/>
      <c r="W20" s="3455"/>
      <c r="X20" s="3314">
        <f t="shared" ref="X20" si="7">IF(SUM(X21:X23)=0,"NO",SUM(X21:X23))</f>
        <v>0.77132033284301282</v>
      </c>
      <c r="Y20" s="3173"/>
      <c r="Z20" s="3457"/>
    </row>
    <row r="21" spans="2:26" ht="18" customHeight="1" x14ac:dyDescent="0.2">
      <c r="B21" s="2647" t="s">
        <v>2196</v>
      </c>
      <c r="C21" s="3495">
        <f>Table3.A!C21</f>
        <v>2807.174</v>
      </c>
      <c r="D21" s="3307">
        <v>123.44451879494375</v>
      </c>
      <c r="E21" s="3494">
        <f>'Table3.B(a)'!G21</f>
        <v>452.49038350574898</v>
      </c>
      <c r="F21" s="3479">
        <v>30180943.819008</v>
      </c>
      <c r="G21" s="3479" t="s">
        <v>2146</v>
      </c>
      <c r="H21" s="3479">
        <v>6999871.4389585499</v>
      </c>
      <c r="I21" s="3479">
        <v>8090439.5139937149</v>
      </c>
      <c r="J21" s="3479" t="s">
        <v>2146</v>
      </c>
      <c r="K21" s="3479" t="s">
        <v>2153</v>
      </c>
      <c r="L21" s="3479" t="s">
        <v>2146</v>
      </c>
      <c r="M21" s="3479">
        <v>301258995.00394303</v>
      </c>
      <c r="N21" s="3479" t="s">
        <v>2146</v>
      </c>
      <c r="O21" s="3479" t="s">
        <v>2146</v>
      </c>
      <c r="P21" s="3479" t="s">
        <v>2146</v>
      </c>
      <c r="Q21" s="3479" t="s">
        <v>2146</v>
      </c>
      <c r="R21" s="3482">
        <f t="shared" ref="R21:R45" si="8">IF(SUM(F21:Q21)=0,"NO",SUM(F21:Q21))</f>
        <v>346530249.77590328</v>
      </c>
      <c r="S21" s="2657"/>
      <c r="T21" s="2658"/>
      <c r="U21" s="3456">
        <f t="shared" si="4"/>
        <v>2.264474487100623E-2</v>
      </c>
      <c r="V21" s="3454"/>
      <c r="W21" s="3455"/>
      <c r="X21" s="3315">
        <v>6.3567739038522045E-2</v>
      </c>
      <c r="Y21" s="3173"/>
      <c r="Z21" s="3457"/>
    </row>
    <row r="22" spans="2:26" ht="18" customHeight="1" x14ac:dyDescent="0.2">
      <c r="B22" s="2647" t="s">
        <v>2197</v>
      </c>
      <c r="C22" s="3495">
        <f>Table3.A!C22</f>
        <v>25484.928</v>
      </c>
      <c r="D22" s="3307">
        <v>34.60745846008232</v>
      </c>
      <c r="E22" s="3494">
        <f>'Table3.B(a)'!G22</f>
        <v>359.69698889126499</v>
      </c>
      <c r="F22" s="3483" t="s">
        <v>2146</v>
      </c>
      <c r="G22" s="3479" t="s">
        <v>2146</v>
      </c>
      <c r="H22" s="3483" t="s">
        <v>2146</v>
      </c>
      <c r="I22" s="3483" t="s">
        <v>2146</v>
      </c>
      <c r="J22" s="3483" t="s">
        <v>2146</v>
      </c>
      <c r="K22" s="3483" t="s">
        <v>2146</v>
      </c>
      <c r="L22" s="3483" t="s">
        <v>2146</v>
      </c>
      <c r="M22" s="3483">
        <v>881968602.17006302</v>
      </c>
      <c r="N22" s="3483" t="s">
        <v>2146</v>
      </c>
      <c r="O22" s="3483" t="s">
        <v>2146</v>
      </c>
      <c r="P22" s="3483" t="s">
        <v>2146</v>
      </c>
      <c r="Q22" s="3483" t="s">
        <v>2146</v>
      </c>
      <c r="R22" s="3482">
        <f t="shared" si="8"/>
        <v>881968602.17006302</v>
      </c>
      <c r="S22" s="2657"/>
      <c r="T22" s="2658"/>
      <c r="U22" s="3456" t="str">
        <f>IF(SUM(X22)=0,"NA",X22*1000/C22)</f>
        <v>NA</v>
      </c>
      <c r="V22" s="3454"/>
      <c r="W22" s="3455"/>
      <c r="X22" s="3315" t="s">
        <v>2147</v>
      </c>
      <c r="Y22" s="3173"/>
      <c r="Z22" s="3457"/>
    </row>
    <row r="23" spans="2:26" ht="18" customHeight="1" x14ac:dyDescent="0.2">
      <c r="B23" s="2647" t="s">
        <v>2198</v>
      </c>
      <c r="C23" s="3495">
        <f>Table3.A!C23</f>
        <v>810.85199999999998</v>
      </c>
      <c r="D23" s="3307">
        <v>70.776950942183049</v>
      </c>
      <c r="E23" s="3494">
        <f>'Table3.B(a)'!G23</f>
        <v>524.73704034096602</v>
      </c>
      <c r="F23" s="3483">
        <v>1033013.1954161</v>
      </c>
      <c r="G23" s="3479" t="s">
        <v>2146</v>
      </c>
      <c r="H23" s="3483" t="s">
        <v>2146</v>
      </c>
      <c r="I23" s="3483" t="s">
        <v>2153</v>
      </c>
      <c r="J23" s="3483" t="s">
        <v>2153</v>
      </c>
      <c r="K23" s="3483">
        <v>69060605.049372002</v>
      </c>
      <c r="L23" s="3483">
        <v>8212914.0205337126</v>
      </c>
      <c r="M23" s="3483" t="s">
        <v>2146</v>
      </c>
      <c r="N23" s="3483">
        <v>8212914.0205337126</v>
      </c>
      <c r="O23" s="3483" t="s">
        <v>2146</v>
      </c>
      <c r="P23" s="3483" t="s">
        <v>2146</v>
      </c>
      <c r="Q23" s="3483" t="s">
        <v>2146</v>
      </c>
      <c r="R23" s="3482">
        <f t="shared" si="8"/>
        <v>86519446.285855517</v>
      </c>
      <c r="S23" s="2657"/>
      <c r="T23" s="2658"/>
      <c r="U23" s="3456">
        <f t="shared" ref="U23:U30" si="9">IF(SUM(X23)=0,"NA",X23*1000/C23)</f>
        <v>0.87285052488554105</v>
      </c>
      <c r="V23" s="3454"/>
      <c r="W23" s="3455"/>
      <c r="X23" s="3315">
        <v>0.70775259380449074</v>
      </c>
      <c r="Y23" s="3173"/>
      <c r="Z23" s="3457"/>
    </row>
    <row r="24" spans="2:26" ht="18" customHeight="1" x14ac:dyDescent="0.2">
      <c r="B24" s="351" t="s">
        <v>811</v>
      </c>
      <c r="C24" s="3314">
        <f>C25</f>
        <v>72612.254000000001</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503000972.18071598</v>
      </c>
      <c r="N24" s="2649" t="str">
        <f t="shared" si="10"/>
        <v>NO</v>
      </c>
      <c r="O24" s="2649" t="str">
        <f t="shared" si="10"/>
        <v>NO</v>
      </c>
      <c r="P24" s="2649" t="str">
        <f t="shared" si="10"/>
        <v>NO</v>
      </c>
      <c r="Q24" s="2649" t="str">
        <f t="shared" si="10"/>
        <v>NO</v>
      </c>
      <c r="R24" s="3482">
        <f t="shared" si="8"/>
        <v>503000972.18071598</v>
      </c>
      <c r="S24" s="2657"/>
      <c r="T24" s="2658"/>
      <c r="U24" s="3456" t="str">
        <f t="shared" si="9"/>
        <v>NA</v>
      </c>
      <c r="V24" s="3454"/>
      <c r="W24" s="3455"/>
      <c r="X24" s="3314" t="str">
        <f t="shared" ref="X24:X25" si="11">X25</f>
        <v>NA</v>
      </c>
      <c r="Y24" s="3173"/>
      <c r="Z24" s="3457"/>
    </row>
    <row r="25" spans="2:26" ht="18" customHeight="1" x14ac:dyDescent="0.2">
      <c r="B25" s="350" t="s">
        <v>812</v>
      </c>
      <c r="C25" s="3314">
        <f>C26</f>
        <v>72612.254000000001</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503000972.18071598</v>
      </c>
      <c r="N25" s="2649" t="str">
        <f t="shared" si="10"/>
        <v>NO</v>
      </c>
      <c r="O25" s="2649" t="str">
        <f t="shared" si="10"/>
        <v>NO</v>
      </c>
      <c r="P25" s="2649" t="str">
        <f t="shared" si="10"/>
        <v>NO</v>
      </c>
      <c r="Q25" s="2649" t="str">
        <f t="shared" si="10"/>
        <v>NO</v>
      </c>
      <c r="R25" s="3482">
        <f t="shared" si="8"/>
        <v>503000972.18071598</v>
      </c>
      <c r="S25" s="2657"/>
      <c r="T25" s="2658"/>
      <c r="U25" s="3456" t="str">
        <f t="shared" si="9"/>
        <v>NA</v>
      </c>
      <c r="V25" s="3454"/>
      <c r="W25" s="3455"/>
      <c r="X25" s="3314" t="str">
        <f t="shared" si="11"/>
        <v>NA</v>
      </c>
      <c r="Y25" s="3173"/>
      <c r="Z25" s="3457"/>
    </row>
    <row r="26" spans="2:26" ht="18" customHeight="1" x14ac:dyDescent="0.2">
      <c r="B26" s="2642" t="s">
        <v>2201</v>
      </c>
      <c r="C26" s="3495">
        <f>Table3.A!C26</f>
        <v>72612.254000000001</v>
      </c>
      <c r="D26" s="3307">
        <v>6.9272188570185493</v>
      </c>
      <c r="E26" s="3494">
        <f>'Table3.B(a)'!G26</f>
        <v>44.242420725348502</v>
      </c>
      <c r="F26" s="3483" t="s">
        <v>2146</v>
      </c>
      <c r="G26" s="3479" t="s">
        <v>2146</v>
      </c>
      <c r="H26" s="3483" t="s">
        <v>2146</v>
      </c>
      <c r="I26" s="3483" t="s">
        <v>2146</v>
      </c>
      <c r="J26" s="3483" t="s">
        <v>2146</v>
      </c>
      <c r="K26" s="3483" t="s">
        <v>2146</v>
      </c>
      <c r="L26" s="3483" t="s">
        <v>2146</v>
      </c>
      <c r="M26" s="3479">
        <v>503000972.18071598</v>
      </c>
      <c r="N26" s="3483" t="s">
        <v>2146</v>
      </c>
      <c r="O26" s="3483" t="s">
        <v>2146</v>
      </c>
      <c r="P26" s="3483" t="s">
        <v>2146</v>
      </c>
      <c r="Q26" s="3483" t="s">
        <v>2146</v>
      </c>
      <c r="R26" s="3482">
        <f t="shared" si="8"/>
        <v>503000972.18071598</v>
      </c>
      <c r="S26" s="2657"/>
      <c r="T26" s="2658"/>
      <c r="U26" s="3456" t="str">
        <f t="shared" si="9"/>
        <v>NA</v>
      </c>
      <c r="V26" s="3454"/>
      <c r="W26" s="3455"/>
      <c r="X26" s="3315" t="s">
        <v>2147</v>
      </c>
      <c r="Y26" s="3173"/>
      <c r="Z26" s="3457"/>
    </row>
    <row r="27" spans="2:26" ht="18" customHeight="1" x14ac:dyDescent="0.2">
      <c r="B27" s="351" t="s">
        <v>814</v>
      </c>
      <c r="C27" s="3314">
        <f>C28</f>
        <v>2308.2179999999998</v>
      </c>
      <c r="D27" s="3492"/>
      <c r="E27" s="3492"/>
      <c r="F27" s="2649">
        <f>F28</f>
        <v>20035261.749532402</v>
      </c>
      <c r="G27" s="2649" t="str">
        <f t="shared" ref="G27:G28" si="12">G28</f>
        <v>NO</v>
      </c>
      <c r="H27" s="2649" t="str">
        <f t="shared" ref="H27:H28" si="13">H28</f>
        <v>NO</v>
      </c>
      <c r="I27" s="2649" t="str">
        <f t="shared" ref="I27:I28" si="14">I28</f>
        <v>IE</v>
      </c>
      <c r="J27" s="2649" t="str">
        <f t="shared" ref="J27:J28" si="15">J28</f>
        <v>IE</v>
      </c>
      <c r="K27" s="2649">
        <f t="shared" ref="K27:K28" si="16">K28</f>
        <v>7043960.1587507166</v>
      </c>
      <c r="L27" s="2649" t="str">
        <f t="shared" ref="L27:L28" si="17">L28</f>
        <v>IE</v>
      </c>
      <c r="M27" s="2649" t="str">
        <f t="shared" ref="M27:M28" si="18">M28</f>
        <v>NO</v>
      </c>
      <c r="N27" s="2649" t="str">
        <f t="shared" ref="N27:N28" si="19">N28</f>
        <v>NO</v>
      </c>
      <c r="O27" s="2649">
        <f t="shared" ref="O27:O28" si="20">O28</f>
        <v>1518010.2262576399</v>
      </c>
      <c r="P27" s="2649" t="str">
        <f t="shared" ref="P27:P28" si="21">P28</f>
        <v>NO</v>
      </c>
      <c r="Q27" s="2649">
        <f t="shared" ref="Q27:Q28" si="22">Q28</f>
        <v>6362048.7626392096</v>
      </c>
      <c r="R27" s="3482">
        <f t="shared" si="8"/>
        <v>34959280.897179969</v>
      </c>
      <c r="S27" s="2657"/>
      <c r="T27" s="2658"/>
      <c r="U27" s="3456">
        <f t="shared" si="9"/>
        <v>7.8972100674717424E-2</v>
      </c>
      <c r="V27" s="3454"/>
      <c r="W27" s="3455"/>
      <c r="X27" s="3314">
        <f t="shared" ref="X27:X28" si="23">X28</f>
        <v>0.18228482427519491</v>
      </c>
      <c r="Y27" s="3173"/>
      <c r="Z27" s="3457"/>
    </row>
    <row r="28" spans="2:26" ht="18" customHeight="1" x14ac:dyDescent="0.2">
      <c r="B28" s="350" t="s">
        <v>815</v>
      </c>
      <c r="C28" s="3314">
        <f>C29</f>
        <v>2308.2179999999998</v>
      </c>
      <c r="D28" s="3492"/>
      <c r="E28" s="3492"/>
      <c r="F28" s="2649">
        <f>F29</f>
        <v>20035261.749532402</v>
      </c>
      <c r="G28" s="2649" t="str">
        <f t="shared" si="12"/>
        <v>NO</v>
      </c>
      <c r="H28" s="2649" t="str">
        <f t="shared" si="13"/>
        <v>NO</v>
      </c>
      <c r="I28" s="2649" t="str">
        <f t="shared" si="14"/>
        <v>IE</v>
      </c>
      <c r="J28" s="2649" t="str">
        <f t="shared" si="15"/>
        <v>IE</v>
      </c>
      <c r="K28" s="2649">
        <f t="shared" si="16"/>
        <v>7043960.1587507166</v>
      </c>
      <c r="L28" s="2649" t="str">
        <f t="shared" si="17"/>
        <v>IE</v>
      </c>
      <c r="M28" s="2649" t="str">
        <f t="shared" si="18"/>
        <v>NO</v>
      </c>
      <c r="N28" s="2649" t="str">
        <f t="shared" si="19"/>
        <v>NO</v>
      </c>
      <c r="O28" s="2649">
        <f t="shared" si="20"/>
        <v>1518010.2262576399</v>
      </c>
      <c r="P28" s="2649" t="str">
        <f t="shared" si="21"/>
        <v>NO</v>
      </c>
      <c r="Q28" s="2649">
        <f t="shared" si="22"/>
        <v>6362048.7626392096</v>
      </c>
      <c r="R28" s="3482">
        <f t="shared" si="8"/>
        <v>34959280.897179969</v>
      </c>
      <c r="S28" s="2657"/>
      <c r="T28" s="2658"/>
      <c r="U28" s="3456">
        <f t="shared" si="9"/>
        <v>7.8972100674717424E-2</v>
      </c>
      <c r="V28" s="3454"/>
      <c r="W28" s="3455"/>
      <c r="X28" s="3314">
        <f t="shared" si="23"/>
        <v>0.18228482427519491</v>
      </c>
      <c r="Y28" s="3173"/>
      <c r="Z28" s="3457"/>
    </row>
    <row r="29" spans="2:26" ht="18" customHeight="1" x14ac:dyDescent="0.2">
      <c r="B29" s="2642" t="s">
        <v>817</v>
      </c>
      <c r="C29" s="3495">
        <f>Table3.A!C29</f>
        <v>2308.2179999999998</v>
      </c>
      <c r="D29" s="3307">
        <v>12.251867681414096</v>
      </c>
      <c r="E29" s="3494">
        <f>'Table3.B(a)'!G29</f>
        <v>58.119332171253802</v>
      </c>
      <c r="F29" s="3479">
        <v>20035261.749532402</v>
      </c>
      <c r="G29" s="3479" t="s">
        <v>2146</v>
      </c>
      <c r="H29" s="3479" t="s">
        <v>2146</v>
      </c>
      <c r="I29" s="3479" t="s">
        <v>2153</v>
      </c>
      <c r="J29" s="3479" t="s">
        <v>2153</v>
      </c>
      <c r="K29" s="3479">
        <v>7043960.1587507166</v>
      </c>
      <c r="L29" s="3479" t="s">
        <v>2153</v>
      </c>
      <c r="M29" s="3479" t="s">
        <v>2146</v>
      </c>
      <c r="N29" s="3479" t="s">
        <v>2146</v>
      </c>
      <c r="O29" s="3479">
        <v>1518010.2262576399</v>
      </c>
      <c r="P29" s="3479" t="s">
        <v>2146</v>
      </c>
      <c r="Q29" s="3479">
        <v>6362048.7626392096</v>
      </c>
      <c r="R29" s="3482">
        <f t="shared" si="8"/>
        <v>34959280.897179969</v>
      </c>
      <c r="S29" s="2657"/>
      <c r="T29" s="2658"/>
      <c r="U29" s="3456">
        <f t="shared" si="9"/>
        <v>7.8972100674717424E-2</v>
      </c>
      <c r="V29" s="3454"/>
      <c r="W29" s="3455"/>
      <c r="X29" s="3315">
        <v>0.18228482427519491</v>
      </c>
      <c r="Y29" s="3173"/>
      <c r="Z29" s="3457"/>
    </row>
    <row r="30" spans="2:26" ht="18" customHeight="1" x14ac:dyDescent="0.2">
      <c r="B30" s="351" t="s">
        <v>861</v>
      </c>
      <c r="C30" s="3314">
        <f>IF(SUM(C32:C39)=0,"NO",SUM(C32:C39))</f>
        <v>92656.592999999993</v>
      </c>
      <c r="D30" s="3492"/>
      <c r="E30" s="3492"/>
      <c r="F30" s="2649" t="str">
        <f>IF(SUM(F32:F39)=0,"NO",SUM(F32:F39))</f>
        <v>NO</v>
      </c>
      <c r="G30" s="2649" t="str">
        <f t="shared" ref="G30:Q30" si="24">IF(SUM(G32:G39)=0,"NO",SUM(G32:G39))</f>
        <v>NO</v>
      </c>
      <c r="H30" s="2649" t="str">
        <f t="shared" si="24"/>
        <v>NO</v>
      </c>
      <c r="I30" s="2649">
        <f t="shared" si="24"/>
        <v>21868471.579688974</v>
      </c>
      <c r="J30" s="2649" t="str">
        <f t="shared" si="24"/>
        <v>NO</v>
      </c>
      <c r="K30" s="2649" t="str">
        <f t="shared" si="24"/>
        <v>NO</v>
      </c>
      <c r="L30" s="2649" t="str">
        <f t="shared" si="24"/>
        <v>NO</v>
      </c>
      <c r="M30" s="2649">
        <f t="shared" si="24"/>
        <v>17135444.327391636</v>
      </c>
      <c r="N30" s="2649">
        <f t="shared" si="24"/>
        <v>9484345.1604729407</v>
      </c>
      <c r="O30" s="2649">
        <f t="shared" si="24"/>
        <v>117147.40810949801</v>
      </c>
      <c r="P30" s="2649" t="str">
        <f t="shared" si="24"/>
        <v>NO</v>
      </c>
      <c r="Q30" s="2649">
        <f t="shared" si="24"/>
        <v>58953649.873447903</v>
      </c>
      <c r="R30" s="3482">
        <f t="shared" si="8"/>
        <v>107559058.34911096</v>
      </c>
      <c r="S30" s="2657"/>
      <c r="T30" s="2658"/>
      <c r="U30" s="3456">
        <f t="shared" si="9"/>
        <v>4.4627678543575616E-3</v>
      </c>
      <c r="V30" s="3454"/>
      <c r="W30" s="3455"/>
      <c r="X30" s="3314">
        <f t="shared" ref="X30" si="25">IF(SUM(X32:X39)=0,"NO",SUM(X32:X39))</f>
        <v>0.41350486473469189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5.0890000000000004</v>
      </c>
      <c r="D32" s="3307">
        <v>39.5</v>
      </c>
      <c r="E32" s="3494" t="str">
        <f>'Table3.B(a)'!G32</f>
        <v>NA</v>
      </c>
      <c r="F32" s="3479" t="s">
        <v>2146</v>
      </c>
      <c r="G32" s="3479" t="s">
        <v>2146</v>
      </c>
      <c r="H32" s="3479" t="s">
        <v>2146</v>
      </c>
      <c r="I32" s="3479" t="s">
        <v>2146</v>
      </c>
      <c r="J32" s="3479" t="s">
        <v>2146</v>
      </c>
      <c r="K32" s="3479" t="s">
        <v>2146</v>
      </c>
      <c r="L32" s="3479" t="s">
        <v>2146</v>
      </c>
      <c r="M32" s="3479">
        <v>201017.92767671781</v>
      </c>
      <c r="N32" s="3479" t="s">
        <v>2146</v>
      </c>
      <c r="O32" s="3479" t="s">
        <v>2146</v>
      </c>
      <c r="P32" s="3479" t="s">
        <v>2146</v>
      </c>
      <c r="Q32" s="3479" t="s">
        <v>2146</v>
      </c>
      <c r="R32" s="3482">
        <f t="shared" si="8"/>
        <v>201017.92767671781</v>
      </c>
      <c r="S32" s="2657"/>
      <c r="T32" s="2658"/>
      <c r="U32" s="3456" t="str">
        <f>IF(SUM(X32)=0,"NA",X32*1000/C32)</f>
        <v>NA</v>
      </c>
      <c r="V32" s="3454"/>
      <c r="W32" s="3455"/>
      <c r="X32" s="3315" t="s">
        <v>2147</v>
      </c>
      <c r="Y32" s="3173"/>
      <c r="Z32" s="3457"/>
    </row>
    <row r="33" spans="2:26" ht="18" customHeight="1" x14ac:dyDescent="0.2">
      <c r="B33" s="350" t="s">
        <v>819</v>
      </c>
      <c r="C33" s="3495">
        <f>Table3.A!C33</f>
        <v>3.2629999999999999</v>
      </c>
      <c r="D33" s="3307">
        <v>39.5</v>
      </c>
      <c r="E33" s="3494" t="str">
        <f>'Table3.B(a)'!G33</f>
        <v>NA</v>
      </c>
      <c r="F33" s="3479" t="s">
        <v>2146</v>
      </c>
      <c r="G33" s="3479" t="s">
        <v>2146</v>
      </c>
      <c r="H33" s="3479" t="s">
        <v>2146</v>
      </c>
      <c r="I33" s="3479" t="s">
        <v>2146</v>
      </c>
      <c r="J33" s="3479" t="s">
        <v>2146</v>
      </c>
      <c r="K33" s="3479" t="s">
        <v>2146</v>
      </c>
      <c r="L33" s="3479" t="s">
        <v>2146</v>
      </c>
      <c r="M33" s="3479">
        <v>128895.82595222098</v>
      </c>
      <c r="N33" s="3479" t="s">
        <v>2146</v>
      </c>
      <c r="O33" s="3479" t="s">
        <v>2146</v>
      </c>
      <c r="P33" s="3479" t="s">
        <v>2146</v>
      </c>
      <c r="Q33" s="3479" t="s">
        <v>2146</v>
      </c>
      <c r="R33" s="3482">
        <f t="shared" si="8"/>
        <v>128895.82595222098</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38.395000000000003</v>
      </c>
      <c r="D34" s="3307">
        <v>13.2</v>
      </c>
      <c r="E34" s="3494" t="str">
        <f>'Table3.B(a)'!G34</f>
        <v>NA</v>
      </c>
      <c r="F34" s="3479" t="s">
        <v>2146</v>
      </c>
      <c r="G34" s="3479" t="s">
        <v>2146</v>
      </c>
      <c r="H34" s="3479" t="s">
        <v>2146</v>
      </c>
      <c r="I34" s="3479" t="s">
        <v>2146</v>
      </c>
      <c r="J34" s="3479" t="s">
        <v>2146</v>
      </c>
      <c r="K34" s="3479" t="s">
        <v>2146</v>
      </c>
      <c r="L34" s="3479" t="s">
        <v>2146</v>
      </c>
      <c r="M34" s="3479">
        <v>506816.64752187626</v>
      </c>
      <c r="N34" s="3479" t="s">
        <v>2146</v>
      </c>
      <c r="O34" s="3479" t="s">
        <v>2146</v>
      </c>
      <c r="P34" s="3479" t="s">
        <v>2146</v>
      </c>
      <c r="Q34" s="3479" t="s">
        <v>2146</v>
      </c>
      <c r="R34" s="3482">
        <f t="shared" si="8"/>
        <v>506816.64752187626</v>
      </c>
      <c r="S34" s="2657"/>
      <c r="T34" s="2658"/>
      <c r="U34" s="3456" t="str">
        <f t="shared" si="26"/>
        <v>NA</v>
      </c>
      <c r="V34" s="3454"/>
      <c r="W34" s="3455"/>
      <c r="X34" s="3315" t="s">
        <v>2147</v>
      </c>
      <c r="Y34" s="3173"/>
      <c r="Z34" s="3457"/>
    </row>
    <row r="35" spans="2:26" ht="18" customHeight="1" x14ac:dyDescent="0.2">
      <c r="B35" s="350" t="s">
        <v>821</v>
      </c>
      <c r="C35" s="3495">
        <f>Table3.A!C35</f>
        <v>516.14300000000003</v>
      </c>
      <c r="D35" s="3307">
        <v>7</v>
      </c>
      <c r="E35" s="3494" t="str">
        <f>'Table3.B(a)'!G35</f>
        <v>NA</v>
      </c>
      <c r="F35" s="3479" t="s">
        <v>2146</v>
      </c>
      <c r="G35" s="3479" t="s">
        <v>2146</v>
      </c>
      <c r="H35" s="3479" t="s">
        <v>2146</v>
      </c>
      <c r="I35" s="3479" t="s">
        <v>2146</v>
      </c>
      <c r="J35" s="3479" t="s">
        <v>2146</v>
      </c>
      <c r="K35" s="3479" t="s">
        <v>2146</v>
      </c>
      <c r="L35" s="3479" t="s">
        <v>2146</v>
      </c>
      <c r="M35" s="3479">
        <v>3613000.9999999995</v>
      </c>
      <c r="N35" s="3479" t="s">
        <v>2146</v>
      </c>
      <c r="O35" s="3479" t="s">
        <v>2146</v>
      </c>
      <c r="P35" s="3479" t="s">
        <v>2146</v>
      </c>
      <c r="Q35" s="3479" t="s">
        <v>2146</v>
      </c>
      <c r="R35" s="3482">
        <f t="shared" si="8"/>
        <v>3613000.9999999995</v>
      </c>
      <c r="S35" s="2657"/>
      <c r="T35" s="2658"/>
      <c r="U35" s="3456" t="str">
        <f t="shared" si="26"/>
        <v>NA</v>
      </c>
      <c r="V35" s="3454"/>
      <c r="W35" s="3455"/>
      <c r="X35" s="3315" t="s">
        <v>2147</v>
      </c>
      <c r="Y35" s="3173"/>
      <c r="Z35" s="3457"/>
    </row>
    <row r="36" spans="2:26" ht="18" customHeight="1" x14ac:dyDescent="0.2">
      <c r="B36" s="350" t="s">
        <v>822</v>
      </c>
      <c r="C36" s="3495">
        <f>Table3.A!C36</f>
        <v>254.21799999999999</v>
      </c>
      <c r="D36" s="3307">
        <v>39.5</v>
      </c>
      <c r="E36" s="3494" t="str">
        <f>'Table3.B(a)'!G36</f>
        <v>NA</v>
      </c>
      <c r="F36" s="3479" t="s">
        <v>2146</v>
      </c>
      <c r="G36" s="3479" t="s">
        <v>2146</v>
      </c>
      <c r="H36" s="3479" t="s">
        <v>2146</v>
      </c>
      <c r="I36" s="3479" t="s">
        <v>2146</v>
      </c>
      <c r="J36" s="3479" t="s">
        <v>2146</v>
      </c>
      <c r="K36" s="3479" t="s">
        <v>2146</v>
      </c>
      <c r="L36" s="3479" t="s">
        <v>2146</v>
      </c>
      <c r="M36" s="3479">
        <v>10041593.446198288</v>
      </c>
      <c r="N36" s="3479" t="s">
        <v>2146</v>
      </c>
      <c r="O36" s="3479" t="s">
        <v>2146</v>
      </c>
      <c r="P36" s="3479" t="s">
        <v>2146</v>
      </c>
      <c r="Q36" s="3479" t="s">
        <v>2146</v>
      </c>
      <c r="R36" s="3482">
        <f t="shared" si="8"/>
        <v>10041593.446198288</v>
      </c>
      <c r="S36" s="2657"/>
      <c r="T36" s="2658"/>
      <c r="U36" s="3456" t="str">
        <f t="shared" si="26"/>
        <v>NA</v>
      </c>
      <c r="V36" s="3454"/>
      <c r="W36" s="3455"/>
      <c r="X36" s="3315" t="s">
        <v>2147</v>
      </c>
      <c r="Y36" s="3173"/>
      <c r="Z36" s="3457"/>
    </row>
    <row r="37" spans="2:26" ht="18" customHeight="1" x14ac:dyDescent="0.2">
      <c r="B37" s="350" t="s">
        <v>862</v>
      </c>
      <c r="C37" s="3495">
        <f>Table3.A!C37</f>
        <v>0.86099999999999999</v>
      </c>
      <c r="D37" s="3307">
        <v>13.2</v>
      </c>
      <c r="E37" s="3494" t="str">
        <f>'Table3.B(a)'!G37</f>
        <v>NA</v>
      </c>
      <c r="F37" s="3479" t="s">
        <v>2146</v>
      </c>
      <c r="G37" s="3479" t="s">
        <v>2146</v>
      </c>
      <c r="H37" s="3479" t="s">
        <v>2146</v>
      </c>
      <c r="I37" s="3479" t="s">
        <v>2146</v>
      </c>
      <c r="J37" s="3479" t="s">
        <v>2146</v>
      </c>
      <c r="K37" s="3479" t="s">
        <v>2146</v>
      </c>
      <c r="L37" s="3479" t="s">
        <v>2146</v>
      </c>
      <c r="M37" s="3479">
        <v>11367.290067843505</v>
      </c>
      <c r="N37" s="3479" t="s">
        <v>2146</v>
      </c>
      <c r="O37" s="3479" t="s">
        <v>2146</v>
      </c>
      <c r="P37" s="3479" t="s">
        <v>2146</v>
      </c>
      <c r="Q37" s="3479" t="s">
        <v>2146</v>
      </c>
      <c r="R37" s="3482">
        <f t="shared" si="8"/>
        <v>11367.290067843505</v>
      </c>
      <c r="S37" s="2657"/>
      <c r="T37" s="2658"/>
      <c r="U37" s="3456" t="str">
        <f t="shared" si="26"/>
        <v>NA</v>
      </c>
      <c r="V37" s="3454"/>
      <c r="W37" s="3455"/>
      <c r="X37" s="3315" t="s">
        <v>2147</v>
      </c>
      <c r="Y37" s="3173"/>
      <c r="Z37" s="3457"/>
    </row>
    <row r="38" spans="2:26" ht="18" customHeight="1" x14ac:dyDescent="0.2">
      <c r="B38" s="350" t="s">
        <v>824</v>
      </c>
      <c r="C38" s="3495">
        <f>Table3.A!C38</f>
        <v>91696.938999999998</v>
      </c>
      <c r="D38" s="3307">
        <v>0.66081381208920997</v>
      </c>
      <c r="E38" s="3494" t="str">
        <f>'Table3.B(a)'!G38</f>
        <v>NA</v>
      </c>
      <c r="F38" s="3479" t="s">
        <v>2146</v>
      </c>
      <c r="G38" s="3479" t="s">
        <v>2146</v>
      </c>
      <c r="H38" s="3479" t="s">
        <v>2146</v>
      </c>
      <c r="I38" s="3479">
        <v>21868471.579688974</v>
      </c>
      <c r="J38" s="3479" t="s">
        <v>2153</v>
      </c>
      <c r="K38" s="3479" t="s">
        <v>2153</v>
      </c>
      <c r="L38" s="3479" t="s">
        <v>2153</v>
      </c>
      <c r="M38" s="3479">
        <v>1640954.00543782</v>
      </c>
      <c r="N38" s="3479">
        <v>9484345.1604729407</v>
      </c>
      <c r="O38" s="3479">
        <v>117147.40810949801</v>
      </c>
      <c r="P38" s="3479" t="s">
        <v>2146</v>
      </c>
      <c r="Q38" s="3479">
        <v>58953649.873447903</v>
      </c>
      <c r="R38" s="3482">
        <f t="shared" si="8"/>
        <v>92064568.027157128</v>
      </c>
      <c r="S38" s="2657"/>
      <c r="T38" s="2658"/>
      <c r="U38" s="3456">
        <f t="shared" si="26"/>
        <v>4.5094729360016248E-3</v>
      </c>
      <c r="V38" s="3454"/>
      <c r="W38" s="3455"/>
      <c r="X38" s="3315">
        <v>0.41350486473469189</v>
      </c>
      <c r="Y38" s="3173"/>
      <c r="Z38" s="3457"/>
    </row>
    <row r="39" spans="2:26" ht="18" customHeight="1" x14ac:dyDescent="0.2">
      <c r="B39" s="350" t="s">
        <v>825</v>
      </c>
      <c r="C39" s="3314">
        <f>IF(SUM(C40:C44)=0,"NO",SUM(C40:C44))</f>
        <v>141.685</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991798.18453687022</v>
      </c>
      <c r="N39" s="2649" t="str">
        <f t="shared" si="27"/>
        <v>NO</v>
      </c>
      <c r="O39" s="2649" t="str">
        <f t="shared" si="27"/>
        <v>NO</v>
      </c>
      <c r="P39" s="2649" t="str">
        <f t="shared" si="27"/>
        <v>NO</v>
      </c>
      <c r="Q39" s="2649" t="str">
        <f t="shared" si="27"/>
        <v>NO</v>
      </c>
      <c r="R39" s="3482">
        <f t="shared" si="8"/>
        <v>991798.18453687022</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9.673</v>
      </c>
      <c r="D42" s="3307">
        <v>7</v>
      </c>
      <c r="E42" s="3494" t="str">
        <f>'Table3.B(a)'!G42</f>
        <v>NA</v>
      </c>
      <c r="F42" s="3479" t="s">
        <v>2146</v>
      </c>
      <c r="G42" s="3479" t="s">
        <v>2146</v>
      </c>
      <c r="H42" s="3479" t="s">
        <v>2146</v>
      </c>
      <c r="I42" s="3479" t="s">
        <v>2146</v>
      </c>
      <c r="J42" s="3479" t="s">
        <v>2146</v>
      </c>
      <c r="K42" s="3479" t="s">
        <v>2146</v>
      </c>
      <c r="L42" s="3479" t="s">
        <v>2146</v>
      </c>
      <c r="M42" s="3479">
        <v>67712.176470588194</v>
      </c>
      <c r="N42" s="3479" t="s">
        <v>2146</v>
      </c>
      <c r="O42" s="3479" t="s">
        <v>2146</v>
      </c>
      <c r="P42" s="3479" t="s">
        <v>2146</v>
      </c>
      <c r="Q42" s="3479" t="s">
        <v>2146</v>
      </c>
      <c r="R42" s="3482">
        <f t="shared" si="8"/>
        <v>67712.176470588194</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132.012</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924086.00806628203</v>
      </c>
      <c r="N44" s="2649" t="str">
        <f t="shared" si="28"/>
        <v>NO</v>
      </c>
      <c r="O44" s="2649" t="str">
        <f t="shared" si="28"/>
        <v>NO</v>
      </c>
      <c r="P44" s="2649" t="str">
        <f t="shared" si="28"/>
        <v>NO</v>
      </c>
      <c r="Q44" s="2649" t="str">
        <f t="shared" si="28"/>
        <v>NO</v>
      </c>
      <c r="R44" s="3482">
        <f t="shared" si="8"/>
        <v>924086.00806628203</v>
      </c>
      <c r="S44" s="2657"/>
      <c r="T44" s="2658"/>
      <c r="U44" s="3456" t="str">
        <f t="shared" si="26"/>
        <v>NA</v>
      </c>
      <c r="V44" s="3454"/>
      <c r="W44" s="3455"/>
      <c r="X44" s="3314" t="str">
        <f>X45</f>
        <v>NA</v>
      </c>
      <c r="Y44" s="3173"/>
      <c r="Z44" s="3457"/>
    </row>
    <row r="45" spans="2:26" ht="18" customHeight="1" x14ac:dyDescent="0.2">
      <c r="B45" s="2646" t="s">
        <v>2199</v>
      </c>
      <c r="C45" s="3495">
        <f>Table3.A!C45</f>
        <v>132.012</v>
      </c>
      <c r="D45" s="3307">
        <v>7</v>
      </c>
      <c r="E45" s="3494" t="str">
        <f>'Table3.B(a)'!G45</f>
        <v>NA</v>
      </c>
      <c r="F45" s="3479" t="s">
        <v>2146</v>
      </c>
      <c r="G45" s="3479" t="s">
        <v>2146</v>
      </c>
      <c r="H45" s="3479" t="s">
        <v>2146</v>
      </c>
      <c r="I45" s="3479" t="s">
        <v>2146</v>
      </c>
      <c r="J45" s="3479" t="s">
        <v>2146</v>
      </c>
      <c r="K45" s="3479" t="s">
        <v>2146</v>
      </c>
      <c r="L45" s="3479" t="s">
        <v>2146</v>
      </c>
      <c r="M45" s="3479">
        <v>924086.00806628203</v>
      </c>
      <c r="N45" s="3479" t="s">
        <v>2146</v>
      </c>
      <c r="O45" s="3479" t="s">
        <v>2146</v>
      </c>
      <c r="P45" s="3479" t="s">
        <v>2146</v>
      </c>
      <c r="Q45" s="3479" t="s">
        <v>2146</v>
      </c>
      <c r="R45" s="3482">
        <f t="shared" si="8"/>
        <v>924086.00806628203</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90921405.244728997</v>
      </c>
      <c r="T46" s="3447">
        <v>358063.25473145902</v>
      </c>
      <c r="U46" s="3466"/>
      <c r="V46" s="3467">
        <f>IF(SUM(S46)=0,"NA",Y46*1000000/S46)</f>
        <v>3.6299256651611753E-3</v>
      </c>
      <c r="W46" s="3468">
        <f>IF(SUM(T46)=0,"NA",Z46*1000000/T46)</f>
        <v>1.7285714285714272E-2</v>
      </c>
      <c r="X46" s="3316"/>
      <c r="Y46" s="3320">
        <v>0.33003794241036166</v>
      </c>
      <c r="Z46" s="3321">
        <v>6.1893791175009292E-3</v>
      </c>
    </row>
    <row r="47" spans="2:26" ht="18" customHeight="1" x14ac:dyDescent="0.2">
      <c r="B47" s="358" t="s">
        <v>863</v>
      </c>
      <c r="C47" s="359"/>
      <c r="D47" s="359"/>
      <c r="E47" s="359"/>
      <c r="F47" s="3485">
        <f>IF(SUM(F30,F27,F24,F10)=0,"NO",SUM(F30,F27,F24,F10))</f>
        <v>51249218.763956502</v>
      </c>
      <c r="G47" s="3485" t="str">
        <f t="shared" ref="G47:Q47" si="29">IF(SUM(G30,G27,G24,G10)=0,"NO",SUM(G30,G27,G24,G10))</f>
        <v>NO</v>
      </c>
      <c r="H47" s="3485">
        <f t="shared" si="29"/>
        <v>6999871.4389585499</v>
      </c>
      <c r="I47" s="3485">
        <f t="shared" si="29"/>
        <v>29958911.093682688</v>
      </c>
      <c r="J47" s="3485" t="str">
        <f t="shared" si="29"/>
        <v>NO</v>
      </c>
      <c r="K47" s="3485">
        <f t="shared" si="29"/>
        <v>76104565.208122715</v>
      </c>
      <c r="L47" s="3485">
        <f t="shared" si="29"/>
        <v>8212914.0205337126</v>
      </c>
      <c r="M47" s="3409"/>
      <c r="N47" s="3485">
        <f t="shared" si="29"/>
        <v>17697259.181006655</v>
      </c>
      <c r="O47" s="3485">
        <f t="shared" si="29"/>
        <v>1635157.6343671379</v>
      </c>
      <c r="P47" s="3409"/>
      <c r="Q47" s="3485">
        <f t="shared" si="29"/>
        <v>65315698.636087112</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3.0090662190393889E-2</v>
      </c>
      <c r="J48" s="3486" t="str">
        <f t="shared" si="30"/>
        <v>NA</v>
      </c>
      <c r="K48" s="3486" t="str">
        <f t="shared" si="30"/>
        <v>NA</v>
      </c>
      <c r="L48" s="3486" t="str">
        <f t="shared" si="30"/>
        <v>NA</v>
      </c>
      <c r="M48" s="87"/>
      <c r="N48" s="3486">
        <f t="shared" si="30"/>
        <v>1.5714285714285452E-2</v>
      </c>
      <c r="O48" s="3486" t="str">
        <f t="shared" si="30"/>
        <v>NA</v>
      </c>
      <c r="P48" s="87"/>
      <c r="Q48" s="3486">
        <f t="shared" si="30"/>
        <v>2.8710825318668631E-3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0.90148347331204959</v>
      </c>
      <c r="J49" s="3487" t="s">
        <v>2153</v>
      </c>
      <c r="K49" s="3487" t="s">
        <v>2153</v>
      </c>
      <c r="L49" s="3487" t="s">
        <v>2153</v>
      </c>
      <c r="M49" s="3474"/>
      <c r="N49" s="3488">
        <v>0.27809978713009997</v>
      </c>
      <c r="O49" s="3488" t="s">
        <v>2147</v>
      </c>
      <c r="P49" s="3474"/>
      <c r="Q49" s="3488">
        <v>0.18752676141075</v>
      </c>
      <c r="R49" s="1312"/>
      <c r="S49" s="1313"/>
      <c r="T49" s="1314"/>
      <c r="U49" s="3473">
        <f>X49*1000/SUM(C10,C24,C27,C30)</f>
        <v>6.9509349694180152E-3</v>
      </c>
      <c r="V49" s="3474"/>
      <c r="W49" s="3475"/>
      <c r="X49" s="3319">
        <f>SUM(X10,X24,X27,X30)</f>
        <v>1.3671100218528995</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12.186431894</v>
      </c>
    </row>
    <row r="11" spans="1:9" ht="18" customHeight="1" x14ac:dyDescent="0.2">
      <c r="B11" s="439" t="s">
        <v>876</v>
      </c>
      <c r="C11" s="4147">
        <v>0.76692459999999996</v>
      </c>
      <c r="D11" s="243" t="s">
        <v>2146</v>
      </c>
      <c r="E11" s="283" t="s">
        <v>2146</v>
      </c>
      <c r="F11" s="2305">
        <f>IF(SUM(C11)=0,"NA",G11/C11)</f>
        <v>15.89</v>
      </c>
      <c r="G11" s="3093">
        <v>12.186431894</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0.76692459999999996</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34.578455014685829</v>
      </c>
      <c r="H10" s="397" t="s">
        <v>897</v>
      </c>
      <c r="I10" s="398" t="s">
        <v>898</v>
      </c>
      <c r="J10" s="399">
        <v>0.21</v>
      </c>
    </row>
    <row r="11" spans="2:10" ht="24" customHeight="1" x14ac:dyDescent="0.2">
      <c r="B11" s="2431" t="s">
        <v>1949</v>
      </c>
      <c r="C11" s="2432" t="s">
        <v>899</v>
      </c>
      <c r="D11" s="3720">
        <v>1407441.0986423925</v>
      </c>
      <c r="E11" s="3714">
        <f>IF(SUM(D11)=0,"NA",F11*1000/D11/(44/28))</f>
        <v>3.8414869346550819E-3</v>
      </c>
      <c r="F11" s="3425">
        <v>8.4961903584349709</v>
      </c>
      <c r="H11" s="397" t="s">
        <v>900</v>
      </c>
      <c r="I11" s="398" t="s">
        <v>901</v>
      </c>
      <c r="J11" s="399">
        <v>0.24</v>
      </c>
    </row>
    <row r="12" spans="2:10" ht="24" customHeight="1" thickBot="1" x14ac:dyDescent="0.25">
      <c r="B12" s="2431" t="s">
        <v>1950</v>
      </c>
      <c r="C12" s="2433" t="s">
        <v>902</v>
      </c>
      <c r="D12" s="3721">
        <f>IF(SUM(D13:D15)=0,"NO",SUM(D13:D15))</f>
        <v>107394.5042663847</v>
      </c>
      <c r="E12" s="3715">
        <f t="shared" ref="E12:E23" si="0">IF(SUM(D12)=0,"NA",F12*1000/D12/(44/28))</f>
        <v>9.0558644211359129E-3</v>
      </c>
      <c r="F12" s="3426">
        <f>IF(SUM(F13:F15)=0,"NO",SUM(F13:F15))</f>
        <v>1.5282929674751864</v>
      </c>
      <c r="H12" s="407" t="s">
        <v>903</v>
      </c>
      <c r="I12" s="408" t="s">
        <v>2147</v>
      </c>
      <c r="J12" s="2668" t="s">
        <v>2147</v>
      </c>
    </row>
    <row r="13" spans="2:10" ht="24" customHeight="1" x14ac:dyDescent="0.2">
      <c r="B13" s="2431" t="s">
        <v>904</v>
      </c>
      <c r="C13" s="2432" t="s">
        <v>905</v>
      </c>
      <c r="D13" s="3722">
        <v>95973.489647409908</v>
      </c>
      <c r="E13" s="3714">
        <f t="shared" si="0"/>
        <v>9.0625123858271827E-3</v>
      </c>
      <c r="F13" s="3425">
        <v>1.366767189292543</v>
      </c>
      <c r="H13" s="1436" t="s">
        <v>906</v>
      </c>
      <c r="I13" s="1078"/>
      <c r="J13" s="1078"/>
    </row>
    <row r="14" spans="2:10" ht="24" customHeight="1" x14ac:dyDescent="0.2">
      <c r="B14" s="2431" t="s">
        <v>907</v>
      </c>
      <c r="C14" s="2432" t="s">
        <v>908</v>
      </c>
      <c r="D14" s="3722">
        <v>11421.014618974788</v>
      </c>
      <c r="E14" s="3714">
        <f t="shared" si="0"/>
        <v>8.9999999999999941E-3</v>
      </c>
      <c r="F14" s="3425">
        <v>0.1615257781826433</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1703364.0136821142</v>
      </c>
      <c r="E16" s="3714">
        <f t="shared" si="0"/>
        <v>4.0000000000000001E-3</v>
      </c>
      <c r="F16" s="3425">
        <v>10.706859514573289</v>
      </c>
    </row>
    <row r="17" spans="2:11" ht="24" customHeight="1" x14ac:dyDescent="0.2">
      <c r="B17" s="2431" t="s">
        <v>913</v>
      </c>
      <c r="C17" s="2432" t="s">
        <v>914</v>
      </c>
      <c r="D17" s="3722">
        <v>859219.00902218476</v>
      </c>
      <c r="E17" s="3714">
        <f t="shared" si="0"/>
        <v>0.01</v>
      </c>
      <c r="F17" s="3425">
        <v>13.502012998920048</v>
      </c>
    </row>
    <row r="18" spans="2:11" ht="24" customHeight="1" x14ac:dyDescent="0.2">
      <c r="B18" s="2431" t="s">
        <v>1951</v>
      </c>
      <c r="C18" s="2432" t="s">
        <v>915</v>
      </c>
      <c r="D18" s="3722">
        <v>81804.283044379306</v>
      </c>
      <c r="E18" s="3716">
        <f t="shared" si="0"/>
        <v>1.9999999999999996E-3</v>
      </c>
      <c r="F18" s="3427">
        <v>0.25709917528233489</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10.964135419614905</v>
      </c>
    </row>
    <row r="22" spans="2:11" ht="24" customHeight="1" x14ac:dyDescent="0.2">
      <c r="B22" s="2438" t="s">
        <v>1953</v>
      </c>
      <c r="C22" s="2432" t="s">
        <v>919</v>
      </c>
      <c r="D22" s="3722">
        <v>534963.59947365802</v>
      </c>
      <c r="E22" s="3714">
        <f t="shared" si="0"/>
        <v>2.8656995053262632E-3</v>
      </c>
      <c r="F22" s="3425">
        <v>2.4090705923102016</v>
      </c>
    </row>
    <row r="23" spans="2:11" ht="24" customHeight="1" thickBot="1" x14ac:dyDescent="0.25">
      <c r="B23" s="410" t="s">
        <v>920</v>
      </c>
      <c r="C23" s="411" t="s">
        <v>921</v>
      </c>
      <c r="D23" s="3725">
        <v>496011.293470926</v>
      </c>
      <c r="E23" s="3719">
        <f t="shared" si="0"/>
        <v>1.0975822999379704E-2</v>
      </c>
      <c r="F23" s="3430">
        <v>8.5550648273047027</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25303036.870000001</v>
      </c>
      <c r="N9" s="4179">
        <v>9174417.4900000002</v>
      </c>
      <c r="O9" s="4179">
        <v>390364.35</v>
      </c>
      <c r="P9" s="4180">
        <v>1282041.78</v>
      </c>
      <c r="Q9" s="4180">
        <v>1254659.3700000001</v>
      </c>
      <c r="R9" s="4180">
        <v>142418.67000000001</v>
      </c>
      <c r="S9" s="4180">
        <v>819275.64</v>
      </c>
      <c r="T9" s="4180">
        <v>125641.49</v>
      </c>
      <c r="U9" s="4180">
        <v>1917338.54</v>
      </c>
      <c r="V9" s="4180">
        <v>30525353.809999995</v>
      </c>
      <c r="W9" s="4180">
        <v>17261.678670000001</v>
      </c>
      <c r="X9" s="4181">
        <v>3893580.3299999996</v>
      </c>
    </row>
    <row r="10" spans="2:24" ht="18" customHeight="1" thickTop="1" x14ac:dyDescent="0.2">
      <c r="B10" s="437" t="s">
        <v>947</v>
      </c>
      <c r="C10" s="376"/>
      <c r="D10" s="438"/>
      <c r="E10" s="438"/>
      <c r="F10" s="4149">
        <f>IF(SUM(F11:F14)=0,"NO",SUM(F11:F14))</f>
        <v>3636.6709728836017</v>
      </c>
      <c r="G10" s="4150">
        <f>IF(SUM($F10)=0,"NA",I10/$F10*1000)</f>
        <v>1.884942603564824</v>
      </c>
      <c r="H10" s="4151">
        <f>IF(SUM($F10)=0,"NA",J10/$F10*1000)</f>
        <v>7.6314196741088317E-2</v>
      </c>
      <c r="I10" s="3192">
        <f>IF(SUM(I11:I14)=0,"NO",SUM(I11:I14))</f>
        <v>6.8549160519358381</v>
      </c>
      <c r="J10" s="420">
        <f>IF(SUM(J11:J14)=0,"NO",SUM(J11:J14))</f>
        <v>0.27752962410724424</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2097.0459192223898</v>
      </c>
      <c r="G11" s="4153">
        <f>IF(SUM($F11)=0,"NA",I11/$F11*1000)</f>
        <v>1.8666666666666698</v>
      </c>
      <c r="H11" s="4154">
        <f>IF(SUM($F11)=0,"NA",J11/$F11*1000)</f>
        <v>7.1657142857142975E-2</v>
      </c>
      <c r="I11" s="3326">
        <v>3.9144857158818009</v>
      </c>
      <c r="J11" s="3327">
        <v>0.15026831901170751</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626.50340955962895</v>
      </c>
      <c r="G12" s="4155">
        <f t="shared" ref="G12:G28" si="0">IF(SUM($F12)=0,"NA",I12/$F12*1000)</f>
        <v>1.8666666666666658</v>
      </c>
      <c r="H12" s="4154">
        <f t="shared" ref="H12:H28" si="1">IF(SUM($F12)=0,"NA",J12/$F12*1000)</f>
        <v>8.3599999999999966E-2</v>
      </c>
      <c r="I12" s="3180">
        <v>1.1694730311779735</v>
      </c>
      <c r="J12" s="3327">
        <v>5.2375685039184959E-2</v>
      </c>
      <c r="L12" s="1324" t="s">
        <v>952</v>
      </c>
      <c r="M12" s="4177">
        <v>0.13080372847867</v>
      </c>
      <c r="N12" s="4177">
        <v>0.13037650807078999</v>
      </c>
      <c r="O12" s="4177">
        <v>0.15634871787495</v>
      </c>
      <c r="P12" s="4178">
        <v>0.10844802341102</v>
      </c>
      <c r="Q12" s="4178">
        <v>0.12579892582096</v>
      </c>
      <c r="R12" s="4178">
        <v>0.14110136414756</v>
      </c>
      <c r="S12" s="4178">
        <v>0.81499999999999995</v>
      </c>
      <c r="T12" s="4178">
        <v>0.17416103047968001</v>
      </c>
      <c r="U12" s="4178">
        <v>0.13355994832618526</v>
      </c>
      <c r="V12" s="4178">
        <v>0.29165924278338412</v>
      </c>
      <c r="W12" s="4178">
        <v>6.9119752688662134E-2</v>
      </c>
      <c r="X12" s="4152">
        <v>0.13270350633890218</v>
      </c>
    </row>
    <row r="13" spans="2:24" ht="18" customHeight="1" thickBot="1" x14ac:dyDescent="0.25">
      <c r="B13" s="439" t="s">
        <v>953</v>
      </c>
      <c r="C13" s="440" t="s">
        <v>2147</v>
      </c>
      <c r="D13" s="440" t="s">
        <v>2147</v>
      </c>
      <c r="E13" s="440" t="s">
        <v>2147</v>
      </c>
      <c r="F13" s="4152">
        <v>40.340348960548802</v>
      </c>
      <c r="G13" s="4155">
        <f t="shared" si="0"/>
        <v>1.9599999999999973</v>
      </c>
      <c r="H13" s="4154">
        <f t="shared" si="1"/>
        <v>5.971428571428565E-2</v>
      </c>
      <c r="I13" s="3180">
        <v>7.9067083962675547E-2</v>
      </c>
      <c r="J13" s="3327">
        <v>2.4088951236441972E-3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872.78129514103432</v>
      </c>
      <c r="G14" s="4157">
        <f t="shared" si="0"/>
        <v>1.938504216729338</v>
      </c>
      <c r="H14" s="4158">
        <f t="shared" si="1"/>
        <v>8.3041107017532895E-2</v>
      </c>
      <c r="I14" s="3199">
        <f>IF(SUM(I15:I19)=0,"NO",SUM(I15:I19))</f>
        <v>1.6918902209133879</v>
      </c>
      <c r="J14" s="3085">
        <f>IF(SUM(J15:J19)=0,"NO",SUM(J15:J19))</f>
        <v>7.2476724932707584E-2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80.084100655498602</v>
      </c>
      <c r="G15" s="4159">
        <f t="shared" si="0"/>
        <v>1.8666666666666651</v>
      </c>
      <c r="H15" s="4160">
        <f t="shared" si="1"/>
        <v>9.5542857142857082E-2</v>
      </c>
      <c r="I15" s="3328">
        <v>0.14949032122359726</v>
      </c>
      <c r="J15" s="3327">
        <v>7.6514637883424901E-3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94.670576328526295</v>
      </c>
      <c r="G16" s="4161">
        <f t="shared" si="0"/>
        <v>1.8666666666666678</v>
      </c>
      <c r="H16" s="4162">
        <f t="shared" si="1"/>
        <v>7.1657142857142891E-2</v>
      </c>
      <c r="I16" s="3329">
        <v>0.17671840914658252</v>
      </c>
      <c r="J16" s="3327">
        <v>6.7838230123412587E-3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12.392955878028101</v>
      </c>
      <c r="G17" s="4161">
        <f t="shared" si="0"/>
        <v>1.8666666666666649</v>
      </c>
      <c r="H17" s="4162">
        <f t="shared" si="1"/>
        <v>7.165714285714278E-2</v>
      </c>
      <c r="I17" s="3329">
        <v>2.3133517638985766E-2</v>
      </c>
      <c r="J17" s="3327">
        <v>8.8804380977412691E-4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671.76932125132805</v>
      </c>
      <c r="G18" s="4161">
        <f t="shared" si="0"/>
        <v>1.96</v>
      </c>
      <c r="H18" s="4162">
        <f t="shared" si="1"/>
        <v>8.3599999999999994E-2</v>
      </c>
      <c r="I18" s="3329">
        <v>1.3166678696526031</v>
      </c>
      <c r="J18" s="3327">
        <v>5.6159915256611022E-2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13.8643410276533</v>
      </c>
      <c r="G19" s="4161">
        <f t="shared" si="0"/>
        <v>1.8666666666666614</v>
      </c>
      <c r="H19" s="4162">
        <f t="shared" si="1"/>
        <v>7.1657142857142656E-2</v>
      </c>
      <c r="I19" s="3329">
        <v>2.5880103251619421E-2</v>
      </c>
      <c r="J19" s="3327">
        <v>9.9347906563869654E-4</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146.50623289785699</v>
      </c>
      <c r="G20" s="4165">
        <f t="shared" si="0"/>
        <v>1.8666666666666656</v>
      </c>
      <c r="H20" s="4166">
        <f t="shared" si="1"/>
        <v>0.1074857142857142</v>
      </c>
      <c r="I20" s="3220">
        <f>I21</f>
        <v>0.27347830140933288</v>
      </c>
      <c r="J20" s="449">
        <f>J21</f>
        <v>1.5747327090335359E-2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146.50623289785699</v>
      </c>
      <c r="G21" s="4168">
        <f t="shared" si="0"/>
        <v>1.8666666666666656</v>
      </c>
      <c r="H21" s="4158">
        <f t="shared" si="1"/>
        <v>0.1074857142857142</v>
      </c>
      <c r="I21" s="3199">
        <f>I22</f>
        <v>0.27347830140933288</v>
      </c>
      <c r="J21" s="3085">
        <f>J22</f>
        <v>1.5747327090335359E-2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146.50623289785699</v>
      </c>
      <c r="G22" s="4170">
        <f t="shared" si="0"/>
        <v>1.8666666666666656</v>
      </c>
      <c r="H22" s="4171">
        <f t="shared" si="1"/>
        <v>0.1074857142857142</v>
      </c>
      <c r="I22" s="3330">
        <v>0.27347830140933288</v>
      </c>
      <c r="J22" s="3331">
        <v>1.5747327090335359E-2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427.344075740135</v>
      </c>
      <c r="G26" s="4175">
        <f t="shared" si="0"/>
        <v>1.8666666666666685</v>
      </c>
      <c r="H26" s="4176">
        <f t="shared" si="1"/>
        <v>5.9714285714285782E-2</v>
      </c>
      <c r="I26" s="3332">
        <v>0.7977089413815861</v>
      </c>
      <c r="J26" s="3333">
        <v>2.5518546237053807E-2</v>
      </c>
      <c r="L26" s="159"/>
    </row>
    <row r="27" spans="2:24" ht="18" customHeight="1" x14ac:dyDescent="0.2">
      <c r="B27" s="446" t="s">
        <v>963</v>
      </c>
      <c r="C27" s="447"/>
      <c r="D27" s="448"/>
      <c r="E27" s="448"/>
      <c r="F27" s="4164">
        <f>IF(SUM(F28:F29)=0,"NO",SUM(F28:F29))</f>
        <v>495.7206833386926</v>
      </c>
      <c r="G27" s="4165">
        <f t="shared" si="0"/>
        <v>1.8667589662929103</v>
      </c>
      <c r="H27" s="4166">
        <f t="shared" si="1"/>
        <v>0.1075683883795075</v>
      </c>
      <c r="I27" s="3220">
        <f>IF(SUM(I28:I29)=0,"NO",SUM(I28:I29))</f>
        <v>0.92539103039935289</v>
      </c>
      <c r="J27" s="449">
        <f>IF(SUM(J28:J29)=0,"NO",SUM(J28:J29))</f>
        <v>5.3323874993131334E-2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0.49023036207662002</v>
      </c>
      <c r="G28" s="4161">
        <f t="shared" si="0"/>
        <v>1.9599999999999982</v>
      </c>
      <c r="H28" s="4162">
        <f t="shared" si="1"/>
        <v>0.19108571428571411</v>
      </c>
      <c r="I28" s="3329">
        <v>9.6085150967017432E-4</v>
      </c>
      <c r="J28" s="3327">
        <v>9.3676018901955199E-5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495.23045297661599</v>
      </c>
      <c r="G29" s="4161">
        <f t="shared" ref="G29" si="2">IF(SUM($F29)=0,"NA",I29/$F29*1000)</f>
        <v>1.8666666666666658</v>
      </c>
      <c r="H29" s="4162">
        <f t="shared" ref="H29" si="3">IF(SUM($F29)=0,"NA",J29/$F29*1000)</f>
        <v>0.10748571428571421</v>
      </c>
      <c r="I29" s="3329">
        <v>0.92443017888968271</v>
      </c>
      <c r="J29" s="3327">
        <v>5.3230198974229377E-2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1138.7434395518412</v>
      </c>
    </row>
    <row r="11" spans="2:5" s="83" customFormat="1" ht="18" customHeight="1" x14ac:dyDescent="0.2">
      <c r="B11" s="1854" t="s">
        <v>972</v>
      </c>
      <c r="C11" s="4187">
        <v>2706787.0087066102</v>
      </c>
      <c r="D11" s="3594">
        <f>IF(SUM(C11)=0,"NA",E11*1000/(44/12)/C11)</f>
        <v>0.10799999999999985</v>
      </c>
      <c r="E11" s="3431">
        <v>1071.8876554478161</v>
      </c>
    </row>
    <row r="12" spans="2:5" s="83" customFormat="1" ht="18" customHeight="1" x14ac:dyDescent="0.2">
      <c r="B12" s="1854" t="s">
        <v>973</v>
      </c>
      <c r="C12" s="4187">
        <v>147638.831293394</v>
      </c>
      <c r="D12" s="3594">
        <f t="shared" ref="D12:D16" si="0">IF(SUM(C12)=0,"NA",E12*1000/(44/12)/C12)</f>
        <v>0.12349999999999989</v>
      </c>
      <c r="E12" s="3431">
        <v>66.85578410402519</v>
      </c>
    </row>
    <row r="13" spans="2:5" s="83" customFormat="1" ht="18" customHeight="1" x14ac:dyDescent="0.2">
      <c r="B13" s="846" t="s">
        <v>974</v>
      </c>
      <c r="C13" s="4188">
        <v>1843863.1172495701</v>
      </c>
      <c r="D13" s="4189">
        <f t="shared" si="0"/>
        <v>0.20000000000000032</v>
      </c>
      <c r="E13" s="3432">
        <v>1352.1662859830203</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-3577.6490938680945</v>
      </c>
      <c r="D10" s="2989">
        <f t="shared" ref="D10:H10" si="0">IF(SUM(D11,D14,D17,D20,D23,D26,D29:D30)=0,"NO",SUM(D11,D14,D17,D20,D23,D26,D29:D30))</f>
        <v>690.5596051894405</v>
      </c>
      <c r="E10" s="2989">
        <f t="shared" si="0"/>
        <v>17.38872834665472</v>
      </c>
      <c r="F10" s="2989">
        <f t="shared" si="0"/>
        <v>971.74337998555802</v>
      </c>
      <c r="G10" s="2989">
        <f t="shared" si="0"/>
        <v>25480.837542481531</v>
      </c>
      <c r="H10" s="2990">
        <f t="shared" si="0"/>
        <v>669.78777453313432</v>
      </c>
      <c r="I10" s="2991">
        <f>IF(SUM(C10:E10)=0,"NO",SUM(C10)+28*SUM(D10)+265*SUM(E10))</f>
        <v>20366.032863299741</v>
      </c>
    </row>
    <row r="11" spans="2:9" ht="18" customHeight="1" x14ac:dyDescent="0.2">
      <c r="B11" s="473" t="s">
        <v>981</v>
      </c>
      <c r="C11" s="2992">
        <f>IF(SUM(C12:C13)=0,"NO",SUM(C12:C13))</f>
        <v>-56210.407494995394</v>
      </c>
      <c r="D11" s="2992">
        <f t="shared" ref="D11:H11" si="1">IF(SUM(D12:D13)=0,"NO",SUM(D12:D13))</f>
        <v>298.36848559245396</v>
      </c>
      <c r="E11" s="2992">
        <f t="shared" si="1"/>
        <v>5.9163748894072414</v>
      </c>
      <c r="F11" s="2992">
        <f t="shared" si="1"/>
        <v>309.72216339953297</v>
      </c>
      <c r="G11" s="2992">
        <f t="shared" si="1"/>
        <v>8308.6816935746956</v>
      </c>
      <c r="H11" s="2993">
        <f t="shared" si="1"/>
        <v>278.7897411110668</v>
      </c>
      <c r="I11" s="2994">
        <f t="shared" ref="I11:I32" si="2">IF(SUM(C11:E11)=0,"NO",SUM(C11)+28*SUM(D11)+265*SUM(E11))</f>
        <v>-46288.250552713762</v>
      </c>
    </row>
    <row r="12" spans="2:9" ht="18" customHeight="1" x14ac:dyDescent="0.2">
      <c r="B12" s="474" t="s">
        <v>982</v>
      </c>
      <c r="C12" s="2995">
        <f>IF(SUM(Table4.A!U11,'Table4(IV)'!J12)=0,"NO",SUM(Table4.A!U11,'Table4(IV)'!J12))</f>
        <v>-19786.120689674244</v>
      </c>
      <c r="D12" s="2995">
        <f>'Table4(IV)'!K12</f>
        <v>294.08613582509793</v>
      </c>
      <c r="E12" s="2995">
        <f>IF(SUM('Table4(III)'!I12,'Table4(IV)'!L12)=0,"NO",SUM('Table4(III)'!I12,'Table4(IV)'!L12))</f>
        <v>5.0825038598248069</v>
      </c>
      <c r="F12" s="2905">
        <v>307.18117806915416</v>
      </c>
      <c r="G12" s="2905">
        <v>8210.7016538633579</v>
      </c>
      <c r="H12" s="2906">
        <v>267.23819526529013</v>
      </c>
      <c r="I12" s="2996">
        <f t="shared" si="2"/>
        <v>-10204.845363717928</v>
      </c>
    </row>
    <row r="13" spans="2:9" ht="18" customHeight="1" thickBot="1" x14ac:dyDescent="0.25">
      <c r="B13" s="475" t="s">
        <v>983</v>
      </c>
      <c r="C13" s="2997">
        <f>IF(SUM(Table4.A!U16,'Table4(IV)'!J19)=0,"NO",SUM(Table4.A!U16,'Table4(IV)'!J19))</f>
        <v>-36424.28680532115</v>
      </c>
      <c r="D13" s="2997">
        <f>'Table4(IV)'!K19</f>
        <v>4.2823497673560489</v>
      </c>
      <c r="E13" s="2997">
        <f>IF(SUM('Table4(III)'!I13,'Table4(IV)'!L19)=0,"NO",SUM('Table4(III)'!I13,'Table4(IV)'!L19))</f>
        <v>0.83387102958243442</v>
      </c>
      <c r="F13" s="2908">
        <v>2.5409853303788053</v>
      </c>
      <c r="G13" s="2908">
        <v>97.9800397113369</v>
      </c>
      <c r="H13" s="2907">
        <v>11.551545845776666</v>
      </c>
      <c r="I13" s="2998">
        <f t="shared" si="2"/>
        <v>-36083.405188995835</v>
      </c>
    </row>
    <row r="14" spans="2:9" ht="18" customHeight="1" x14ac:dyDescent="0.2">
      <c r="B14" s="473" t="s">
        <v>984</v>
      </c>
      <c r="C14" s="2992">
        <f>IF(SUM(C15:C16)=0,"NO",SUM(C15:C16))</f>
        <v>5946.5026159676072</v>
      </c>
      <c r="D14" s="2992">
        <f t="shared" ref="D14" si="3">IF(SUM(D15:D16)=0,"NO",SUM(D15:D16))</f>
        <v>2.0991672000000001</v>
      </c>
      <c r="E14" s="2992">
        <f t="shared" ref="E14" si="4">IF(SUM(E15:E16)=0,"NO",SUM(E15:E16))</f>
        <v>0.14216134906321654</v>
      </c>
      <c r="F14" s="2992">
        <f t="shared" ref="F14" si="5">IF(SUM(F15:F16)=0,"NO",SUM(F15:F16))</f>
        <v>1.5806229214285714</v>
      </c>
      <c r="G14" s="2992">
        <f t="shared" ref="G14" si="6">IF(SUM(G15:G16)=0,"NO",SUM(G15:G16))</f>
        <v>61.905995666666662</v>
      </c>
      <c r="H14" s="2993">
        <f t="shared" ref="H14" si="7">IF(SUM(H15:H16)=0,"NO",SUM(H15:H16))</f>
        <v>7.4831423333333325</v>
      </c>
      <c r="I14" s="2999">
        <f t="shared" si="2"/>
        <v>6042.9520550693596</v>
      </c>
    </row>
    <row r="15" spans="2:9" ht="18" customHeight="1" x14ac:dyDescent="0.2">
      <c r="B15" s="474" t="s">
        <v>985</v>
      </c>
      <c r="C15" s="2995">
        <f>IF(SUM(Table4.B!S11,'Table4(IV)'!J26)=0,"NO",SUM(Table4.B!S11,'Table4(IV)'!J26))</f>
        <v>2238.2127758258948</v>
      </c>
      <c r="D15" s="2995" t="str">
        <f>'Table4(IV)'!K26</f>
        <v>IE</v>
      </c>
      <c r="E15" s="2995" t="str">
        <f>'Table4(IV)'!L26</f>
        <v>IE</v>
      </c>
      <c r="F15" s="2905" t="s">
        <v>2153</v>
      </c>
      <c r="G15" s="2905" t="s">
        <v>2153</v>
      </c>
      <c r="H15" s="2906" t="s">
        <v>2153</v>
      </c>
      <c r="I15" s="2996">
        <f t="shared" si="2"/>
        <v>2238.2127758258948</v>
      </c>
    </row>
    <row r="16" spans="2:9" ht="18" customHeight="1" thickBot="1" x14ac:dyDescent="0.25">
      <c r="B16" s="475" t="s">
        <v>986</v>
      </c>
      <c r="C16" s="2997">
        <f>IF(SUM(Table4.B!S13,'Table4(IV)'!J31)=0,"IE",SUM(Table4.B!S13,'Table4(IV)'!J31))</f>
        <v>3708.2898401417124</v>
      </c>
      <c r="D16" s="2997">
        <f>'Table4(IV)'!K31</f>
        <v>2.0991672000000001</v>
      </c>
      <c r="E16" s="2997">
        <f>IF(SUM('Table4(III)'!I21,'Table4(IV)'!L31)=0,"IE",SUM('Table4(III)'!I21,'Table4(IV)'!L31))</f>
        <v>0.14216134906321654</v>
      </c>
      <c r="F16" s="2908">
        <v>1.5806229214285714</v>
      </c>
      <c r="G16" s="2908">
        <v>61.905995666666662</v>
      </c>
      <c r="H16" s="2907">
        <v>7.4831423333333325</v>
      </c>
      <c r="I16" s="2998">
        <f t="shared" si="2"/>
        <v>3804.7392792434648</v>
      </c>
    </row>
    <row r="17" spans="2:9" ht="18" customHeight="1" x14ac:dyDescent="0.2">
      <c r="B17" s="473" t="s">
        <v>987</v>
      </c>
      <c r="C17" s="2992">
        <f>IF(SUM(C18:C19)=0,"NO",SUM(C18:C19))</f>
        <v>46182.290146237399</v>
      </c>
      <c r="D17" s="2992">
        <f t="shared" ref="D17" si="8">IF(SUM(D18:D19)=0,"NO",SUM(D18:D19))</f>
        <v>295.88133473726276</v>
      </c>
      <c r="E17" s="2992">
        <f t="shared" ref="E17" si="9">IF(SUM(E18:E19)=0,"NO",SUM(E18:E19))</f>
        <v>10.755586189108106</v>
      </c>
      <c r="F17" s="2992">
        <f t="shared" ref="F17" si="10">IF(SUM(F18:F19)=0,"NO",SUM(F18:F19))</f>
        <v>632.35679940049454</v>
      </c>
      <c r="G17" s="2992">
        <f t="shared" ref="G17" si="11">IF(SUM(G18:G19)=0,"NO",SUM(G18:G19))</f>
        <v>16420.982052645104</v>
      </c>
      <c r="H17" s="2993">
        <f t="shared" ref="H17" si="12">IF(SUM(H18:H19)=0,"NO",SUM(H18:H19))</f>
        <v>378.15813282572742</v>
      </c>
      <c r="I17" s="2999">
        <f t="shared" si="2"/>
        <v>57317.197858994405</v>
      </c>
    </row>
    <row r="18" spans="2:9" ht="18" customHeight="1" x14ac:dyDescent="0.2">
      <c r="B18" s="474" t="s">
        <v>988</v>
      </c>
      <c r="C18" s="2995">
        <f>IF(SUM(Table4.C!S11,'Table4(IV)'!J37)=0,"IE",SUM(Table4.C!S11,'Table4(IV)'!J37))</f>
        <v>-895.85836530300685</v>
      </c>
      <c r="D18" s="2995">
        <f>'Table4(IV)'!K37</f>
        <v>247.31940700801033</v>
      </c>
      <c r="E18" s="2995">
        <f>IF(SUM('Table4(III)'!I29,'Table4(IV)'!L37)=0,"NO",SUM('Table4(III)'!I29,'Table4(IV)'!L37))</f>
        <v>9.1860150102721025</v>
      </c>
      <c r="F18" s="2905">
        <v>594.58522250464557</v>
      </c>
      <c r="G18" s="2905">
        <v>14973.676214970827</v>
      </c>
      <c r="H18" s="2906">
        <v>209.29172126189212</v>
      </c>
      <c r="I18" s="2996">
        <f t="shared" si="2"/>
        <v>8463.3790086433892</v>
      </c>
    </row>
    <row r="19" spans="2:9" ht="18" customHeight="1" thickBot="1" x14ac:dyDescent="0.25">
      <c r="B19" s="475" t="s">
        <v>989</v>
      </c>
      <c r="C19" s="2997">
        <f>IF(SUM(Table4.C!S15,'Table4(IV)'!J42)=0,"IE",SUM(Table4.C!S15,'Table4(IV)'!J42))</f>
        <v>47078.148511540407</v>
      </c>
      <c r="D19" s="2997">
        <f>'Table4(IV)'!K42</f>
        <v>48.561927729252453</v>
      </c>
      <c r="E19" s="2997">
        <f>IF(SUM('Table4(III)'!I30,'Table4(IV)'!L42)=0,"NO",SUM('Table4(III)'!I30,'Table4(IV)'!L42))</f>
        <v>1.5695711788360038</v>
      </c>
      <c r="F19" s="2908">
        <v>37.771576895848945</v>
      </c>
      <c r="G19" s="2908">
        <v>1447.3058376742763</v>
      </c>
      <c r="H19" s="2907">
        <v>168.86641156383527</v>
      </c>
      <c r="I19" s="2998">
        <f t="shared" si="2"/>
        <v>48853.818850351017</v>
      </c>
    </row>
    <row r="20" spans="2:9" ht="18" customHeight="1" x14ac:dyDescent="0.2">
      <c r="B20" s="473" t="s">
        <v>2027</v>
      </c>
      <c r="C20" s="2992">
        <f>IF(SUM(C21:C22)=0,"NO",SUM(C21:C22))</f>
        <v>315.4268500924573</v>
      </c>
      <c r="D20" s="2992">
        <f t="shared" ref="D20" si="13">IF(SUM(D21:D22)=0,"NO",SUM(D21:D22))</f>
        <v>92.824653659723879</v>
      </c>
      <c r="E20" s="2992">
        <f t="shared" ref="E20" si="14">IF(SUM(E21:E22)=0,"NO",SUM(E21:E22))</f>
        <v>0.36277340217249221</v>
      </c>
      <c r="F20" s="2992">
        <f t="shared" ref="F20" si="15">IF(SUM(F21:F22)=0,"NO",SUM(F21:F22))</f>
        <v>27.0401963712448</v>
      </c>
      <c r="G20" s="2992">
        <f t="shared" ref="G20" si="16">IF(SUM(G21:G22)=0,"NO",SUM(G21:G22))</f>
        <v>648.39469559506654</v>
      </c>
      <c r="H20" s="2993">
        <f t="shared" ref="H20" si="17">IF(SUM(H21:H22)=0,"NO",SUM(H21:H22))</f>
        <v>0.41605326300683437</v>
      </c>
      <c r="I20" s="2999">
        <f t="shared" si="2"/>
        <v>3010.6521041404362</v>
      </c>
    </row>
    <row r="21" spans="2:9" ht="18" customHeight="1" x14ac:dyDescent="0.2">
      <c r="B21" s="474" t="s">
        <v>990</v>
      </c>
      <c r="C21" s="2995">
        <f>IF(SUM(Table4.D!S11,'Table4(IV)'!J49)=0,"IE",SUM(Table4.D!S11,'Table4(IV)'!J49))</f>
        <v>314.89885009245728</v>
      </c>
      <c r="D21" s="2995">
        <f>IF(SUM('Table4(IV)'!K49,'Table4(II)'!J270)=0,"NO",SUM('Table4(IV)'!K49,'Table4(II)'!J270))</f>
        <v>92.216620322422585</v>
      </c>
      <c r="E21" s="2995">
        <f>IF(SUM('Table4(II)'!I270,'Table4(III)'!I38,'Table4(IV)'!L49)=0,"NO",SUM('Table4(II)'!I270,'Table4(III)'!I38,'Table4(IV)'!L49))</f>
        <v>0.36277340217249221</v>
      </c>
      <c r="F21" s="2905">
        <v>27.0401963712448</v>
      </c>
      <c r="G21" s="2905">
        <v>648.39469559506654</v>
      </c>
      <c r="H21" s="2906">
        <v>0.41605326300683437</v>
      </c>
      <c r="I21" s="2996">
        <f t="shared" si="2"/>
        <v>2993.0991706960003</v>
      </c>
    </row>
    <row r="22" spans="2:9" ht="18" customHeight="1" thickBot="1" x14ac:dyDescent="0.25">
      <c r="B22" s="475" t="s">
        <v>991</v>
      </c>
      <c r="C22" s="2997">
        <f>IF(SUM(Table4.D!S23,'Table4(II)'!H320,'Table4(IV)'!J54)=0,"NO",SUM(Table4.D!S23,'Table4(II)'!H320,'Table4(IV)'!J54))</f>
        <v>0.52799999999999991</v>
      </c>
      <c r="D22" s="2997">
        <f>IF(SUM('Table4(IV)'!K54,'Table4(II)'!J320)=0,"NO",SUM('Table4(IV)'!K54,'Table4(II)'!J320))</f>
        <v>0.60803333730129738</v>
      </c>
      <c r="E22" s="2997" t="str">
        <f>IF(SUM('Table4(II)'!I320,'Table4(III)'!I39,'Table4(IV)'!L54)=0,"NO",SUM('Table4(II)'!I320,'Table4(III)'!I39,'Table4(IV)'!L54))</f>
        <v>NO</v>
      </c>
      <c r="F22" s="2908" t="s">
        <v>2153</v>
      </c>
      <c r="G22" s="2908" t="s">
        <v>2153</v>
      </c>
      <c r="H22" s="2907" t="s">
        <v>2153</v>
      </c>
      <c r="I22" s="2998">
        <f t="shared" si="2"/>
        <v>17.552933444436327</v>
      </c>
    </row>
    <row r="23" spans="2:9" ht="18" customHeight="1" x14ac:dyDescent="0.2">
      <c r="B23" s="473" t="s">
        <v>992</v>
      </c>
      <c r="C23" s="2992">
        <f>IF(SUM(C24:C25)=0,"NO",SUM(C24:C25))</f>
        <v>4124.2236562394728</v>
      </c>
      <c r="D23" s="2992">
        <f t="shared" ref="D23" si="18">IF(SUM(D24:D25)=0,"NO",SUM(D24:D25))</f>
        <v>1.385964</v>
      </c>
      <c r="E23" s="2992">
        <f t="shared" ref="E23" si="19">IF(SUM(E24:E25)=0,"NO",SUM(E24:E25))</f>
        <v>6.1507895850934038E-2</v>
      </c>
      <c r="F23" s="2992">
        <f>IF(SUM(F24:F25)=0,"NO",SUM(F24:F25))</f>
        <v>1.043597892857143</v>
      </c>
      <c r="G23" s="2992">
        <f t="shared" ref="G23" si="20">IF(SUM(G24:G25)=0,"NO",SUM(G24:G25))</f>
        <v>40.873104999999995</v>
      </c>
      <c r="H23" s="2993">
        <f t="shared" ref="H23" si="21">IF(SUM(H24:H25)=0,"NO",SUM(H24:H25))</f>
        <v>4.9407050000000003</v>
      </c>
      <c r="I23" s="2999">
        <f t="shared" si="2"/>
        <v>4179.3302406399698</v>
      </c>
    </row>
    <row r="24" spans="2:9" ht="18" customHeight="1" x14ac:dyDescent="0.2">
      <c r="B24" s="474" t="s">
        <v>993</v>
      </c>
      <c r="C24" s="2995">
        <f>IF(SUM(Table4.E!S11,'Table4(IV)'!J60)=0,"IE",SUM(Table4.E!S11,'Table4(IV)'!J60))</f>
        <v>-21.774548114437703</v>
      </c>
      <c r="D24" s="2995" t="str">
        <f>'Table4(IV)'!K60</f>
        <v>IE</v>
      </c>
      <c r="E24" s="2995">
        <f>IF(SUM('Table4(III)'!I47,'Table4(IV)'!L60)=0,"IE",SUM('Table4(III)'!I47,'Table4(IV)'!L60))</f>
        <v>1.1060770133281296E-4</v>
      </c>
      <c r="F24" s="2905" t="s">
        <v>2154</v>
      </c>
      <c r="G24" s="2905" t="s">
        <v>2154</v>
      </c>
      <c r="H24" s="2906" t="s">
        <v>2154</v>
      </c>
      <c r="I24" s="2996">
        <f t="shared" si="2"/>
        <v>-21.745237073584509</v>
      </c>
    </row>
    <row r="25" spans="2:9" ht="18" customHeight="1" thickBot="1" x14ac:dyDescent="0.25">
      <c r="B25" s="475" t="s">
        <v>994</v>
      </c>
      <c r="C25" s="2997">
        <f>IF(SUM(Table4.E!S13,'Table4(IV)'!J65)=0,"IE",SUM(Table4.E!S13,'Table4(IV)'!J65))</f>
        <v>4145.9982043539103</v>
      </c>
      <c r="D25" s="2997">
        <f>'Table4(IV)'!K65</f>
        <v>1.385964</v>
      </c>
      <c r="E25" s="2997">
        <f>IF(SUM('Table4(III)'!I48,'Table4(IV)'!L65)=0,"NO",SUM('Table4(III)'!I48,'Table4(IV)'!L65))</f>
        <v>6.1397288149601228E-2</v>
      </c>
      <c r="F25" s="2908">
        <v>1.043597892857143</v>
      </c>
      <c r="G25" s="2908">
        <v>40.873104999999995</v>
      </c>
      <c r="H25" s="2907">
        <v>4.9407050000000003</v>
      </c>
      <c r="I25" s="2998">
        <f t="shared" si="2"/>
        <v>4201.0754777135544</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-3969.4457462444443</v>
      </c>
      <c r="D29" s="3004"/>
      <c r="E29" s="3004"/>
      <c r="F29" s="3004"/>
      <c r="G29" s="3004"/>
      <c r="H29" s="3005"/>
      <c r="I29" s="3006">
        <f t="shared" si="2"/>
        <v>-3969.4457462444443</v>
      </c>
    </row>
    <row r="30" spans="2:9" ht="18" customHeight="1" x14ac:dyDescent="0.2">
      <c r="B30" s="1168" t="s">
        <v>2063</v>
      </c>
      <c r="C30" s="3007">
        <f>IF(SUM(C31:C32)=0,"NO",SUM(C31:C32))</f>
        <v>33.760878834808885</v>
      </c>
      <c r="D30" s="3007" t="str">
        <f t="shared" ref="D30" si="27">IF(SUM(D31:D32)=0,"NO",SUM(D31:D32))</f>
        <v>NO</v>
      </c>
      <c r="E30" s="3007">
        <f t="shared" ref="E30" si="28">IF(SUM(E31:E32)=0,"NO",SUM(E31:E32))</f>
        <v>0.15032462105272859</v>
      </c>
      <c r="F30" s="3007" t="str">
        <f t="shared" ref="F30" si="29">IF(SUM(F31:F32)=0,"NO",SUM(F31:F32))</f>
        <v>NO</v>
      </c>
      <c r="G30" s="3007" t="str">
        <f t="shared" ref="G30" si="30">IF(SUM(G31:G32)=0,"NO",SUM(G31:G32))</f>
        <v>NO</v>
      </c>
      <c r="H30" s="3008" t="str">
        <f t="shared" ref="H30" si="31">IF(SUM(H31:H32)=0,"NO",SUM(H31:H32))</f>
        <v>NO</v>
      </c>
      <c r="I30" s="3009">
        <f t="shared" si="2"/>
        <v>73.596903413781959</v>
      </c>
    </row>
    <row r="31" spans="2:9" ht="18" customHeight="1" x14ac:dyDescent="0.2">
      <c r="B31" s="2677" t="s">
        <v>2218</v>
      </c>
      <c r="C31" s="3010" t="s">
        <v>2146</v>
      </c>
      <c r="D31" s="3010" t="s">
        <v>2146</v>
      </c>
      <c r="E31" s="3010">
        <v>0.15032462105272859</v>
      </c>
      <c r="F31" s="3010" t="s">
        <v>2146</v>
      </c>
      <c r="G31" s="3010" t="s">
        <v>2146</v>
      </c>
      <c r="H31" s="3011" t="s">
        <v>2146</v>
      </c>
      <c r="I31" s="3012">
        <f t="shared" si="2"/>
        <v>39.836024578973074</v>
      </c>
    </row>
    <row r="32" spans="2:9" ht="18" customHeight="1" thickBot="1" x14ac:dyDescent="0.25">
      <c r="B32" s="2676" t="s">
        <v>2219</v>
      </c>
      <c r="C32" s="3013">
        <v>33.760878834808885</v>
      </c>
      <c r="D32" s="3013" t="s">
        <v>2146</v>
      </c>
      <c r="E32" s="3013" t="s">
        <v>2146</v>
      </c>
      <c r="F32" s="3014" t="s">
        <v>2146</v>
      </c>
      <c r="G32" s="3014" t="s">
        <v>2146</v>
      </c>
      <c r="H32" s="3014" t="s">
        <v>2146</v>
      </c>
      <c r="I32" s="2998">
        <f t="shared" si="2"/>
        <v>33.760878834808885</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41558.592982000802</v>
      </c>
      <c r="D35" s="3013">
        <v>217.19706775284536</v>
      </c>
      <c r="E35" s="3013">
        <v>2.1155195902604045</v>
      </c>
      <c r="F35" s="3013">
        <v>85.997886320508428</v>
      </c>
      <c r="G35" s="3013">
        <v>3368.1561273882044</v>
      </c>
      <c r="H35" s="3013">
        <v>407.13975166231046</v>
      </c>
      <c r="I35" s="3018">
        <f t="shared" ref="I35" si="32">IF(SUM(C35:E35)=0,"NO",SUM(C35)+28*SUM(D35)+265*SUM(E35))</f>
        <v>48200.723570499482</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371356.50764914247</v>
      </c>
      <c r="D10" s="3765">
        <f t="shared" ref="D10:I10" si="0">IF(SUM(D11,D37,D47)=0,"NO",SUM(D11,D37,D47))</f>
        <v>1289.0713477541747</v>
      </c>
      <c r="E10" s="3765">
        <f t="shared" si="0"/>
        <v>11.751091743785025</v>
      </c>
      <c r="F10" s="3765">
        <f t="shared" si="0"/>
        <v>2499.7684094686483</v>
      </c>
      <c r="G10" s="3765">
        <f t="shared" si="0"/>
        <v>2412.3680436120271</v>
      </c>
      <c r="H10" s="3765">
        <f t="shared" si="0"/>
        <v>743.56708674843048</v>
      </c>
      <c r="I10" s="3766">
        <f t="shared" si="0"/>
        <v>680.14257134519448</v>
      </c>
      <c r="J10" s="3028">
        <f t="shared" ref="J10:J40" si="1">IF(SUM(C10:E10)=0,"NO",SUM(C10,IFERROR(28*D10,0),IFERROR(265*E10,0)))</f>
        <v>410564.54469836236</v>
      </c>
    </row>
    <row r="11" spans="2:10" s="83" customFormat="1" ht="18" customHeight="1" thickBot="1" x14ac:dyDescent="0.25">
      <c r="B11" s="18" t="s">
        <v>75</v>
      </c>
      <c r="C11" s="3029">
        <f>IF(SUM(C12,C16,C24,C30,C34)=0,"NO",SUM(C12,C16,C24,C30,C34))</f>
        <v>362083.79998832318</v>
      </c>
      <c r="D11" s="3029">
        <f t="shared" ref="D11:I11" si="2">IF(SUM(D12,D16,D24,D30,D34)=0,"NO",SUM(D12,D16,D24,D30,D34))</f>
        <v>82.044489156400047</v>
      </c>
      <c r="E11" s="3029">
        <f t="shared" si="2"/>
        <v>11.639601847477296</v>
      </c>
      <c r="F11" s="3029">
        <f t="shared" si="2"/>
        <v>2497.964587153368</v>
      </c>
      <c r="G11" s="3029">
        <f t="shared" si="2"/>
        <v>2401.9058741834028</v>
      </c>
      <c r="H11" s="3029">
        <f t="shared" si="2"/>
        <v>517.54847888724919</v>
      </c>
      <c r="I11" s="3030">
        <f t="shared" si="2"/>
        <v>680.14257134519448</v>
      </c>
      <c r="J11" s="3031">
        <f t="shared" si="1"/>
        <v>367465.5401742839</v>
      </c>
    </row>
    <row r="12" spans="2:10" s="83" customFormat="1" ht="18" customHeight="1" x14ac:dyDescent="0.2">
      <c r="B12" s="26" t="s">
        <v>76</v>
      </c>
      <c r="C12" s="3029">
        <f>IF(SUM(C13:C15)=0,"NO",SUM(C13:C15))</f>
        <v>203812.67589945495</v>
      </c>
      <c r="D12" s="3029">
        <f t="shared" ref="D12:I12" si="3">IF(SUM(D13:D15)=0,"NO",SUM(D13:D15))</f>
        <v>25.930326874531271</v>
      </c>
      <c r="E12" s="3029">
        <f t="shared" si="3"/>
        <v>3.9105557082378528</v>
      </c>
      <c r="F12" s="3029">
        <f t="shared" si="3"/>
        <v>1057.6134951943609</v>
      </c>
      <c r="G12" s="3029">
        <f t="shared" si="3"/>
        <v>237.53060813677052</v>
      </c>
      <c r="H12" s="3029">
        <f>IF(SUM(H13:H15)=0,"NO",SUM(H13:H15))</f>
        <v>66.743594633569856</v>
      </c>
      <c r="I12" s="3030">
        <f t="shared" si="3"/>
        <v>560.39735105245222</v>
      </c>
      <c r="J12" s="3031">
        <f t="shared" si="1"/>
        <v>205575.02231462486</v>
      </c>
    </row>
    <row r="13" spans="2:10" s="83" customFormat="1" ht="18" customHeight="1" x14ac:dyDescent="0.2">
      <c r="B13" s="20" t="s">
        <v>77</v>
      </c>
      <c r="C13" s="3032">
        <f>'Table1.A(a)s1'!H24</f>
        <v>179408.66453085624</v>
      </c>
      <c r="D13" s="3032">
        <f>'Table1.A(a)s1'!I24</f>
        <v>15.792793180031298</v>
      </c>
      <c r="E13" s="3032">
        <f>'Table1.A(a)s1'!J24</f>
        <v>3.3067117238036525</v>
      </c>
      <c r="F13" s="3033">
        <v>587.69607548449369</v>
      </c>
      <c r="G13" s="3033">
        <v>100.8840148625725</v>
      </c>
      <c r="H13" s="3033">
        <v>10.129146855324665</v>
      </c>
      <c r="I13" s="3034">
        <v>540.10080845553546</v>
      </c>
      <c r="J13" s="3035">
        <f t="shared" si="1"/>
        <v>180727.14134670509</v>
      </c>
    </row>
    <row r="14" spans="2:10" s="83" customFormat="1" ht="18" customHeight="1" x14ac:dyDescent="0.2">
      <c r="B14" s="20" t="s">
        <v>78</v>
      </c>
      <c r="C14" s="3032">
        <f>'Table1.A(a)s1'!H53</f>
        <v>4759.1721027006279</v>
      </c>
      <c r="D14" s="3032">
        <f>'Table1.A(a)s1'!I53</f>
        <v>7.8218990518246281E-2</v>
      </c>
      <c r="E14" s="3032">
        <f>'Table1.A(a)s1'!J53</f>
        <v>1.27176874265638E-2</v>
      </c>
      <c r="F14" s="3033">
        <v>32.042156752921343</v>
      </c>
      <c r="G14" s="3033">
        <v>3.9602576667549108</v>
      </c>
      <c r="H14" s="3033">
        <v>7.5335526988021595E-2</v>
      </c>
      <c r="I14" s="3034">
        <v>7.1779840947508742</v>
      </c>
      <c r="J14" s="3035">
        <f t="shared" si="1"/>
        <v>4764.7324216031784</v>
      </c>
    </row>
    <row r="15" spans="2:10" s="83" customFormat="1" ht="18" customHeight="1" thickBot="1" x14ac:dyDescent="0.25">
      <c r="B15" s="21" t="s">
        <v>79</v>
      </c>
      <c r="C15" s="3036">
        <f>'Table1.A(a)s1'!H60</f>
        <v>19644.839265898074</v>
      </c>
      <c r="D15" s="3036">
        <f>'Table1.A(a)s1'!I60</f>
        <v>10.059314703981727</v>
      </c>
      <c r="E15" s="3036">
        <f>'Table1.A(a)s1'!J60</f>
        <v>0.59112629700763619</v>
      </c>
      <c r="F15" s="3037">
        <v>437.87526295694596</v>
      </c>
      <c r="G15" s="3037">
        <v>132.68633560744311</v>
      </c>
      <c r="H15" s="3037">
        <v>56.539112251257173</v>
      </c>
      <c r="I15" s="3038">
        <v>13.11855850216593</v>
      </c>
      <c r="J15" s="3039">
        <f t="shared" si="1"/>
        <v>20083.148546316585</v>
      </c>
    </row>
    <row r="16" spans="2:10" s="83" customFormat="1" ht="18" customHeight="1" x14ac:dyDescent="0.2">
      <c r="B16" s="25" t="s">
        <v>80</v>
      </c>
      <c r="C16" s="3029">
        <f>IF(SUM(C17:C23)=0,"NO",SUM(C17:C23))</f>
        <v>45880.881345598224</v>
      </c>
      <c r="D16" s="3029">
        <f t="shared" ref="D16:I16" si="4">IF(SUM(D17:D23)=0,"NO",SUM(D17:D23))</f>
        <v>2.453644551257713</v>
      </c>
      <c r="E16" s="3029">
        <f t="shared" si="4"/>
        <v>1.4779110280187981</v>
      </c>
      <c r="F16" s="3029">
        <f t="shared" si="4"/>
        <v>772.69514058936204</v>
      </c>
      <c r="G16" s="3029">
        <f t="shared" si="4"/>
        <v>243.67884880710187</v>
      </c>
      <c r="H16" s="3029">
        <f t="shared" si="4"/>
        <v>101.16914342205132</v>
      </c>
      <c r="I16" s="3030">
        <f t="shared" si="4"/>
        <v>87.990950292284879</v>
      </c>
      <c r="J16" s="3031">
        <f t="shared" si="1"/>
        <v>46341.22981545842</v>
      </c>
    </row>
    <row r="17" spans="2:10" s="83" customFormat="1" ht="18" customHeight="1" x14ac:dyDescent="0.2">
      <c r="B17" s="20" t="s">
        <v>81</v>
      </c>
      <c r="C17" s="3032">
        <f>'Table1.A(a)s2'!H17</f>
        <v>1529.7471033351997</v>
      </c>
      <c r="D17" s="3032">
        <f>'Table1.A(a)s2'!I17</f>
        <v>3.4367241003305897E-2</v>
      </c>
      <c r="E17" s="3032">
        <f>'Table1.A(a)s2'!J17</f>
        <v>1.9623742350736155E-2</v>
      </c>
      <c r="F17" s="3033">
        <v>17.231107021988578</v>
      </c>
      <c r="G17" s="3033">
        <v>2.8101461426591032</v>
      </c>
      <c r="H17" s="3033">
        <v>0.29517811290784662</v>
      </c>
      <c r="I17" s="3034">
        <v>7.4113067415904466</v>
      </c>
      <c r="J17" s="3035">
        <f t="shared" si="1"/>
        <v>1535.9096778062374</v>
      </c>
    </row>
    <row r="18" spans="2:10" s="83" customFormat="1" ht="18" customHeight="1" x14ac:dyDescent="0.2">
      <c r="B18" s="20" t="s">
        <v>82</v>
      </c>
      <c r="C18" s="3032">
        <f>'Table1.A(a)s2'!H24</f>
        <v>15220.915894231444</v>
      </c>
      <c r="D18" s="3032">
        <f>'Table1.A(a)s2'!I24</f>
        <v>0.27063554227405712</v>
      </c>
      <c r="E18" s="3032">
        <f>'Table1.A(a)s2'!J24</f>
        <v>0.16784755644431873</v>
      </c>
      <c r="F18" s="3033">
        <v>106.56155805148302</v>
      </c>
      <c r="G18" s="3033">
        <v>18.00380886080282</v>
      </c>
      <c r="H18" s="3033">
        <v>2.8352495022849644</v>
      </c>
      <c r="I18" s="3034">
        <v>46.716316133808107</v>
      </c>
      <c r="J18" s="3035">
        <f t="shared" si="1"/>
        <v>15272.973291872862</v>
      </c>
    </row>
    <row r="19" spans="2:10" s="83" customFormat="1" ht="18" customHeight="1" x14ac:dyDescent="0.2">
      <c r="B19" s="20" t="s">
        <v>83</v>
      </c>
      <c r="C19" s="3032">
        <f>'Table1.A(a)s2'!H31</f>
        <v>9146.7726074241727</v>
      </c>
      <c r="D19" s="3032">
        <f>'Table1.A(a)s2'!I31</f>
        <v>0.27994479685208395</v>
      </c>
      <c r="E19" s="3032">
        <f>'Table1.A(a)s2'!J31</f>
        <v>0.10485674803689207</v>
      </c>
      <c r="F19" s="3033">
        <v>63.355908090894296</v>
      </c>
      <c r="G19" s="3033">
        <v>19.785151218372167</v>
      </c>
      <c r="H19" s="3033">
        <v>11.483641354006803</v>
      </c>
      <c r="I19" s="3034">
        <v>9.1472670165956362</v>
      </c>
      <c r="J19" s="3035">
        <f t="shared" si="1"/>
        <v>9182.3980999658088</v>
      </c>
    </row>
    <row r="20" spans="2:10" s="83" customFormat="1" ht="18" customHeight="1" x14ac:dyDescent="0.2">
      <c r="B20" s="20" t="s">
        <v>84</v>
      </c>
      <c r="C20" s="3032">
        <f>'Table1.A(a)s2'!H38</f>
        <v>957.39519302849635</v>
      </c>
      <c r="D20" s="3032">
        <f>'Table1.A(a)s2'!I38</f>
        <v>0.19832977649246755</v>
      </c>
      <c r="E20" s="3032">
        <f>'Table1.A(a)s2'!J38</f>
        <v>0.13104922699454236</v>
      </c>
      <c r="F20" s="3033">
        <v>7.4703834051701996</v>
      </c>
      <c r="G20" s="3033">
        <v>5.4251118002415231</v>
      </c>
      <c r="H20" s="3033">
        <v>0.47765467603290657</v>
      </c>
      <c r="I20" s="3034">
        <v>1.3826681591273953</v>
      </c>
      <c r="J20" s="3035">
        <f t="shared" si="1"/>
        <v>997.67647192383913</v>
      </c>
    </row>
    <row r="21" spans="2:10" s="83" customFormat="1" ht="18" customHeight="1" x14ac:dyDescent="0.2">
      <c r="B21" s="20" t="s">
        <v>85</v>
      </c>
      <c r="C21" s="3032">
        <f>'Table1.A(a)s2'!H45</f>
        <v>2835.1928317492066</v>
      </c>
      <c r="D21" s="3032">
        <f>'Table1.A(a)s2'!I45</f>
        <v>0.81342958337079063</v>
      </c>
      <c r="E21" s="3032">
        <f>'Table1.A(a)s2'!J45</f>
        <v>0.5183074117645875</v>
      </c>
      <c r="F21" s="3033">
        <v>23.53960389228406</v>
      </c>
      <c r="G21" s="3033">
        <v>23.711755290999889</v>
      </c>
      <c r="H21" s="3033">
        <v>1.8392492816159365</v>
      </c>
      <c r="I21" s="3034">
        <v>3.7793128065609767</v>
      </c>
      <c r="J21" s="3035">
        <f t="shared" si="1"/>
        <v>2995.3203242012046</v>
      </c>
    </row>
    <row r="22" spans="2:10" s="83" customFormat="1" ht="18" customHeight="1" x14ac:dyDescent="0.2">
      <c r="B22" s="20" t="s">
        <v>86</v>
      </c>
      <c r="C22" s="3032">
        <f>'Table1.A(a)s2'!H52</f>
        <v>5283.012068012391</v>
      </c>
      <c r="D22" s="3032">
        <f>'Table1.A(a)s2'!I52</f>
        <v>0.28788469904867753</v>
      </c>
      <c r="E22" s="3032">
        <f>'Table1.A(a)s2'!J52</f>
        <v>4.7727641045816768E-2</v>
      </c>
      <c r="F22" s="3033">
        <v>78.466205790556586</v>
      </c>
      <c r="G22" s="3033">
        <v>23.019506267246179</v>
      </c>
      <c r="H22" s="3033">
        <v>14.845902940069816</v>
      </c>
      <c r="I22" s="3034">
        <v>8.8428237892461414</v>
      </c>
      <c r="J22" s="3035">
        <f t="shared" si="1"/>
        <v>5303.7206644628959</v>
      </c>
    </row>
    <row r="23" spans="2:10" s="83" customFormat="1" ht="18" customHeight="1" thickBot="1" x14ac:dyDescent="0.25">
      <c r="B23" s="3060" t="s">
        <v>2115</v>
      </c>
      <c r="C23" s="3032">
        <f>'Table1.A(a)s2'!H59</f>
        <v>10907.84564781731</v>
      </c>
      <c r="D23" s="3032">
        <f>'Table1.A(a)s2'!I59</f>
        <v>0.56905291221633025</v>
      </c>
      <c r="E23" s="3032">
        <f>'Table1.A(a)s2'!J59</f>
        <v>0.48849870138190477</v>
      </c>
      <c r="F23" s="3033">
        <v>476.07037433698531</v>
      </c>
      <c r="G23" s="3033">
        <v>150.92336922678018</v>
      </c>
      <c r="H23" s="3033">
        <v>69.392267555133046</v>
      </c>
      <c r="I23" s="3034">
        <v>10.71125564535618</v>
      </c>
      <c r="J23" s="3035">
        <f t="shared" si="1"/>
        <v>11053.231285225573</v>
      </c>
    </row>
    <row r="24" spans="2:10" s="83" customFormat="1" ht="18" customHeight="1" x14ac:dyDescent="0.2">
      <c r="B24" s="25" t="s">
        <v>87</v>
      </c>
      <c r="C24" s="3029">
        <f>IF(SUM(C25:C29)=0,"NO",SUM(C25:C29))</f>
        <v>91221.431392901039</v>
      </c>
      <c r="D24" s="3029">
        <f t="shared" ref="D24:I24" si="5">IF(SUM(D25:D29)=0,"NO",SUM(D25:D29))</f>
        <v>15.150794815782334</v>
      </c>
      <c r="E24" s="3029">
        <f t="shared" si="5"/>
        <v>5.5646353224705187</v>
      </c>
      <c r="F24" s="3029">
        <f t="shared" si="5"/>
        <v>300.27576168668253</v>
      </c>
      <c r="G24" s="3029">
        <f t="shared" si="5"/>
        <v>1251.4229260175364</v>
      </c>
      <c r="H24" s="3029">
        <f t="shared" si="5"/>
        <v>234.66313026993572</v>
      </c>
      <c r="I24" s="3030">
        <f t="shared" si="5"/>
        <v>23.443145109960838</v>
      </c>
      <c r="J24" s="3031">
        <f t="shared" si="1"/>
        <v>93120.282008197639</v>
      </c>
    </row>
    <row r="25" spans="2:10" s="83" customFormat="1" ht="18" customHeight="1" x14ac:dyDescent="0.2">
      <c r="B25" s="20" t="s">
        <v>88</v>
      </c>
      <c r="C25" s="1878">
        <f>'Table1.A(a)s3'!H16</f>
        <v>8505.1102057951139</v>
      </c>
      <c r="D25" s="1878">
        <f>'Table1.A(a)s3'!I16</f>
        <v>3.6908683739032166E-2</v>
      </c>
      <c r="E25" s="1878">
        <f>'Table1.A(a)s3'!J16</f>
        <v>6.2576058857170311E-2</v>
      </c>
      <c r="F25" s="3033">
        <v>28.756322491839786</v>
      </c>
      <c r="G25" s="3033">
        <v>18.780340694343511</v>
      </c>
      <c r="H25" s="3033">
        <v>1.8612272802560195</v>
      </c>
      <c r="I25" s="3034">
        <v>1.0027898300704832</v>
      </c>
      <c r="J25" s="3035">
        <f t="shared" si="1"/>
        <v>8522.7263045369582</v>
      </c>
    </row>
    <row r="26" spans="2:10" s="83" customFormat="1" ht="18" customHeight="1" x14ac:dyDescent="0.2">
      <c r="B26" s="20" t="s">
        <v>89</v>
      </c>
      <c r="C26" s="1878">
        <f>'Table1.A(a)s3'!H20</f>
        <v>77800.937495533915</v>
      </c>
      <c r="D26" s="1878">
        <f>'Table1.A(a)s3'!I20</f>
        <v>10.380544080212344</v>
      </c>
      <c r="E26" s="1878">
        <f>'Table1.A(a)s3'!J20</f>
        <v>4.1889424597687048</v>
      </c>
      <c r="F26" s="3033">
        <v>190.72624189245326</v>
      </c>
      <c r="G26" s="3033">
        <v>971.13334390001535</v>
      </c>
      <c r="H26" s="3033">
        <v>189.56802805657836</v>
      </c>
      <c r="I26" s="3034">
        <v>17.123233448197375</v>
      </c>
      <c r="J26" s="3035">
        <f t="shared" si="1"/>
        <v>79201.662481618565</v>
      </c>
    </row>
    <row r="27" spans="2:10" s="83" customFormat="1" ht="18" customHeight="1" x14ac:dyDescent="0.2">
      <c r="B27" s="20" t="s">
        <v>90</v>
      </c>
      <c r="C27" s="1878">
        <f>'Table1.A(a)s3'!H81</f>
        <v>2997.0324000000001</v>
      </c>
      <c r="D27" s="1878">
        <f>'Table1.A(a)s3'!I81</f>
        <v>0.17150399999999999</v>
      </c>
      <c r="E27" s="1878">
        <f>'Table1.A(a)s3'!J81</f>
        <v>1.2862799999999999</v>
      </c>
      <c r="F27" s="3033">
        <v>65.600279999999998</v>
      </c>
      <c r="G27" s="3033">
        <v>8.660952</v>
      </c>
      <c r="H27" s="3033">
        <v>3.0441959999999999</v>
      </c>
      <c r="I27" s="3034">
        <v>2.4446842105263151</v>
      </c>
      <c r="J27" s="3035">
        <f t="shared" si="1"/>
        <v>3342.6987119999999</v>
      </c>
    </row>
    <row r="28" spans="2:10" s="83" customFormat="1" ht="18" customHeight="1" x14ac:dyDescent="0.2">
      <c r="B28" s="20" t="s">
        <v>91</v>
      </c>
      <c r="C28" s="1878">
        <f>'Table1.A(a)s3'!H88</f>
        <v>1333.3345545957452</v>
      </c>
      <c r="D28" s="1878">
        <f>'Table1.A(a)s3'!I88</f>
        <v>4.4454492314461662</v>
      </c>
      <c r="E28" s="1878">
        <f>'Table1.A(a)s3'!J88</f>
        <v>2.5651489771730786E-2</v>
      </c>
      <c r="F28" s="3033">
        <v>12.978743017068529</v>
      </c>
      <c r="G28" s="3033">
        <v>247.82154258721266</v>
      </c>
      <c r="H28" s="3033">
        <v>39.486153612344957</v>
      </c>
      <c r="I28" s="3034">
        <v>2.8672838638757994</v>
      </c>
      <c r="J28" s="3035">
        <f t="shared" si="1"/>
        <v>1464.6047778657467</v>
      </c>
    </row>
    <row r="29" spans="2:10" s="83" customFormat="1" ht="18" customHeight="1" thickBot="1" x14ac:dyDescent="0.25">
      <c r="B29" s="22" t="s">
        <v>92</v>
      </c>
      <c r="C29" s="1881">
        <f>'Table1.A(a)s3'!H99</f>
        <v>585.01673697627984</v>
      </c>
      <c r="D29" s="1881">
        <f>'Table1.A(a)s3'!I99</f>
        <v>0.11638882038479186</v>
      </c>
      <c r="E29" s="1881">
        <f>'Table1.A(a)s3'!J99</f>
        <v>1.1853140729131176E-3</v>
      </c>
      <c r="F29" s="3040">
        <v>2.2141742853209383</v>
      </c>
      <c r="G29" s="3040">
        <v>5.0267468359649108</v>
      </c>
      <c r="H29" s="3040">
        <v>0.7035253207563732</v>
      </c>
      <c r="I29" s="3041">
        <v>5.1537572908675073E-3</v>
      </c>
      <c r="J29" s="3042">
        <f t="shared" si="1"/>
        <v>588.58973217637595</v>
      </c>
    </row>
    <row r="30" spans="2:10" ht="18" customHeight="1" x14ac:dyDescent="0.2">
      <c r="B30" s="26" t="s">
        <v>93</v>
      </c>
      <c r="C30" s="3029">
        <f>IF(SUM(C31:C33)=0,"NO",SUM(C31:C33))</f>
        <v>20151.753283622373</v>
      </c>
      <c r="D30" s="3029">
        <f t="shared" ref="D30" si="6">IF(SUM(D31:D33)=0,"NO",SUM(D31:D33))</f>
        <v>38.476159169123576</v>
      </c>
      <c r="E30" s="3029">
        <f t="shared" ref="E30" si="7">IF(SUM(E31:E33)=0,"NO",SUM(E31:E33))</f>
        <v>0.6579393987522314</v>
      </c>
      <c r="F30" s="3029">
        <f t="shared" ref="F30" si="8">IF(SUM(F31:F33)=0,"NO",SUM(F31:F33))</f>
        <v>358.54784167500338</v>
      </c>
      <c r="G30" s="3029">
        <f t="shared" ref="G30" si="9">IF(SUM(G31:G33)=0,"NO",SUM(G31:G33))</f>
        <v>666.02220803878618</v>
      </c>
      <c r="H30" s="3029">
        <f t="shared" ref="H30" si="10">IF(SUM(H31:H33)=0,"NO",SUM(H31:H33))</f>
        <v>114.45256622252083</v>
      </c>
      <c r="I30" s="3030">
        <f t="shared" ref="I30" si="11">IF(SUM(I31:I33)=0,"NO",SUM(I31:I33))</f>
        <v>7.9602584818023585</v>
      </c>
      <c r="J30" s="3043">
        <f t="shared" si="1"/>
        <v>21403.439681027176</v>
      </c>
    </row>
    <row r="31" spans="2:10" ht="18" customHeight="1" x14ac:dyDescent="0.2">
      <c r="B31" s="20" t="s">
        <v>94</v>
      </c>
      <c r="C31" s="3032">
        <f>'Table1.A(a)s4'!H17</f>
        <v>5075.8005950081952</v>
      </c>
      <c r="D31" s="3032">
        <f>'Table1.A(a)s4'!I17</f>
        <v>0.11123158633356602</v>
      </c>
      <c r="E31" s="3032">
        <f>'Table1.A(a)s4'!J17</f>
        <v>9.4763432493796651E-2</v>
      </c>
      <c r="F31" s="3033">
        <v>30.069984568420118</v>
      </c>
      <c r="G31" s="3033">
        <v>11.245080723238088</v>
      </c>
      <c r="H31" s="3033">
        <v>4.3125028413393434</v>
      </c>
      <c r="I31" s="3034">
        <v>2.747144703135123</v>
      </c>
      <c r="J31" s="3035">
        <f t="shared" si="1"/>
        <v>5104.0273890363906</v>
      </c>
    </row>
    <row r="32" spans="2:10" ht="18" customHeight="1" x14ac:dyDescent="0.2">
      <c r="B32" s="20" t="s">
        <v>95</v>
      </c>
      <c r="C32" s="3032">
        <f>'Table1.A(a)s4'!H38</f>
        <v>8788.5855899873968</v>
      </c>
      <c r="D32" s="3032">
        <f>'Table1.A(a)s4'!I38</f>
        <v>37.760516625264515</v>
      </c>
      <c r="E32" s="3032">
        <f>'Table1.A(a)s4'!J38</f>
        <v>0.24113487258931804</v>
      </c>
      <c r="F32" s="3033">
        <v>11.992785778813209</v>
      </c>
      <c r="G32" s="3033">
        <v>515.02523835484681</v>
      </c>
      <c r="H32" s="3033">
        <v>60.556991926254142</v>
      </c>
      <c r="I32" s="3034">
        <v>0.52214559556499629</v>
      </c>
      <c r="J32" s="3035">
        <f t="shared" si="1"/>
        <v>9909.7807967309727</v>
      </c>
    </row>
    <row r="33" spans="2:10" ht="18" customHeight="1" thickBot="1" x14ac:dyDescent="0.25">
      <c r="B33" s="20" t="s">
        <v>96</v>
      </c>
      <c r="C33" s="3032">
        <f>'Table1.A(a)s4'!H59</f>
        <v>6287.3670986267816</v>
      </c>
      <c r="D33" s="3032">
        <f>'Table1.A(a)s4'!I59</f>
        <v>0.60441095752549423</v>
      </c>
      <c r="E33" s="3032">
        <f>'Table1.A(a)s4'!J59</f>
        <v>0.32204109366911671</v>
      </c>
      <c r="F33" s="3033">
        <v>316.48507132777007</v>
      </c>
      <c r="G33" s="3033">
        <v>139.75188896070131</v>
      </c>
      <c r="H33" s="3033">
        <v>49.583071454927349</v>
      </c>
      <c r="I33" s="3034">
        <v>4.690968183102239</v>
      </c>
      <c r="J33" s="3035">
        <f t="shared" si="1"/>
        <v>6389.6314952598113</v>
      </c>
    </row>
    <row r="34" spans="2:10" ht="18" customHeight="1" x14ac:dyDescent="0.2">
      <c r="B34" s="25" t="s">
        <v>2116</v>
      </c>
      <c r="C34" s="3029">
        <f>IF(SUM(C35:C36)=0,"NO",SUM(C35:C36))</f>
        <v>1017.0580667465537</v>
      </c>
      <c r="D34" s="3029">
        <f t="shared" ref="D34:E34" si="12">IF(SUM(D35:D36)=0,"NO",SUM(D35:D36))</f>
        <v>3.3563745705155655E-2</v>
      </c>
      <c r="E34" s="3029">
        <f t="shared" si="12"/>
        <v>2.8560389997894974E-2</v>
      </c>
      <c r="F34" s="3029">
        <f t="shared" ref="F34:I34" si="13">IF(SUM(F35:F36)=0,"NO",SUM(F35:F36))</f>
        <v>8.8323480079595313</v>
      </c>
      <c r="G34" s="3029">
        <f t="shared" si="13"/>
        <v>3.251283183207982</v>
      </c>
      <c r="H34" s="3029">
        <f t="shared" si="13"/>
        <v>0.52004433917145731</v>
      </c>
      <c r="I34" s="3030">
        <f t="shared" si="13"/>
        <v>0.35086640869416202</v>
      </c>
      <c r="J34" s="3031">
        <f t="shared" si="1"/>
        <v>1025.5663549757403</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1017.0580667465537</v>
      </c>
      <c r="D36" s="3044">
        <f>'Table1.A(a)s4'!I108</f>
        <v>3.3563745705155655E-2</v>
      </c>
      <c r="E36" s="3044">
        <f>'Table1.A(a)s4'!J108</f>
        <v>2.8560389997894974E-2</v>
      </c>
      <c r="F36" s="3040">
        <v>8.8323480079595313</v>
      </c>
      <c r="G36" s="3040">
        <v>3.251283183207982</v>
      </c>
      <c r="H36" s="3040">
        <v>0.52004433917145731</v>
      </c>
      <c r="I36" s="3041">
        <v>0.35086640869416202</v>
      </c>
      <c r="J36" s="3042">
        <f t="shared" si="1"/>
        <v>1025.5663549757403</v>
      </c>
    </row>
    <row r="37" spans="2:10" ht="18" customHeight="1" thickBot="1" x14ac:dyDescent="0.25">
      <c r="B37" s="18" t="s">
        <v>99</v>
      </c>
      <c r="C37" s="3029">
        <f>IF(SUM(C38,C42)=0,"NO",SUM(C38,C42))</f>
        <v>9272.7076608192638</v>
      </c>
      <c r="D37" s="3029">
        <f t="shared" ref="D37:I37" si="14">IF(SUM(D38,D42)=0,"NO",SUM(D38,D42))</f>
        <v>1207.0268585977747</v>
      </c>
      <c r="E37" s="3029">
        <f t="shared" si="14"/>
        <v>0.1114898963077284</v>
      </c>
      <c r="F37" s="3029">
        <f t="shared" si="14"/>
        <v>1.8038223152800794</v>
      </c>
      <c r="G37" s="3029">
        <f t="shared" si="14"/>
        <v>10.462169428624462</v>
      </c>
      <c r="H37" s="3029">
        <f t="shared" si="14"/>
        <v>226.01860786118124</v>
      </c>
      <c r="I37" s="3030" t="str">
        <f t="shared" si="14"/>
        <v>NO</v>
      </c>
      <c r="J37" s="3031">
        <f t="shared" si="1"/>
        <v>43099.004524078504</v>
      </c>
    </row>
    <row r="38" spans="2:10" ht="18" customHeight="1" x14ac:dyDescent="0.2">
      <c r="B38" s="26" t="s">
        <v>100</v>
      </c>
      <c r="C38" s="3029">
        <f>IF(SUM(C39:C41)=0,"NO",SUM(C39:C41))</f>
        <v>1837.8700527484677</v>
      </c>
      <c r="D38" s="3029">
        <f t="shared" ref="D38" si="15">IF(SUM(D39:D41)=0,"NO",SUM(D39:D41))</f>
        <v>994.09948450951879</v>
      </c>
      <c r="E38" s="3029">
        <f t="shared" ref="E38" si="16">IF(SUM(E39:E41)=0,"NO",SUM(E39:E41))</f>
        <v>1.4676359872572309E-3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29673.044542551615</v>
      </c>
    </row>
    <row r="39" spans="2:10" ht="18" customHeight="1" x14ac:dyDescent="0.2">
      <c r="B39" s="20" t="s">
        <v>101</v>
      </c>
      <c r="C39" s="3032">
        <f>'Table1.B.1'!G10</f>
        <v>1837.8700527484677</v>
      </c>
      <c r="D39" s="3032">
        <f>SUM('Table1.B.1'!F10,'Table1.B.1'!H10)</f>
        <v>994.09948450951879</v>
      </c>
      <c r="E39" s="3033">
        <v>1.4676359872572309E-3</v>
      </c>
      <c r="F39" s="3033" t="s">
        <v>2146</v>
      </c>
      <c r="G39" s="3033" t="s">
        <v>2146</v>
      </c>
      <c r="H39" s="3033" t="s">
        <v>2146</v>
      </c>
      <c r="I39" s="2931"/>
      <c r="J39" s="3035">
        <f t="shared" si="1"/>
        <v>29673.044542551615</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7434.8376080707958</v>
      </c>
      <c r="D42" s="3029">
        <f t="shared" ref="D42:I42" si="21">IF(SUM(D43:D46)=0,"NO",SUM(D43:D46))</f>
        <v>212.92737408825582</v>
      </c>
      <c r="E42" s="3029">
        <f t="shared" si="21"/>
        <v>0.11002226032047117</v>
      </c>
      <c r="F42" s="3029">
        <f t="shared" si="21"/>
        <v>1.8038223152800794</v>
      </c>
      <c r="G42" s="3029">
        <f t="shared" si="21"/>
        <v>10.462169428624462</v>
      </c>
      <c r="H42" s="3029">
        <f t="shared" si="21"/>
        <v>226.01860786118124</v>
      </c>
      <c r="I42" s="3030" t="str">
        <f t="shared" si="21"/>
        <v>NO</v>
      </c>
      <c r="J42" s="3031">
        <f t="shared" ref="J42:J59" si="22">IF(SUM(C42:E42)=0,"NO",SUM(C42,IFERROR(28*D42,0),IFERROR(265*E42,0)))</f>
        <v>13425.959981526885</v>
      </c>
    </row>
    <row r="43" spans="2:10" ht="18" customHeight="1" x14ac:dyDescent="0.2">
      <c r="B43" s="20" t="s">
        <v>103</v>
      </c>
      <c r="C43" s="3032">
        <f>'Table1.B.2'!I10</f>
        <v>200.04990489814813</v>
      </c>
      <c r="D43" s="3032">
        <f>'Table1.B.2'!J10</f>
        <v>3.7926987804482053</v>
      </c>
      <c r="E43" s="3032">
        <f>'Table1.B.2'!K10</f>
        <v>6.0126316500000001E-3</v>
      </c>
      <c r="F43" s="3033">
        <v>0.11134503055555556</v>
      </c>
      <c r="G43" s="3033">
        <v>0.64580117722222219</v>
      </c>
      <c r="H43" s="3033">
        <v>126.90603094849965</v>
      </c>
      <c r="I43" s="3034" t="s">
        <v>2146</v>
      </c>
      <c r="J43" s="3035">
        <f t="shared" si="22"/>
        <v>307.8388181379479</v>
      </c>
    </row>
    <row r="44" spans="2:10" ht="18" customHeight="1" x14ac:dyDescent="0.2">
      <c r="B44" s="20" t="s">
        <v>104</v>
      </c>
      <c r="C44" s="3032">
        <f>SUM('Table1.B.2'!I21,'Table1.B.2'!L21)</f>
        <v>120.03403031596295</v>
      </c>
      <c r="D44" s="3032">
        <f>'Table1.B.2'!J21</f>
        <v>142.98145985453488</v>
      </c>
      <c r="E44" s="3032">
        <f>'Table1.B.2'!K21</f>
        <v>3.2804166372299996E-3</v>
      </c>
      <c r="F44" s="3033">
        <v>6.0748456245000006E-2</v>
      </c>
      <c r="G44" s="3033">
        <v>0.35234104622099999</v>
      </c>
      <c r="H44" s="3033">
        <v>82.79528862788635</v>
      </c>
      <c r="I44" s="3034" t="s">
        <v>2146</v>
      </c>
      <c r="J44" s="3035">
        <f t="shared" si="22"/>
        <v>4124.3842166518052</v>
      </c>
    </row>
    <row r="45" spans="2:10" ht="18" customHeight="1" x14ac:dyDescent="0.2">
      <c r="B45" s="20" t="s">
        <v>105</v>
      </c>
      <c r="C45" s="3032">
        <f>'Table1.B.2'!I35</f>
        <v>7114.7536728566847</v>
      </c>
      <c r="D45" s="3032">
        <f>'Table1.B.2'!J35</f>
        <v>66.153215453272736</v>
      </c>
      <c r="E45" s="3032">
        <f>'Table1.B.2'!K35</f>
        <v>0.10072921203324117</v>
      </c>
      <c r="F45" s="3033">
        <v>1.6317288284795239</v>
      </c>
      <c r="G45" s="3033">
        <v>9.4640272051812389</v>
      </c>
      <c r="H45" s="3033">
        <v>16.317288284795239</v>
      </c>
      <c r="I45" s="3034" t="s">
        <v>2146</v>
      </c>
      <c r="J45" s="3035">
        <f t="shared" si="22"/>
        <v>8993.73694673713</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14128.3205</v>
      </c>
      <c r="D52" s="3032">
        <f t="shared" ref="D52:I52" si="23">IF(SUM(D53:D54)=0,"NO",SUM(D53:D54))</f>
        <v>0.23731321000000002</v>
      </c>
      <c r="E52" s="3032">
        <f t="shared" si="23"/>
        <v>0.12093147292210527</v>
      </c>
      <c r="F52" s="3032">
        <f t="shared" si="23"/>
        <v>121.08885137757896</v>
      </c>
      <c r="G52" s="3032">
        <f t="shared" si="23"/>
        <v>20.220152621052634</v>
      </c>
      <c r="H52" s="3032">
        <f t="shared" si="23"/>
        <v>10.923580138968422</v>
      </c>
      <c r="I52" s="3055">
        <f t="shared" si="23"/>
        <v>38.552840493927128</v>
      </c>
      <c r="J52" s="3035">
        <f t="shared" si="22"/>
        <v>14167.012110204358</v>
      </c>
    </row>
    <row r="53" spans="2:10" ht="18" customHeight="1" x14ac:dyDescent="0.2">
      <c r="B53" s="164" t="s">
        <v>111</v>
      </c>
      <c r="C53" s="3032">
        <f>Table1.D!G10</f>
        <v>11893.248</v>
      </c>
      <c r="D53" s="3032">
        <f>Table1.D!H10</f>
        <v>2.4198210000000005E-2</v>
      </c>
      <c r="E53" s="3032">
        <f>Table1.D!I10</f>
        <v>6.0041472922105266E-2</v>
      </c>
      <c r="F53" s="3033">
        <v>60.843551377578954</v>
      </c>
      <c r="G53" s="3033">
        <v>18.697907621052632</v>
      </c>
      <c r="H53" s="3033">
        <v>9.031640138968422</v>
      </c>
      <c r="I53" s="3034">
        <v>1.4012160000000002</v>
      </c>
      <c r="J53" s="3035">
        <f t="shared" si="22"/>
        <v>11909.836540204356</v>
      </c>
    </row>
    <row r="54" spans="2:10" ht="18" customHeight="1" x14ac:dyDescent="0.2">
      <c r="B54" s="164" t="s">
        <v>112</v>
      </c>
      <c r="C54" s="3032">
        <f>Table1.D!G14</f>
        <v>2235.0724999999998</v>
      </c>
      <c r="D54" s="3032">
        <f>Table1.D!H14</f>
        <v>0.21311500000000003</v>
      </c>
      <c r="E54" s="3032">
        <f>Table1.D!I14</f>
        <v>6.0890000000000007E-2</v>
      </c>
      <c r="F54" s="3033">
        <v>60.245300000000007</v>
      </c>
      <c r="G54" s="3033">
        <v>1.5222450000000001</v>
      </c>
      <c r="H54" s="3033">
        <v>1.8919400000000002</v>
      </c>
      <c r="I54" s="3034">
        <v>37.15162449392713</v>
      </c>
      <c r="J54" s="3035">
        <f t="shared" si="22"/>
        <v>2257.1755699999999</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17928.42126602283</v>
      </c>
      <c r="D56" s="3056"/>
      <c r="E56" s="3056"/>
      <c r="F56" s="3056"/>
      <c r="G56" s="3056"/>
      <c r="H56" s="3056"/>
      <c r="I56" s="2971"/>
      <c r="J56" s="3039">
        <f t="shared" si="22"/>
        <v>17928.42126602283</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131642.29183168599</v>
      </c>
      <c r="D10" s="3549" t="s">
        <v>2146</v>
      </c>
      <c r="E10" s="3549">
        <v>20.291350920999999</v>
      </c>
      <c r="F10" s="3549">
        <v>471.13046581700002</v>
      </c>
      <c r="G10" s="3549" t="s">
        <v>2146</v>
      </c>
      <c r="H10" s="3549" t="s">
        <v>2146</v>
      </c>
      <c r="I10" s="3549" t="s">
        <v>2146</v>
      </c>
      <c r="J10" s="3549">
        <v>17.358888920999998</v>
      </c>
      <c r="K10" s="3549" t="s">
        <v>2146</v>
      </c>
      <c r="L10" s="3549" t="s">
        <v>2146</v>
      </c>
      <c r="M10" s="3550">
        <f>IF(SUM(C10:L10)=0,"NO",SUM(C10:L10))</f>
        <v>132151.072537345</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19.016287141999999</v>
      </c>
      <c r="D12" s="3549" t="s">
        <v>2146</v>
      </c>
      <c r="E12" s="3549">
        <v>39957.140429938998</v>
      </c>
      <c r="F12" s="3549" t="s">
        <v>2153</v>
      </c>
      <c r="G12" s="3549" t="s">
        <v>2146</v>
      </c>
      <c r="H12" s="3549" t="s">
        <v>2153</v>
      </c>
      <c r="I12" s="3549" t="s">
        <v>2146</v>
      </c>
      <c r="J12" s="3549" t="s">
        <v>2153</v>
      </c>
      <c r="K12" s="3549" t="s">
        <v>2146</v>
      </c>
      <c r="L12" s="3549" t="s">
        <v>2146</v>
      </c>
      <c r="M12" s="3550">
        <f t="shared" si="0"/>
        <v>39976.156717081001</v>
      </c>
    </row>
    <row r="13" spans="2:13" ht="18" customHeight="1" x14ac:dyDescent="0.2">
      <c r="B13" s="2277" t="s">
        <v>1961</v>
      </c>
      <c r="C13" s="3549">
        <v>749.30885365200004</v>
      </c>
      <c r="D13" s="3549" t="s">
        <v>2146</v>
      </c>
      <c r="E13" s="3549" t="s">
        <v>2153</v>
      </c>
      <c r="F13" s="3549">
        <v>520555.057503285</v>
      </c>
      <c r="G13" s="3549" t="s">
        <v>2146</v>
      </c>
      <c r="H13" s="3549" t="s">
        <v>2153</v>
      </c>
      <c r="I13" s="3549" t="s">
        <v>2146</v>
      </c>
      <c r="J13" s="3549" t="s">
        <v>2153</v>
      </c>
      <c r="K13" s="3549" t="s">
        <v>2146</v>
      </c>
      <c r="L13" s="3549" t="s">
        <v>2146</v>
      </c>
      <c r="M13" s="3550">
        <f t="shared" si="0"/>
        <v>521304.36635693698</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9.0203837240000002</v>
      </c>
      <c r="D15" s="3549" t="s">
        <v>2146</v>
      </c>
      <c r="E15" s="3549">
        <v>0.63304705100000003</v>
      </c>
      <c r="F15" s="3549">
        <v>2.443871627</v>
      </c>
      <c r="G15" s="3549" t="s">
        <v>2146</v>
      </c>
      <c r="H15" s="3549">
        <v>13174.096234586001</v>
      </c>
      <c r="I15" s="3549" t="s">
        <v>2146</v>
      </c>
      <c r="J15" s="3549" t="s">
        <v>2146</v>
      </c>
      <c r="K15" s="3549" t="s">
        <v>2146</v>
      </c>
      <c r="L15" s="3549" t="s">
        <v>2146</v>
      </c>
      <c r="M15" s="3550">
        <f t="shared" si="0"/>
        <v>13186.193536988001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9.9093571300000001</v>
      </c>
      <c r="D17" s="3549" t="s">
        <v>2146</v>
      </c>
      <c r="E17" s="3549" t="s">
        <v>2146</v>
      </c>
      <c r="F17" s="3549" t="s">
        <v>2146</v>
      </c>
      <c r="G17" s="3549" t="s">
        <v>2146</v>
      </c>
      <c r="H17" s="3549" t="s">
        <v>2146</v>
      </c>
      <c r="I17" s="3549" t="s">
        <v>2146</v>
      </c>
      <c r="J17" s="3549">
        <v>1508.6726486990001</v>
      </c>
      <c r="K17" s="3549" t="s">
        <v>2146</v>
      </c>
      <c r="L17" s="3549" t="s">
        <v>2146</v>
      </c>
      <c r="M17" s="3550">
        <f t="shared" si="0"/>
        <v>1518.5820058290001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132429.54671333401</v>
      </c>
      <c r="D20" s="3551" t="str">
        <f t="shared" ref="D20:L20" si="1">IF(SUM(D10:D19)=0,"NO",SUM(D10:D19))</f>
        <v>NO</v>
      </c>
      <c r="E20" s="3551">
        <f t="shared" si="1"/>
        <v>39978.064827910996</v>
      </c>
      <c r="F20" s="3551">
        <f t="shared" si="1"/>
        <v>521028.63184072898</v>
      </c>
      <c r="G20" s="3551" t="str">
        <f t="shared" si="1"/>
        <v>NO</v>
      </c>
      <c r="H20" s="3551">
        <f t="shared" si="1"/>
        <v>13174.096234586001</v>
      </c>
      <c r="I20" s="3551" t="str">
        <f t="shared" si="1"/>
        <v>NO</v>
      </c>
      <c r="J20" s="3551">
        <f t="shared" si="1"/>
        <v>1526.0315376200001</v>
      </c>
      <c r="K20" s="3551">
        <f t="shared" si="1"/>
        <v>60692.328845821001</v>
      </c>
      <c r="L20" s="3551" t="str">
        <f t="shared" si="1"/>
        <v>NO</v>
      </c>
      <c r="M20" s="3550">
        <f t="shared" si="0"/>
        <v>768828.700000001</v>
      </c>
    </row>
    <row r="21" spans="2:13" ht="18" customHeight="1" thickBot="1" x14ac:dyDescent="0.25">
      <c r="B21" s="2279" t="s">
        <v>1968</v>
      </c>
      <c r="C21" s="3552">
        <f>IF(SUM(C20)=0,"NO",C20-M10)</f>
        <v>278.47417598901666</v>
      </c>
      <c r="D21" s="3552" t="str">
        <f>IF(SUM(D20)=0,"NO",D20-M11)</f>
        <v>NO</v>
      </c>
      <c r="E21" s="3552">
        <f>IF(SUM(E20)=0,"NO",E20-M12)</f>
        <v>1.9081108299942571</v>
      </c>
      <c r="F21" s="3552">
        <f>IF(SUM(F20)=0,"NO",F20-M13)</f>
        <v>-275.73451620800188</v>
      </c>
      <c r="G21" s="3552" t="str">
        <f>IF(SUM(G20)=0,"NO",G20-M14)</f>
        <v>NO</v>
      </c>
      <c r="H21" s="3552">
        <f>IF(SUM(H20)=0,"NO",H20-M15)</f>
        <v>-12.097302402000423</v>
      </c>
      <c r="I21" s="3552" t="str">
        <f>IF(SUM(I20)=0,"NO",I20-M16)</f>
        <v>NO</v>
      </c>
      <c r="J21" s="3552">
        <f>IF(SUM(J20)=0,"NO",J20-M17)</f>
        <v>7.4495317910000267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132591.09527125789</v>
      </c>
      <c r="E10" s="3556">
        <f t="shared" ref="E10:U10" si="0">IF(SUM(E11,E16)=0,"IE",SUM(E11,E16))</f>
        <v>132429.54671333209</v>
      </c>
      <c r="F10" s="3557">
        <f t="shared" si="0"/>
        <v>161.54855792579193</v>
      </c>
      <c r="G10" s="3558">
        <f t="shared" ref="G10:K11" si="1">IFERROR(IF(SUM($D10)=0,"NA",N10/$D10),"NA")</f>
        <v>0.14155810642832534</v>
      </c>
      <c r="H10" s="3078">
        <f t="shared" si="1"/>
        <v>-1.6270516092021171E-2</v>
      </c>
      <c r="I10" s="3078">
        <f t="shared" si="1"/>
        <v>0.12528759033630416</v>
      </c>
      <c r="J10" s="3078">
        <f t="shared" si="1"/>
        <v>4.2722564903117603E-3</v>
      </c>
      <c r="K10" s="3078">
        <f t="shared" si="1"/>
        <v>5.6094869282360899E-3</v>
      </c>
      <c r="L10" s="3078">
        <f>IFERROR(IF(SUM(E10)=0,"NA",S10/E10),"NA")</f>
        <v>-1.9379435118517464E-2</v>
      </c>
      <c r="M10" s="3128">
        <f>IFERROR(IF(SUM(F10)=0,"NA",T10/F10),"NA")</f>
        <v>-0.15926521825974863</v>
      </c>
      <c r="N10" s="3559">
        <f t="shared" si="0"/>
        <v>18769.344375856948</v>
      </c>
      <c r="O10" s="3560">
        <f t="shared" si="0"/>
        <v>-2157.3255492697135</v>
      </c>
      <c r="P10" s="3560">
        <f t="shared" si="0"/>
        <v>16612.018826587235</v>
      </c>
      <c r="Q10" s="3560">
        <f t="shared" si="0"/>
        <v>566.46316733017647</v>
      </c>
      <c r="R10" s="3560">
        <f t="shared" si="0"/>
        <v>743.76801572462716</v>
      </c>
      <c r="S10" s="3560">
        <f t="shared" si="0"/>
        <v>-2566.409808305697</v>
      </c>
      <c r="T10" s="3561">
        <f t="shared" si="0"/>
        <v>-25.729066337598894</v>
      </c>
      <c r="U10" s="3562">
        <f t="shared" si="0"/>
        <v>-56210.407494995394</v>
      </c>
      <c r="W10" s="2396"/>
    </row>
    <row r="11" spans="2:23" ht="18" customHeight="1" x14ac:dyDescent="0.2">
      <c r="B11" s="502" t="s">
        <v>982</v>
      </c>
      <c r="C11" s="2256"/>
      <c r="D11" s="3563">
        <f>IF(SUM(D12:D15)=0,"IE",SUM(D12:D15))</f>
        <v>120259.367316182</v>
      </c>
      <c r="E11" s="3564">
        <f t="shared" ref="E11:U11" si="2">IF(SUM(E12:E15)=0,"IE",SUM(E12:E15))</f>
        <v>120259.367316182</v>
      </c>
      <c r="F11" s="3565" t="str">
        <f t="shared" si="2"/>
        <v>IE</v>
      </c>
      <c r="G11" s="3558">
        <f t="shared" si="1"/>
        <v>6.7162731709773341E-2</v>
      </c>
      <c r="H11" s="3078">
        <f t="shared" si="1"/>
        <v>-1.7938939788347163E-2</v>
      </c>
      <c r="I11" s="3078">
        <f t="shared" si="1"/>
        <v>4.9223791921426174E-2</v>
      </c>
      <c r="J11" s="3078">
        <f t="shared" si="1"/>
        <v>-3.2178338440321695E-3</v>
      </c>
      <c r="K11" s="3078">
        <f t="shared" si="1"/>
        <v>2.6839054404618531E-3</v>
      </c>
      <c r="L11" s="3078">
        <f t="shared" ref="L11:L28" si="3">IFERROR(IF(SUM(E11)=0,"NA",S11/E11),"NA")</f>
        <v>-3.8183923470491024E-3</v>
      </c>
      <c r="M11" s="3128" t="str">
        <f t="shared" ref="M11:M28" si="4">IFERROR(IF(SUM(F11)=0,"NA",T11/F11),"NA")</f>
        <v>NA</v>
      </c>
      <c r="N11" s="3109">
        <f t="shared" si="2"/>
        <v>8076.9476226438164</v>
      </c>
      <c r="O11" s="3109">
        <f t="shared" si="2"/>
        <v>-2157.3255492697135</v>
      </c>
      <c r="P11" s="3109">
        <f t="shared" si="2"/>
        <v>5919.6220733741029</v>
      </c>
      <c r="Q11" s="3109">
        <f t="shared" si="2"/>
        <v>-386.9746622119066</v>
      </c>
      <c r="R11" s="3566">
        <f t="shared" si="2"/>
        <v>322.76477020640124</v>
      </c>
      <c r="S11" s="3566">
        <f t="shared" si="2"/>
        <v>-459.19744782107631</v>
      </c>
      <c r="T11" s="3566" t="str">
        <f t="shared" si="2"/>
        <v>IE</v>
      </c>
      <c r="U11" s="3567">
        <f t="shared" si="2"/>
        <v>-19786.120689674244</v>
      </c>
      <c r="W11" s="2397"/>
    </row>
    <row r="12" spans="2:23" ht="18" customHeight="1" x14ac:dyDescent="0.2">
      <c r="B12" s="500"/>
      <c r="C12" s="508" t="s">
        <v>2220</v>
      </c>
      <c r="D12" s="3568">
        <f>IF(SUM(E12:F12)=0,E12,SUM(E12:F12))</f>
        <v>12262.915525942402</v>
      </c>
      <c r="E12" s="3569">
        <v>12262.915525942402</v>
      </c>
      <c r="F12" s="3554" t="s">
        <v>2153</v>
      </c>
      <c r="G12" s="3558">
        <f>IFERROR(IF(SUM($D12)=0,"NA",N12/$D12),"NA")</f>
        <v>0.65423909032779204</v>
      </c>
      <c r="H12" s="3078" t="str">
        <f>IFERROR(IF(SUM($D12)=0,"NA",O12/$D12),"NA")</f>
        <v>NA</v>
      </c>
      <c r="I12" s="3078">
        <f>IFERROR(IF(SUM($D12)=0,"NA",P12/$D12),"NA")</f>
        <v>0.65423909032779204</v>
      </c>
      <c r="J12" s="3078">
        <f>IFERROR(IF(SUM($D12)=0,"NA",Q12/$D12),"NA")</f>
        <v>-3.5992536957962826E-2</v>
      </c>
      <c r="K12" s="3078">
        <f>IFERROR(IF(SUM($D12)=0,"NA",R12/$D12),"NA")</f>
        <v>2.6213187320345464E-2</v>
      </c>
      <c r="L12" s="3078">
        <f t="shared" si="3"/>
        <v>-6.1084949856320001E-2</v>
      </c>
      <c r="M12" s="3128" t="str">
        <f t="shared" si="4"/>
        <v>NA</v>
      </c>
      <c r="N12" s="2905">
        <v>8022.8786984591143</v>
      </c>
      <c r="O12" s="2905" t="s">
        <v>2153</v>
      </c>
      <c r="P12" s="3109">
        <f>IF(SUM(N12:O12)=0,N12,SUM(N12:O12))</f>
        <v>8022.8786984591143</v>
      </c>
      <c r="Q12" s="2905">
        <v>-441.37344027985807</v>
      </c>
      <c r="R12" s="2906">
        <v>321.4501017751009</v>
      </c>
      <c r="S12" s="2906">
        <v>-749.07957999447967</v>
      </c>
      <c r="T12" s="2906" t="s">
        <v>2153</v>
      </c>
      <c r="U12" s="3570">
        <f>IF(SUM(P12:T12)=0,P12,SUM(P12:T12)*-44/12)</f>
        <v>-26230.877859852884</v>
      </c>
      <c r="W12" s="2398"/>
    </row>
    <row r="13" spans="2:23" ht="18" customHeight="1" x14ac:dyDescent="0.2">
      <c r="B13" s="500"/>
      <c r="C13" s="508" t="s">
        <v>2221</v>
      </c>
      <c r="D13" s="3568">
        <f t="shared" ref="D13:D15" si="5">IF(SUM(E13:F13)=0,E13,SUM(E13:F13))</f>
        <v>682.24894237664148</v>
      </c>
      <c r="E13" s="3569">
        <v>682.24894237664148</v>
      </c>
      <c r="F13" s="3554" t="s">
        <v>2153</v>
      </c>
      <c r="G13" s="3558" t="str">
        <f t="shared" ref="G13:K28" si="6">IFERROR(IF(SUM($D13)=0,"NA",N13/$D13),"NA")</f>
        <v>NA</v>
      </c>
      <c r="H13" s="3078">
        <f t="shared" si="6"/>
        <v>-1.2834889194695713</v>
      </c>
      <c r="I13" s="3078">
        <f t="shared" si="6"/>
        <v>-1.2834889194695713</v>
      </c>
      <c r="J13" s="3078">
        <f t="shared" si="6"/>
        <v>0.15363122301627302</v>
      </c>
      <c r="K13" s="3078">
        <f t="shared" si="6"/>
        <v>-4.7100635432952759E-2</v>
      </c>
      <c r="L13" s="3078">
        <f t="shared" si="3"/>
        <v>0.42489202132521797</v>
      </c>
      <c r="M13" s="3128" t="str">
        <f t="shared" si="4"/>
        <v>NA</v>
      </c>
      <c r="N13" s="2905" t="s">
        <v>2153</v>
      </c>
      <c r="O13" s="2905">
        <v>-875.65895786025339</v>
      </c>
      <c r="P13" s="3109">
        <f t="shared" ref="P13:P15" si="7">IF(SUM(N13:O13)=0,N13,SUM(N13:O13))</f>
        <v>-875.65895786025339</v>
      </c>
      <c r="Q13" s="2905">
        <v>104.81473941888221</v>
      </c>
      <c r="R13" s="2906">
        <v>-32.134358709399784</v>
      </c>
      <c r="S13" s="2906">
        <v>289.88213217340336</v>
      </c>
      <c r="T13" s="2906" t="s">
        <v>2153</v>
      </c>
      <c r="U13" s="3570">
        <f t="shared" ref="U13:U15" si="8">IF(SUM(P13:T13)=0,P13,SUM(P13:T13)*-44/12)</f>
        <v>1881.3536315836811</v>
      </c>
      <c r="W13" s="2398"/>
    </row>
    <row r="14" spans="2:23" ht="18" customHeight="1" x14ac:dyDescent="0.2">
      <c r="B14" s="500"/>
      <c r="C14" s="508" t="s">
        <v>2222</v>
      </c>
      <c r="D14" s="3568">
        <f t="shared" si="5"/>
        <v>107314.20284786297</v>
      </c>
      <c r="E14" s="3569">
        <v>107314.20284786297</v>
      </c>
      <c r="F14" s="3554" t="s">
        <v>2153</v>
      </c>
      <c r="G14" s="3558">
        <f t="shared" si="6"/>
        <v>5.0383754200135605E-4</v>
      </c>
      <c r="H14" s="3078" t="str">
        <f t="shared" si="6"/>
        <v>NA</v>
      </c>
      <c r="I14" s="3078">
        <f t="shared" si="6"/>
        <v>5.0383754200135605E-4</v>
      </c>
      <c r="J14" s="3078">
        <f t="shared" si="6"/>
        <v>-2.2092745424990345E-4</v>
      </c>
      <c r="K14" s="3078">
        <f t="shared" si="6"/>
        <v>3.116924531240297E-4</v>
      </c>
      <c r="L14" s="3078" t="str">
        <f t="shared" si="3"/>
        <v>NA</v>
      </c>
      <c r="M14" s="3128" t="str">
        <f t="shared" si="4"/>
        <v>NA</v>
      </c>
      <c r="N14" s="2905">
        <v>54.068924184702198</v>
      </c>
      <c r="O14" s="2905" t="s">
        <v>2153</v>
      </c>
      <c r="P14" s="3109">
        <f t="shared" si="7"/>
        <v>54.068924184702198</v>
      </c>
      <c r="Q14" s="2905">
        <v>-23.708653640036104</v>
      </c>
      <c r="R14" s="2906">
        <v>33.449027140700139</v>
      </c>
      <c r="S14" s="2906" t="s">
        <v>2147</v>
      </c>
      <c r="T14" s="2906" t="s">
        <v>2147</v>
      </c>
      <c r="U14" s="3570">
        <f t="shared" si="8"/>
        <v>-233.96742484634285</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-1281.6665914094601</v>
      </c>
      <c r="P15" s="3109">
        <f t="shared" si="7"/>
        <v>-1281.6665914094601</v>
      </c>
      <c r="Q15" s="2905">
        <v>-26.707307710894618</v>
      </c>
      <c r="R15" s="2906" t="s">
        <v>2147</v>
      </c>
      <c r="S15" s="2906" t="s">
        <v>2147</v>
      </c>
      <c r="T15" s="2906" t="s">
        <v>2147</v>
      </c>
      <c r="U15" s="3570">
        <f t="shared" si="8"/>
        <v>4797.3709634413008</v>
      </c>
      <c r="W15" s="2398"/>
    </row>
    <row r="16" spans="2:23" ht="18" customHeight="1" x14ac:dyDescent="0.2">
      <c r="B16" s="485" t="s">
        <v>1041</v>
      </c>
      <c r="C16" s="504"/>
      <c r="D16" s="3568">
        <f>IF(SUM(D17,D19,D23,D25,D27)=0,"IE",SUM(D17,D19,D23,D25,D27))</f>
        <v>12331.727955075889</v>
      </c>
      <c r="E16" s="3571">
        <f t="shared" ref="E16:T16" si="9">IF(SUM(E17,E19,E23,E25,E27)=0,"IE",SUM(E17,E19,E23,E25,E27))</f>
        <v>12170.179397150097</v>
      </c>
      <c r="F16" s="3572">
        <f t="shared" si="9"/>
        <v>161.54855792579193</v>
      </c>
      <c r="G16" s="3558">
        <f t="shared" si="6"/>
        <v>0.86706395017512627</v>
      </c>
      <c r="H16" s="3078" t="str">
        <f t="shared" si="6"/>
        <v>NA</v>
      </c>
      <c r="I16" s="3078">
        <f t="shared" si="6"/>
        <v>0.86706395017512627</v>
      </c>
      <c r="J16" s="3078">
        <f t="shared" si="6"/>
        <v>7.7315833840596246E-2</v>
      </c>
      <c r="K16" s="3078">
        <f t="shared" si="6"/>
        <v>3.4139842125282684E-2</v>
      </c>
      <c r="L16" s="3078">
        <f t="shared" si="3"/>
        <v>-0.17314554631611007</v>
      </c>
      <c r="M16" s="3128">
        <f t="shared" si="4"/>
        <v>-0.15926521825974863</v>
      </c>
      <c r="N16" s="3078">
        <f t="shared" si="9"/>
        <v>10692.396753213132</v>
      </c>
      <c r="O16" s="3078" t="str">
        <f t="shared" si="9"/>
        <v>IE</v>
      </c>
      <c r="P16" s="3078">
        <f t="shared" si="9"/>
        <v>10692.396753213132</v>
      </c>
      <c r="Q16" s="3078">
        <f t="shared" si="9"/>
        <v>953.43782954208314</v>
      </c>
      <c r="R16" s="3573">
        <f t="shared" si="9"/>
        <v>421.00324551822592</v>
      </c>
      <c r="S16" s="3573">
        <f t="shared" si="9"/>
        <v>-2107.2123604846206</v>
      </c>
      <c r="T16" s="3573">
        <f t="shared" si="9"/>
        <v>-25.729066337598894</v>
      </c>
      <c r="U16" s="3570">
        <f>IF(SUM(U17,U19,U23,U25,U27)=0,"IE",SUM(U17,U19,U23,U25,U27))</f>
        <v>-36424.28680532115</v>
      </c>
      <c r="W16" s="2019"/>
    </row>
    <row r="17" spans="2:23" ht="18" customHeight="1" x14ac:dyDescent="0.2">
      <c r="B17" s="487" t="s">
        <v>1042</v>
      </c>
      <c r="C17" s="504"/>
      <c r="D17" s="3568">
        <f>D18</f>
        <v>81.174000000000007</v>
      </c>
      <c r="E17" s="3571">
        <f t="shared" ref="E17:U17" si="10">E18</f>
        <v>81.174000000000007</v>
      </c>
      <c r="F17" s="3572" t="str">
        <f t="shared" si="10"/>
        <v>NO</v>
      </c>
      <c r="G17" s="3558">
        <f t="shared" si="6"/>
        <v>1.3237120260181829</v>
      </c>
      <c r="H17" s="3078" t="str">
        <f t="shared" si="6"/>
        <v>NA</v>
      </c>
      <c r="I17" s="3078">
        <f t="shared" si="6"/>
        <v>1.3237120260181829</v>
      </c>
      <c r="J17" s="3078">
        <f t="shared" si="6"/>
        <v>5.7518417227190977E-2</v>
      </c>
      <c r="K17" s="3078">
        <f t="shared" si="6"/>
        <v>2.7558085101140758E-2</v>
      </c>
      <c r="L17" s="3078">
        <f t="shared" si="3"/>
        <v>-0.37399906373962105</v>
      </c>
      <c r="M17" s="3128" t="str">
        <f t="shared" si="4"/>
        <v>NA</v>
      </c>
      <c r="N17" s="3078">
        <f t="shared" si="10"/>
        <v>107.45099999999999</v>
      </c>
      <c r="O17" s="3078" t="str">
        <f t="shared" si="10"/>
        <v>IE</v>
      </c>
      <c r="P17" s="3078">
        <f t="shared" si="10"/>
        <v>107.45099999999999</v>
      </c>
      <c r="Q17" s="3078">
        <f t="shared" si="10"/>
        <v>4.6690000000000005</v>
      </c>
      <c r="R17" s="3573">
        <f t="shared" si="10"/>
        <v>2.2370000000000001</v>
      </c>
      <c r="S17" s="3573">
        <f t="shared" si="10"/>
        <v>-30.359000000000002</v>
      </c>
      <c r="T17" s="3573" t="str">
        <f t="shared" si="10"/>
        <v>NO</v>
      </c>
      <c r="U17" s="3570">
        <f t="shared" si="10"/>
        <v>-307.99266666666659</v>
      </c>
      <c r="W17" s="2019"/>
    </row>
    <row r="18" spans="2:23" ht="18" customHeight="1" x14ac:dyDescent="0.2">
      <c r="B18" s="488"/>
      <c r="C18" s="508" t="s">
        <v>278</v>
      </c>
      <c r="D18" s="3568">
        <f>IF(SUM(E18:F18)=0,E18,SUM(E18:F18))</f>
        <v>81.174000000000007</v>
      </c>
      <c r="E18" s="3569">
        <v>81.174000000000007</v>
      </c>
      <c r="F18" s="3554" t="s">
        <v>2146</v>
      </c>
      <c r="G18" s="3558">
        <f t="shared" si="6"/>
        <v>1.3237120260181829</v>
      </c>
      <c r="H18" s="3078" t="str">
        <f t="shared" si="6"/>
        <v>NA</v>
      </c>
      <c r="I18" s="3078">
        <f t="shared" si="6"/>
        <v>1.3237120260181829</v>
      </c>
      <c r="J18" s="3078">
        <f t="shared" si="6"/>
        <v>5.7518417227190977E-2</v>
      </c>
      <c r="K18" s="3078">
        <f t="shared" si="6"/>
        <v>2.7558085101140758E-2</v>
      </c>
      <c r="L18" s="3078">
        <f t="shared" si="3"/>
        <v>-0.37399906373962105</v>
      </c>
      <c r="M18" s="3128" t="str">
        <f t="shared" si="4"/>
        <v>NA</v>
      </c>
      <c r="N18" s="2905">
        <v>107.45099999999999</v>
      </c>
      <c r="O18" s="2905" t="s">
        <v>2153</v>
      </c>
      <c r="P18" s="3109">
        <f>IF(SUM(N18:O18)=0,N18,SUM(N18:O18))</f>
        <v>107.45099999999999</v>
      </c>
      <c r="Q18" s="2905">
        <v>4.6690000000000005</v>
      </c>
      <c r="R18" s="2906">
        <v>2.2370000000000001</v>
      </c>
      <c r="S18" s="2906">
        <v>-30.359000000000002</v>
      </c>
      <c r="T18" s="2906" t="s">
        <v>2146</v>
      </c>
      <c r="U18" s="3570">
        <f t="shared" ref="U18" si="11">IF(SUM(P18:T18)=0,P18,SUM(P18:T18)*-44/12)</f>
        <v>-307.99266666666659</v>
      </c>
      <c r="W18" s="2398"/>
    </row>
    <row r="19" spans="2:23" ht="18" customHeight="1" x14ac:dyDescent="0.2">
      <c r="B19" s="487" t="s">
        <v>1043</v>
      </c>
      <c r="C19" s="504"/>
      <c r="D19" s="3563">
        <f>IF(SUM(D20:D22)=0,"IE",SUM(D20:D22))</f>
        <v>12024.988397150097</v>
      </c>
      <c r="E19" s="3571">
        <f t="shared" ref="E19:U19" si="12">IF(SUM(E20:E22)=0,"IE",SUM(E20:E22))</f>
        <v>12024.988397150097</v>
      </c>
      <c r="F19" s="3572" t="str">
        <f t="shared" si="12"/>
        <v>IE</v>
      </c>
      <c r="G19" s="3558">
        <f t="shared" si="6"/>
        <v>0.77233322256986769</v>
      </c>
      <c r="H19" s="3078" t="str">
        <f t="shared" si="6"/>
        <v>NA</v>
      </c>
      <c r="I19" s="3078">
        <f t="shared" si="6"/>
        <v>0.77233322256986769</v>
      </c>
      <c r="J19" s="3078">
        <f t="shared" si="6"/>
        <v>8.6647187901556649E-2</v>
      </c>
      <c r="K19" s="3078">
        <f t="shared" si="6"/>
        <v>3.1777026692897919E-2</v>
      </c>
      <c r="L19" s="3078">
        <f t="shared" si="3"/>
        <v>-0.16980950775541381</v>
      </c>
      <c r="M19" s="3128" t="str">
        <f t="shared" si="4"/>
        <v>NA</v>
      </c>
      <c r="N19" s="3078">
        <f t="shared" si="12"/>
        <v>9287.298040136202</v>
      </c>
      <c r="O19" s="3078" t="str">
        <f t="shared" si="12"/>
        <v>IE</v>
      </c>
      <c r="P19" s="3078">
        <f t="shared" si="12"/>
        <v>9287.298040136202</v>
      </c>
      <c r="Q19" s="3078">
        <f t="shared" si="12"/>
        <v>1041.931429161903</v>
      </c>
      <c r="R19" s="3573">
        <f t="shared" si="12"/>
        <v>382.1183772780264</v>
      </c>
      <c r="S19" s="3573">
        <f t="shared" si="12"/>
        <v>-2041.9573604846205</v>
      </c>
      <c r="T19" s="3573" t="str">
        <f t="shared" si="12"/>
        <v>IE</v>
      </c>
      <c r="U19" s="3570">
        <f t="shared" si="12"/>
        <v>-31787.765115668873</v>
      </c>
      <c r="W19" s="2019"/>
    </row>
    <row r="20" spans="2:23" ht="18" customHeight="1" x14ac:dyDescent="0.2">
      <c r="B20" s="496"/>
      <c r="C20" s="508" t="s">
        <v>2223</v>
      </c>
      <c r="D20" s="3568">
        <f>IF(SUM(E20:F20)=0,E20,SUM(E20:F20))</f>
        <v>3302.8200000000052</v>
      </c>
      <c r="E20" s="3569">
        <v>3302.8200000000052</v>
      </c>
      <c r="F20" s="3554" t="s">
        <v>2146</v>
      </c>
      <c r="G20" s="3558">
        <f t="shared" si="6"/>
        <v>1.1929623776045906</v>
      </c>
      <c r="H20" s="3078" t="str">
        <f t="shared" si="6"/>
        <v>NA</v>
      </c>
      <c r="I20" s="3078">
        <f t="shared" si="6"/>
        <v>1.1929623776045906</v>
      </c>
      <c r="J20" s="3078">
        <f t="shared" si="6"/>
        <v>6.1825046475436012E-2</v>
      </c>
      <c r="K20" s="3078">
        <f t="shared" si="6"/>
        <v>2.7330886939039879E-2</v>
      </c>
      <c r="L20" s="3078">
        <f t="shared" si="3"/>
        <v>-0.34663953833390815</v>
      </c>
      <c r="M20" s="3128" t="str">
        <f t="shared" si="4"/>
        <v>NA</v>
      </c>
      <c r="N20" s="2905">
        <v>3940.1400000000003</v>
      </c>
      <c r="O20" s="2905" t="s">
        <v>2153</v>
      </c>
      <c r="P20" s="3109">
        <f>IF(SUM(N20:O20)=0,N20,SUM(N20:O20))</f>
        <v>3940.1400000000003</v>
      </c>
      <c r="Q20" s="2905">
        <v>204.19699999999989</v>
      </c>
      <c r="R20" s="2906">
        <v>90.268999999999835</v>
      </c>
      <c r="S20" s="2906">
        <v>-1144.8880000000004</v>
      </c>
      <c r="T20" s="2906" t="s">
        <v>2146</v>
      </c>
      <c r="U20" s="3570">
        <f t="shared" ref="U20:U22" si="13">IF(SUM(P20:T20)=0,P20,SUM(P20:T20)*-44/12)</f>
        <v>-11328.966</v>
      </c>
      <c r="W20" s="2398"/>
    </row>
    <row r="21" spans="2:23" ht="18" customHeight="1" x14ac:dyDescent="0.2">
      <c r="B21" s="500"/>
      <c r="C21" s="508" t="s">
        <v>2291</v>
      </c>
      <c r="D21" s="3568">
        <f>IF(SUM(E21:F21)=0,E21,SUM(E21:F21))</f>
        <v>8722.1683971500916</v>
      </c>
      <c r="E21" s="3569">
        <v>8722.1683971500916</v>
      </c>
      <c r="F21" s="3554" t="s">
        <v>2146</v>
      </c>
      <c r="G21" s="3558">
        <f t="shared" si="6"/>
        <v>0.61298760785381723</v>
      </c>
      <c r="H21" s="3078" t="str">
        <f t="shared" si="6"/>
        <v>NA</v>
      </c>
      <c r="I21" s="3078">
        <f t="shared" si="6"/>
        <v>0.61298760785381723</v>
      </c>
      <c r="J21" s="3078">
        <f t="shared" si="6"/>
        <v>9.6037079813907966E-2</v>
      </c>
      <c r="K21" s="3078">
        <f t="shared" si="6"/>
        <v>3.346064464581839E-2</v>
      </c>
      <c r="L21" s="3078">
        <f t="shared" si="3"/>
        <v>-0.10284935117484449</v>
      </c>
      <c r="M21" s="3128" t="str">
        <f t="shared" si="4"/>
        <v>NA</v>
      </c>
      <c r="N21" s="2905">
        <v>5346.5811410671977</v>
      </c>
      <c r="O21" s="2905" t="s">
        <v>2153</v>
      </c>
      <c r="P21" s="3109">
        <f t="shared" ref="P21:P28" si="14">IF(SUM(N21:O21)=0,N21,SUM(N21:O21))</f>
        <v>5346.5811410671977</v>
      </c>
      <c r="Q21" s="2905">
        <v>837.65158250744901</v>
      </c>
      <c r="R21" s="2906">
        <v>291.84937727802657</v>
      </c>
      <c r="S21" s="2906">
        <v>-897.06936048462023</v>
      </c>
      <c r="T21" s="2906" t="s">
        <v>2146</v>
      </c>
      <c r="U21" s="3570">
        <f t="shared" si="13"/>
        <v>-20456.380048016195</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0.57689906900352739</v>
      </c>
      <c r="O22" s="2905" t="s">
        <v>2153</v>
      </c>
      <c r="P22" s="3109">
        <f t="shared" si="14"/>
        <v>0.57689906900352739</v>
      </c>
      <c r="Q22" s="2905">
        <v>8.2846654453927401E-2</v>
      </c>
      <c r="R22" s="2906" t="s">
        <v>2147</v>
      </c>
      <c r="S22" s="2906" t="s">
        <v>2147</v>
      </c>
      <c r="T22" s="2906" t="s">
        <v>2147</v>
      </c>
      <c r="U22" s="3570">
        <f t="shared" si="13"/>
        <v>-2.419067652677334</v>
      </c>
      <c r="W22" s="2398"/>
    </row>
    <row r="23" spans="2:23" ht="18" customHeight="1" x14ac:dyDescent="0.2">
      <c r="B23" s="487" t="s">
        <v>1044</v>
      </c>
      <c r="C23" s="504"/>
      <c r="D23" s="3568">
        <f>D24</f>
        <v>161.54855792579193</v>
      </c>
      <c r="E23" s="3571" t="str">
        <f t="shared" ref="E23" si="15">E24</f>
        <v>NO</v>
      </c>
      <c r="F23" s="3572">
        <f t="shared" ref="F23" si="16">F24</f>
        <v>161.54855792579193</v>
      </c>
      <c r="G23" s="3558">
        <f t="shared" si="6"/>
        <v>7.394926506404933</v>
      </c>
      <c r="H23" s="3078" t="str">
        <f t="shared" si="6"/>
        <v>NA</v>
      </c>
      <c r="I23" s="3078">
        <f t="shared" si="6"/>
        <v>7.394926506404933</v>
      </c>
      <c r="J23" s="3078">
        <f t="shared" si="6"/>
        <v>-0.61172071659850102</v>
      </c>
      <c r="K23" s="3078">
        <f t="shared" si="6"/>
        <v>0.20793666419250928</v>
      </c>
      <c r="L23" s="3078" t="str">
        <f t="shared" si="3"/>
        <v>NA</v>
      </c>
      <c r="M23" s="3128">
        <f t="shared" si="4"/>
        <v>-0.15926521825974863</v>
      </c>
      <c r="N23" s="3078">
        <f t="shared" ref="N23" si="17">N24</f>
        <v>1194.6397130769315</v>
      </c>
      <c r="O23" s="3078" t="str">
        <f t="shared" ref="O23" si="18">O24</f>
        <v>IE</v>
      </c>
      <c r="P23" s="3078">
        <f t="shared" ref="P23" si="19">P24</f>
        <v>1194.6397130769315</v>
      </c>
      <c r="Q23" s="3078">
        <f t="shared" ref="Q23" si="20">Q24</f>
        <v>-98.822599619819897</v>
      </c>
      <c r="R23" s="3573">
        <f t="shared" ref="R23" si="21">R24</f>
        <v>33.591868240199531</v>
      </c>
      <c r="S23" s="3573" t="str">
        <f t="shared" ref="S23" si="22">S24</f>
        <v>NO</v>
      </c>
      <c r="T23" s="3573">
        <f t="shared" ref="T23" si="23">T24</f>
        <v>-25.729066337598894</v>
      </c>
      <c r="U23" s="3570">
        <f t="shared" ref="U23" si="24">U24</f>
        <v>-4046.8263563189453</v>
      </c>
      <c r="W23" s="2019"/>
    </row>
    <row r="24" spans="2:23" ht="18" customHeight="1" x14ac:dyDescent="0.2">
      <c r="B24" s="488"/>
      <c r="C24" s="508" t="s">
        <v>278</v>
      </c>
      <c r="D24" s="3568">
        <f>IF(SUM(E24:F24)=0,E24,SUM(E24:F24))</f>
        <v>161.54855792579193</v>
      </c>
      <c r="E24" s="3569" t="s">
        <v>2146</v>
      </c>
      <c r="F24" s="3554">
        <v>161.54855792579193</v>
      </c>
      <c r="G24" s="3558">
        <f t="shared" si="6"/>
        <v>7.394926506404933</v>
      </c>
      <c r="H24" s="3078" t="str">
        <f t="shared" si="6"/>
        <v>NA</v>
      </c>
      <c r="I24" s="3078">
        <f t="shared" si="6"/>
        <v>7.394926506404933</v>
      </c>
      <c r="J24" s="3078">
        <f t="shared" si="6"/>
        <v>-0.61172071659850102</v>
      </c>
      <c r="K24" s="3078">
        <f t="shared" si="6"/>
        <v>0.20793666419250928</v>
      </c>
      <c r="L24" s="3078" t="str">
        <f t="shared" si="3"/>
        <v>NA</v>
      </c>
      <c r="M24" s="3128">
        <f t="shared" si="4"/>
        <v>-0.15926521825974863</v>
      </c>
      <c r="N24" s="2905">
        <v>1194.6397130769315</v>
      </c>
      <c r="O24" s="2905" t="s">
        <v>2153</v>
      </c>
      <c r="P24" s="3109">
        <f t="shared" si="14"/>
        <v>1194.6397130769315</v>
      </c>
      <c r="Q24" s="2905">
        <v>-98.822599619819897</v>
      </c>
      <c r="R24" s="2906">
        <v>33.591868240199531</v>
      </c>
      <c r="S24" s="2906" t="s">
        <v>2146</v>
      </c>
      <c r="T24" s="2906">
        <v>-25.729066337598894</v>
      </c>
      <c r="U24" s="3570">
        <f t="shared" ref="U24" si="25">IF(SUM(P24:T24)=0,P24,SUM(P24:T24)*-44/12)</f>
        <v>-4046.8263563189453</v>
      </c>
      <c r="W24" s="2398"/>
    </row>
    <row r="25" spans="2:23" ht="18" customHeight="1" x14ac:dyDescent="0.2">
      <c r="B25" s="487" t="s">
        <v>1045</v>
      </c>
      <c r="C25" s="504"/>
      <c r="D25" s="3568">
        <f>D26</f>
        <v>64.016999999999996</v>
      </c>
      <c r="E25" s="3571">
        <f t="shared" ref="E25" si="26">E26</f>
        <v>64.016999999999996</v>
      </c>
      <c r="F25" s="3572" t="str">
        <f t="shared" ref="F25" si="27">F26</f>
        <v>NO</v>
      </c>
      <c r="G25" s="3558">
        <f t="shared" si="6"/>
        <v>1.6090725900932568</v>
      </c>
      <c r="H25" s="3078" t="str">
        <f t="shared" si="6"/>
        <v>NA</v>
      </c>
      <c r="I25" s="3078">
        <f t="shared" si="6"/>
        <v>1.6090725900932568</v>
      </c>
      <c r="J25" s="3078">
        <f t="shared" si="6"/>
        <v>8.8414015027258389E-2</v>
      </c>
      <c r="K25" s="3078">
        <f t="shared" si="6"/>
        <v>4.7737319774434912E-2</v>
      </c>
      <c r="L25" s="3078">
        <f t="shared" si="3"/>
        <v>-0.54510520642954219</v>
      </c>
      <c r="M25" s="3128" t="str">
        <f t="shared" si="4"/>
        <v>NA</v>
      </c>
      <c r="N25" s="3078">
        <f t="shared" ref="N25" si="28">N26</f>
        <v>103.00800000000001</v>
      </c>
      <c r="O25" s="3078" t="str">
        <f t="shared" ref="O25" si="29">O26</f>
        <v>IE</v>
      </c>
      <c r="P25" s="3078">
        <f t="shared" ref="P25" si="30">P26</f>
        <v>103.00800000000001</v>
      </c>
      <c r="Q25" s="3078">
        <f t="shared" ref="Q25" si="31">Q26</f>
        <v>5.66</v>
      </c>
      <c r="R25" s="3573">
        <f t="shared" ref="R25" si="32">R26</f>
        <v>3.0559999999999996</v>
      </c>
      <c r="S25" s="3573">
        <f t="shared" ref="S25" si="33">S26</f>
        <v>-34.896000000000001</v>
      </c>
      <c r="T25" s="3573" t="str">
        <f t="shared" ref="T25" si="34">T26</f>
        <v>NO</v>
      </c>
      <c r="U25" s="3570">
        <f t="shared" ref="U25" si="35">U26</f>
        <v>-281.70266666666669</v>
      </c>
      <c r="W25" s="2019"/>
    </row>
    <row r="26" spans="2:23" ht="18" customHeight="1" x14ac:dyDescent="0.2">
      <c r="B26" s="488"/>
      <c r="C26" s="508" t="s">
        <v>278</v>
      </c>
      <c r="D26" s="3568">
        <f>IF(SUM(E26:F26)=0,E26,SUM(E26:F26))</f>
        <v>64.016999999999996</v>
      </c>
      <c r="E26" s="3569">
        <v>64.016999999999996</v>
      </c>
      <c r="F26" s="3554" t="s">
        <v>2146</v>
      </c>
      <c r="G26" s="3558">
        <f t="shared" si="6"/>
        <v>1.6090725900932568</v>
      </c>
      <c r="H26" s="3078" t="str">
        <f t="shared" si="6"/>
        <v>NA</v>
      </c>
      <c r="I26" s="3078">
        <f t="shared" si="6"/>
        <v>1.6090725900932568</v>
      </c>
      <c r="J26" s="3078">
        <f t="shared" si="6"/>
        <v>8.8414015027258389E-2</v>
      </c>
      <c r="K26" s="3078">
        <f t="shared" si="6"/>
        <v>4.7737319774434912E-2</v>
      </c>
      <c r="L26" s="3078">
        <f t="shared" si="3"/>
        <v>-0.54510520642954219</v>
      </c>
      <c r="M26" s="3128" t="str">
        <f t="shared" si="4"/>
        <v>NA</v>
      </c>
      <c r="N26" s="2905">
        <v>103.00800000000001</v>
      </c>
      <c r="O26" s="2905" t="s">
        <v>2153</v>
      </c>
      <c r="P26" s="3109">
        <f t="shared" si="14"/>
        <v>103.00800000000001</v>
      </c>
      <c r="Q26" s="2905">
        <v>5.66</v>
      </c>
      <c r="R26" s="2906">
        <v>3.0559999999999996</v>
      </c>
      <c r="S26" s="2906">
        <v>-34.896000000000001</v>
      </c>
      <c r="T26" s="2906" t="s">
        <v>2146</v>
      </c>
      <c r="U26" s="3570">
        <f t="shared" ref="U26" si="36">IF(SUM(P26:T26)=0,P26,SUM(P26:T26)*-44/12)</f>
        <v>-281.70266666666669</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39978.064827910814</v>
      </c>
      <c r="E10" s="3583">
        <f t="shared" ref="E10:F10" si="0">IF(SUM(E11,E13)=0,"IE",SUM(E11,E13))</f>
        <v>39975.064827910814</v>
      </c>
      <c r="F10" s="3584">
        <f t="shared" si="0"/>
        <v>3</v>
      </c>
      <c r="G10" s="3558" t="str">
        <f>IFERROR(IF(SUM($D10)=0,"NA",M10/$D10),"NA")</f>
        <v>NA</v>
      </c>
      <c r="H10" s="3583">
        <f t="shared" ref="H10:J10" si="1">IFERROR(IF(SUM($D10)=0,"NA",N10/$D10),"NA")</f>
        <v>-1.0505488967881617E-2</v>
      </c>
      <c r="I10" s="3583">
        <f t="shared" si="1"/>
        <v>-1.0505488967881617E-2</v>
      </c>
      <c r="J10" s="3583">
        <f t="shared" si="1"/>
        <v>-2.879879266182495E-3</v>
      </c>
      <c r="K10" s="3585">
        <f>IFERROR(IF(SUM(E10)=0,"NA",Q10/E10),"NA")</f>
        <v>-2.6247044907329049E-2</v>
      </c>
      <c r="L10" s="3584">
        <f>IFERROR(IF(SUM(F10)=0,"NA",R10/F10),"NA")</f>
        <v>-12.475</v>
      </c>
      <c r="M10" s="3586" t="str">
        <f>IF(SUM(M11,M13)=0,"IE",SUM(M11,M13))</f>
        <v>IE</v>
      </c>
      <c r="N10" s="3583">
        <f t="shared" ref="N10:S10" si="2">IF(SUM(N11,N13)=0,"IE",SUM(N11,N13))</f>
        <v>-419.98911900687312</v>
      </c>
      <c r="O10" s="3587">
        <f t="shared" si="2"/>
        <v>-419.98911900687312</v>
      </c>
      <c r="P10" s="3583">
        <f t="shared" si="2"/>
        <v>-115.13200000000001</v>
      </c>
      <c r="Q10" s="3585">
        <f t="shared" si="2"/>
        <v>-1049.2273217115651</v>
      </c>
      <c r="R10" s="3585">
        <f t="shared" si="2"/>
        <v>-37.424999999999997</v>
      </c>
      <c r="S10" s="3588">
        <f t="shared" si="2"/>
        <v>5946.5026159676072</v>
      </c>
      <c r="U10" s="2261"/>
    </row>
    <row r="11" spans="2:21" ht="18" customHeight="1" x14ac:dyDescent="0.2">
      <c r="B11" s="499" t="s">
        <v>985</v>
      </c>
      <c r="C11" s="2256"/>
      <c r="D11" s="3589">
        <f>D12</f>
        <v>37676.030886883003</v>
      </c>
      <c r="E11" s="3078">
        <f t="shared" ref="E11" si="3">E12</f>
        <v>37676.030886883003</v>
      </c>
      <c r="F11" s="3078" t="str">
        <f t="shared" ref="F11" si="4">F12</f>
        <v>IE</v>
      </c>
      <c r="G11" s="3558" t="str">
        <f t="shared" ref="G11:G23" si="5">IFERROR(IF(SUM($D11)=0,"NA",M11/$D11),"NA")</f>
        <v>NA</v>
      </c>
      <c r="H11" s="3078">
        <f t="shared" ref="H11:H23" si="6">IFERROR(IF(SUM($D11)=0,"NA",N11/$D11),"NA")</f>
        <v>-1.0824173648007457E-4</v>
      </c>
      <c r="I11" s="3078">
        <f t="shared" ref="I11:I23" si="7">IFERROR(IF(SUM($D11)=0,"NA",O11/$D11),"NA")</f>
        <v>-1.0824173648007457E-4</v>
      </c>
      <c r="J11" s="3078" t="str">
        <f t="shared" ref="J11:J23" si="8">IFERROR(IF(SUM($D11)=0,"NA",P11/$D11),"NA")</f>
        <v>NA</v>
      </c>
      <c r="K11" s="3573">
        <f t="shared" ref="K11:K23" si="9">IFERROR(IF(SUM(E11)=0,"NA",Q11/E11),"NA")</f>
        <v>-1.6093615300080924E-2</v>
      </c>
      <c r="L11" s="3128" t="str">
        <f t="shared" ref="L11:L23" si="10">IFERROR(IF(SUM(F11)=0,"NA",R11/F11),"NA")</f>
        <v>NA</v>
      </c>
      <c r="M11" s="3590" t="str">
        <f t="shared" ref="M11" si="11">M12</f>
        <v>IE</v>
      </c>
      <c r="N11" s="3591">
        <f t="shared" ref="N11" si="12">N12</f>
        <v>-4.0781190068731403</v>
      </c>
      <c r="O11" s="3592">
        <f t="shared" ref="O11" si="13">O12</f>
        <v>-4.0781190068731403</v>
      </c>
      <c r="P11" s="3591" t="str">
        <f t="shared" ref="P11" si="14">P12</f>
        <v>NA</v>
      </c>
      <c r="Q11" s="3593">
        <f t="shared" ref="Q11" si="15">Q12</f>
        <v>-606.34354712746176</v>
      </c>
      <c r="R11" s="3593" t="str">
        <f t="shared" ref="R11" si="16">R12</f>
        <v>IE</v>
      </c>
      <c r="S11" s="3594">
        <f t="shared" ref="S11" si="17">S12</f>
        <v>2238.2127758258948</v>
      </c>
      <c r="U11" s="2258"/>
    </row>
    <row r="12" spans="2:21" ht="18" customHeight="1" x14ac:dyDescent="0.2">
      <c r="B12" s="501"/>
      <c r="C12" s="508" t="s">
        <v>278</v>
      </c>
      <c r="D12" s="3568">
        <f>IF(SUM(E12:F12)=0,E12,SUM(E12:F12))</f>
        <v>37676.030886883003</v>
      </c>
      <c r="E12" s="3569">
        <v>37676.030886883003</v>
      </c>
      <c r="F12" s="3554" t="s">
        <v>2153</v>
      </c>
      <c r="G12" s="3558" t="str">
        <f t="shared" si="5"/>
        <v>NA</v>
      </c>
      <c r="H12" s="3078">
        <f t="shared" si="6"/>
        <v>-1.0824173648007457E-4</v>
      </c>
      <c r="I12" s="3078">
        <f t="shared" si="7"/>
        <v>-1.0824173648007457E-4</v>
      </c>
      <c r="J12" s="3078" t="str">
        <f t="shared" si="8"/>
        <v>NA</v>
      </c>
      <c r="K12" s="3573">
        <f t="shared" si="9"/>
        <v>-1.6093615300080924E-2</v>
      </c>
      <c r="L12" s="3128" t="str">
        <f t="shared" si="10"/>
        <v>NA</v>
      </c>
      <c r="M12" s="2905" t="s">
        <v>2153</v>
      </c>
      <c r="N12" s="2905">
        <v>-4.0781190068731403</v>
      </c>
      <c r="O12" s="3109">
        <f>IF(SUM(M12:N12)=0,M12,SUM(M12:N12))</f>
        <v>-4.0781190068731403</v>
      </c>
      <c r="P12" s="2905" t="s">
        <v>2147</v>
      </c>
      <c r="Q12" s="2906">
        <v>-606.34354712746176</v>
      </c>
      <c r="R12" s="2906" t="s">
        <v>2153</v>
      </c>
      <c r="S12" s="3594">
        <f>IF(SUM(O12:R12)=0,Q12,SUM(O12:R12)*-44/12)</f>
        <v>2238.2127758258948</v>
      </c>
      <c r="U12" s="2398"/>
    </row>
    <row r="13" spans="2:21" ht="18" customHeight="1" x14ac:dyDescent="0.2">
      <c r="B13" s="485" t="s">
        <v>1054</v>
      </c>
      <c r="C13" s="504"/>
      <c r="D13" s="3589">
        <f>IF(SUM(D14,D16,D18,D20,D22)=0,"IE",SUM(D14,D16,D18,D20,D22))</f>
        <v>2302.033941027812</v>
      </c>
      <c r="E13" s="3591">
        <f t="shared" ref="E13:F13" si="18">IF(SUM(E14,E16,E18,E20,E22)=0,"IE",SUM(E14,E16,E18,E20,E22))</f>
        <v>2299.033941027812</v>
      </c>
      <c r="F13" s="3595">
        <f t="shared" si="18"/>
        <v>3</v>
      </c>
      <c r="G13" s="3558" t="str">
        <f t="shared" si="5"/>
        <v>NA</v>
      </c>
      <c r="H13" s="3078">
        <f t="shared" si="6"/>
        <v>-0.1806710981047934</v>
      </c>
      <c r="I13" s="3078">
        <f t="shared" si="7"/>
        <v>-0.1806710981047934</v>
      </c>
      <c r="J13" s="3078">
        <f t="shared" si="8"/>
        <v>-5.001316355422452E-2</v>
      </c>
      <c r="K13" s="3573">
        <f t="shared" si="9"/>
        <v>-0.19263907621394516</v>
      </c>
      <c r="L13" s="3128">
        <f t="shared" si="10"/>
        <v>-12.475</v>
      </c>
      <c r="M13" s="3590" t="str">
        <f>IF(SUM(M14,M16,M18,M20,M22)=0,"IE",SUM(M14,M16,M18,M20,M22))</f>
        <v>IE</v>
      </c>
      <c r="N13" s="3591">
        <f t="shared" ref="N13" si="19">IF(SUM(N14,N16,N18,N20,N22)=0,"IE",SUM(N14,N16,N18,N20,N22))</f>
        <v>-415.911</v>
      </c>
      <c r="O13" s="3592">
        <f t="shared" ref="O13" si="20">IF(SUM(O14,O16,O18,O20,O22)=0,"IE",SUM(O14,O16,O18,O20,O22))</f>
        <v>-415.911</v>
      </c>
      <c r="P13" s="3592">
        <f t="shared" ref="P13" si="21">IF(SUM(P14,P16,P18,P20,P22)=0,"IE",SUM(P14,P16,P18,P20,P22))</f>
        <v>-115.13200000000001</v>
      </c>
      <c r="Q13" s="3592">
        <f t="shared" ref="Q13" si="22">IF(SUM(Q14,Q16,Q18,Q20,Q22)=0,"IE",SUM(Q14,Q16,Q18,Q20,Q22))</f>
        <v>-442.88377458410338</v>
      </c>
      <c r="R13" s="3592">
        <f t="shared" ref="R13" si="23">IF(SUM(R14,R16,R18,R20,R22)=0,"IE",SUM(R14,R16,R18,R20,R22))</f>
        <v>-37.424999999999997</v>
      </c>
      <c r="S13" s="3594">
        <f t="shared" ref="S13" si="24">IF(SUM(S14,S16,S18,S20,S22)=0,"IE",SUM(S14,S16,S18,S20,S22))</f>
        <v>3708.2898401417124</v>
      </c>
      <c r="U13" s="503"/>
    </row>
    <row r="14" spans="2:21" ht="18" customHeight="1" x14ac:dyDescent="0.2">
      <c r="B14" s="487" t="s">
        <v>1055</v>
      </c>
      <c r="C14" s="504"/>
      <c r="D14" s="3589">
        <f>D15</f>
        <v>2289.373</v>
      </c>
      <c r="E14" s="3078">
        <f t="shared" ref="E14" si="25">E15</f>
        <v>2289.373</v>
      </c>
      <c r="F14" s="3078" t="str">
        <f t="shared" ref="F14" si="26">F15</f>
        <v>IE</v>
      </c>
      <c r="G14" s="3558" t="str">
        <f t="shared" si="5"/>
        <v>NA</v>
      </c>
      <c r="H14" s="3078">
        <f t="shared" si="6"/>
        <v>-0.18167026517740884</v>
      </c>
      <c r="I14" s="3078">
        <f t="shared" si="7"/>
        <v>-0.18167026517740884</v>
      </c>
      <c r="J14" s="3078">
        <f t="shared" si="8"/>
        <v>-5.0289751822879016E-2</v>
      </c>
      <c r="K14" s="3573">
        <f t="shared" si="9"/>
        <v>-0.18112382735360294</v>
      </c>
      <c r="L14" s="3128" t="str">
        <f t="shared" si="10"/>
        <v>NA</v>
      </c>
      <c r="M14" s="3590" t="str">
        <f t="shared" ref="M14" si="27">M15</f>
        <v>IE</v>
      </c>
      <c r="N14" s="3591">
        <f t="shared" ref="N14" si="28">N15</f>
        <v>-415.911</v>
      </c>
      <c r="O14" s="3592">
        <f t="shared" ref="O14" si="29">O15</f>
        <v>-415.911</v>
      </c>
      <c r="P14" s="3591">
        <f t="shared" ref="P14" si="30">P15</f>
        <v>-115.13200000000001</v>
      </c>
      <c r="Q14" s="3593">
        <f t="shared" ref="Q14" si="31">Q15</f>
        <v>-414.66</v>
      </c>
      <c r="R14" s="3593" t="str">
        <f t="shared" ref="R14" si="32">R15</f>
        <v>IE</v>
      </c>
      <c r="S14" s="3594">
        <f t="shared" ref="S14" si="33">S15</f>
        <v>3467.5776666666666</v>
      </c>
      <c r="U14" s="503"/>
    </row>
    <row r="15" spans="2:21" ht="18" customHeight="1" x14ac:dyDescent="0.2">
      <c r="B15" s="501"/>
      <c r="C15" s="508" t="s">
        <v>278</v>
      </c>
      <c r="D15" s="3568">
        <f>IF(SUM(E15:F15)=0,E15,SUM(E15:F15))</f>
        <v>2289.373</v>
      </c>
      <c r="E15" s="3569">
        <v>2289.373</v>
      </c>
      <c r="F15" s="3554" t="s">
        <v>2153</v>
      </c>
      <c r="G15" s="3558" t="str">
        <f t="shared" si="5"/>
        <v>NA</v>
      </c>
      <c r="H15" s="3078">
        <f t="shared" si="6"/>
        <v>-0.18167026517740884</v>
      </c>
      <c r="I15" s="3078">
        <f t="shared" si="7"/>
        <v>-0.18167026517740884</v>
      </c>
      <c r="J15" s="3078">
        <f t="shared" si="8"/>
        <v>-5.0289751822879016E-2</v>
      </c>
      <c r="K15" s="3573">
        <f t="shared" si="9"/>
        <v>-0.18112382735360294</v>
      </c>
      <c r="L15" s="3128" t="str">
        <f t="shared" si="10"/>
        <v>NA</v>
      </c>
      <c r="M15" s="2905" t="s">
        <v>2153</v>
      </c>
      <c r="N15" s="2905">
        <v>-415.911</v>
      </c>
      <c r="O15" s="3109">
        <f>IF(SUM(M15:N15)=0,M15,SUM(M15:N15))</f>
        <v>-415.911</v>
      </c>
      <c r="P15" s="2905">
        <v>-115.13200000000001</v>
      </c>
      <c r="Q15" s="2906">
        <v>-414.66</v>
      </c>
      <c r="R15" s="2906" t="s">
        <v>2153</v>
      </c>
      <c r="S15" s="3594">
        <f>IF(SUM(O15:R15)=0,Q15,SUM(O15:R15)*-44/12)</f>
        <v>3467.5776666666666</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521028.63184072933</v>
      </c>
      <c r="E10" s="3583">
        <f t="shared" ref="E10:F10" si="0">IF(SUM(E11,E15)=0,"IE",SUM(E11,E15))</f>
        <v>521027.63184072933</v>
      </c>
      <c r="F10" s="3584">
        <f t="shared" si="0"/>
        <v>1</v>
      </c>
      <c r="G10" s="3558">
        <f>IFERROR(IF(SUM($D10)=0,"NA",M10/$D10),"NA")</f>
        <v>2.2882161688784083E-3</v>
      </c>
      <c r="H10" s="3583">
        <f t="shared" ref="H10:J10" si="1">IFERROR(IF(SUM($D10)=0,"NA",N10/$D10),"NA")</f>
        <v>-1.5797940132791476E-2</v>
      </c>
      <c r="I10" s="3583">
        <f t="shared" si="1"/>
        <v>-1.3509723963913065E-2</v>
      </c>
      <c r="J10" s="3583">
        <f t="shared" si="1"/>
        <v>-2.755888816408657E-3</v>
      </c>
      <c r="K10" s="3585">
        <f>IFERROR(IF(SUM(E10)=0,"NA",Q10/E10),"NA")</f>
        <v>-7.8913186472952274E-3</v>
      </c>
      <c r="L10" s="3584">
        <f>IFERROR(IF(SUM(F10)=0,"NA",R10/F10),"NA")</f>
        <v>-8.7249999999999996</v>
      </c>
      <c r="M10" s="3586">
        <f>IF(SUM(M11,M15)=0,"IE",SUM(M11,M15))</f>
        <v>1192.2261398265523</v>
      </c>
      <c r="N10" s="3583">
        <f t="shared" ref="N10:S10" si="2">IF(SUM(N11,N15)=0,"IE",SUM(N11,N15))</f>
        <v>-8231.1791332900921</v>
      </c>
      <c r="O10" s="3587">
        <f t="shared" si="2"/>
        <v>-7038.9529934635393</v>
      </c>
      <c r="P10" s="3583">
        <f t="shared" si="2"/>
        <v>-1435.8969795185694</v>
      </c>
      <c r="Q10" s="3585">
        <f t="shared" si="2"/>
        <v>-4111.5950669008198</v>
      </c>
      <c r="R10" s="3585">
        <f t="shared" si="2"/>
        <v>-8.7249999999999996</v>
      </c>
      <c r="S10" s="3588">
        <f t="shared" si="2"/>
        <v>46182.290146237399</v>
      </c>
      <c r="U10" s="2261"/>
    </row>
    <row r="11" spans="2:21" ht="18" customHeight="1" x14ac:dyDescent="0.2">
      <c r="B11" s="493" t="s">
        <v>988</v>
      </c>
      <c r="C11" s="483"/>
      <c r="D11" s="3599">
        <f>IF(SUM(D12:D14)=0,"IE",SUM(D12:D14))</f>
        <v>507542.10960055201</v>
      </c>
      <c r="E11" s="3564">
        <f t="shared" ref="E11:F11" si="3">IF(SUM(E12:E14)=0,"IE",SUM(E12:E14))</f>
        <v>507542.10960055201</v>
      </c>
      <c r="F11" s="3565" t="str">
        <f t="shared" si="3"/>
        <v>IE</v>
      </c>
      <c r="G11" s="3599">
        <f t="shared" ref="G11:G26" si="4">IFERROR(IF(SUM($D11)=0,"NA",M11/$D11),"NA")</f>
        <v>2.3490191597399933E-3</v>
      </c>
      <c r="H11" s="3109" t="str">
        <f t="shared" ref="H11:H26" si="5">IFERROR(IF(SUM($D11)=0,"NA",N11/$D11),"NA")</f>
        <v>NA</v>
      </c>
      <c r="I11" s="3109">
        <f t="shared" ref="I11:I26" si="6">IFERROR(IF(SUM($D11)=0,"NA",O11/$D11),"NA")</f>
        <v>2.3490191597399933E-3</v>
      </c>
      <c r="J11" s="3109">
        <f t="shared" ref="J11:J26" si="7">IFERROR(IF(SUM($D11)=0,"NA",P11/$D11),"NA")</f>
        <v>6.2629140729963451E-4</v>
      </c>
      <c r="K11" s="3566">
        <f t="shared" ref="K11:K26" si="8">IFERROR(IF(SUM(E11)=0,"NA",Q11/E11),"NA")</f>
        <v>-2.4939219214525818E-3</v>
      </c>
      <c r="L11" s="3249" t="str">
        <f t="shared" ref="L11:L26" si="9">IFERROR(IF(SUM(F11)=0,"NA",R11/F11),"NA")</f>
        <v>NA</v>
      </c>
      <c r="M11" s="3109">
        <f>IF(SUM(M12:M14)=0,"IE",SUM(M12:M14))</f>
        <v>1192.2261398265523</v>
      </c>
      <c r="N11" s="3109" t="str">
        <f t="shared" ref="N11:O11" si="10">IF(SUM(N12:N14)=0,"IE",SUM(N12:N14))</f>
        <v>IE</v>
      </c>
      <c r="O11" s="3109">
        <f t="shared" si="10"/>
        <v>1192.2261398265523</v>
      </c>
      <c r="P11" s="3109">
        <f t="shared" ref="P11" si="11">IF(SUM(P12:P14)=0,"IE",SUM(P12:P14))</f>
        <v>317.86926208555508</v>
      </c>
      <c r="Q11" s="3566">
        <f t="shared" ref="Q11" si="12">IF(SUM(Q12:Q14)=0,"IE",SUM(Q12:Q14))</f>
        <v>-1265.7703931931055</v>
      </c>
      <c r="R11" s="3566" t="str">
        <f t="shared" ref="R11" si="13">IF(SUM(R12:R14)=0,"IE",SUM(R12:R14))</f>
        <v>IE</v>
      </c>
      <c r="S11" s="3567">
        <f t="shared" ref="S11" si="14">IF(SUM(S12:S14)=0,"IE",SUM(S12:S14))</f>
        <v>-895.85836530300685</v>
      </c>
      <c r="U11" s="2397"/>
    </row>
    <row r="12" spans="2:21" ht="18" customHeight="1" x14ac:dyDescent="0.2">
      <c r="B12" s="499"/>
      <c r="C12" s="484" t="s">
        <v>2226</v>
      </c>
      <c r="D12" s="3600">
        <f>IF(SUM(E12:F12)=0,E12,SUM(E12:F12))</f>
        <v>70456.100045431289</v>
      </c>
      <c r="E12" s="3569">
        <v>70456.100045431289</v>
      </c>
      <c r="F12" s="3554" t="s">
        <v>2153</v>
      </c>
      <c r="G12" s="3558">
        <f t="shared" si="4"/>
        <v>1.0598460610536209E-2</v>
      </c>
      <c r="H12" s="3078" t="str">
        <f t="shared" si="5"/>
        <v>NA</v>
      </c>
      <c r="I12" s="3078">
        <f t="shared" si="6"/>
        <v>1.0598460610536209E-2</v>
      </c>
      <c r="J12" s="3078">
        <f t="shared" si="7"/>
        <v>2.1196921221072417E-3</v>
      </c>
      <c r="K12" s="3573">
        <f t="shared" si="8"/>
        <v>8.4787684884289668E-3</v>
      </c>
      <c r="L12" s="3128" t="str">
        <f t="shared" si="9"/>
        <v>NA</v>
      </c>
      <c r="M12" s="2905">
        <v>746.72620110350192</v>
      </c>
      <c r="N12" s="2905" t="s">
        <v>2153</v>
      </c>
      <c r="O12" s="3109">
        <f>IF(SUM(M12:N12)=0,M12,SUM(M12:N12))</f>
        <v>746.72620110350192</v>
      </c>
      <c r="P12" s="2905">
        <v>149.34524022070039</v>
      </c>
      <c r="Q12" s="2906">
        <v>597.38096088280156</v>
      </c>
      <c r="R12" s="2906" t="s">
        <v>2153</v>
      </c>
      <c r="S12" s="3570">
        <f>IF(SUM(O12:R12)=0,Q12,SUM(O12:R12)*-44/12)</f>
        <v>-5475.9921414256814</v>
      </c>
      <c r="U12" s="2398"/>
    </row>
    <row r="13" spans="2:21" ht="18" customHeight="1" x14ac:dyDescent="0.2">
      <c r="B13" s="499"/>
      <c r="C13" s="484" t="s">
        <v>2227</v>
      </c>
      <c r="D13" s="3600">
        <f>IF(SUM(E13:F13)=0,E13,SUM(E13:F13))</f>
        <v>437086.00955512072</v>
      </c>
      <c r="E13" s="3569">
        <v>437086.00955512072</v>
      </c>
      <c r="F13" s="3554" t="s">
        <v>2153</v>
      </c>
      <c r="G13" s="3558" t="str">
        <f t="shared" si="4"/>
        <v>NA</v>
      </c>
      <c r="H13" s="3078" t="str">
        <f t="shared" si="5"/>
        <v>NA</v>
      </c>
      <c r="I13" s="3078" t="str">
        <f t="shared" si="6"/>
        <v>NA</v>
      </c>
      <c r="J13" s="3078" t="str">
        <f t="shared" si="7"/>
        <v>NA</v>
      </c>
      <c r="K13" s="3573">
        <f t="shared" si="8"/>
        <v>-4.2626652726136865E-3</v>
      </c>
      <c r="L13" s="3128" t="str">
        <f t="shared" si="9"/>
        <v>NA</v>
      </c>
      <c r="M13" s="2905" t="s">
        <v>2147</v>
      </c>
      <c r="N13" s="2905" t="s">
        <v>2147</v>
      </c>
      <c r="O13" s="3109" t="str">
        <f>IF(SUM(M13:N13)=0,M13,SUM(M13:N13))</f>
        <v>NA</v>
      </c>
      <c r="P13" s="2905" t="s">
        <v>2147</v>
      </c>
      <c r="Q13" s="2906">
        <v>-1863.1513540759072</v>
      </c>
      <c r="R13" s="2906" t="s">
        <v>2153</v>
      </c>
      <c r="S13" s="3570">
        <f>IF(SUM(O13:R13)=0,Q13,SUM(O13:R13)*-44/12)</f>
        <v>6831.5549649449931</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445.49993872305043</v>
      </c>
      <c r="N14" s="2905" t="s">
        <v>2153</v>
      </c>
      <c r="O14" s="3109">
        <f>IF(SUM(M14:N14)=0,M14,SUM(M14:N14))</f>
        <v>445.49993872305043</v>
      </c>
      <c r="P14" s="2905">
        <v>168.52402186485466</v>
      </c>
      <c r="Q14" s="2906" t="s">
        <v>2147</v>
      </c>
      <c r="R14" s="2906" t="s">
        <v>2147</v>
      </c>
      <c r="S14" s="3570">
        <f>IF(SUM(O14:R14)=0,Q14,SUM(O14:R14)*-44/12)</f>
        <v>-2251.4211888223185</v>
      </c>
      <c r="U14" s="2398"/>
    </row>
    <row r="15" spans="2:21" ht="18" customHeight="1" x14ac:dyDescent="0.2">
      <c r="B15" s="485" t="s">
        <v>1066</v>
      </c>
      <c r="C15" s="486"/>
      <c r="D15" s="3589">
        <f>IF(SUM(D16,D19,D21,D23,D25)=0,"IE",SUM(D16,D19,D21,D23,D25))</f>
        <v>13486.522240177319</v>
      </c>
      <c r="E15" s="3591">
        <f t="shared" ref="E15:F15" si="15">IF(SUM(E16,E19,E21,E23,E25)=0,"IE",SUM(E16,E19,E21,E23,E25))</f>
        <v>13485.522240177319</v>
      </c>
      <c r="F15" s="3595">
        <f t="shared" si="15"/>
        <v>1</v>
      </c>
      <c r="G15" s="3558" t="str">
        <f t="shared" si="4"/>
        <v>NA</v>
      </c>
      <c r="H15" s="3078">
        <f t="shared" si="5"/>
        <v>-0.61032629366589541</v>
      </c>
      <c r="I15" s="3078">
        <f t="shared" si="6"/>
        <v>-0.61032629366589541</v>
      </c>
      <c r="J15" s="3078">
        <f t="shared" si="7"/>
        <v>-0.13003843469590173</v>
      </c>
      <c r="K15" s="3573">
        <f t="shared" si="8"/>
        <v>-0.21102813988390964</v>
      </c>
      <c r="L15" s="3128">
        <f t="shared" si="9"/>
        <v>-8.7249999999999996</v>
      </c>
      <c r="M15" s="3590" t="str">
        <f>IF(SUM(M16,M19,M21,M23,M25)=0,"IE",SUM(M16,M19,M21,M23,M25))</f>
        <v>IE</v>
      </c>
      <c r="N15" s="3591">
        <f t="shared" ref="N15:S15" si="16">IF(SUM(N16,N19,N21,N23,N25)=0,"IE",SUM(N16,N19,N21,N23,N25))</f>
        <v>-8231.1791332900921</v>
      </c>
      <c r="O15" s="3592">
        <f t="shared" si="16"/>
        <v>-8231.1791332900921</v>
      </c>
      <c r="P15" s="3592">
        <f t="shared" si="16"/>
        <v>-1753.7662416041246</v>
      </c>
      <c r="Q15" s="3592">
        <f t="shared" si="16"/>
        <v>-2845.8246737077138</v>
      </c>
      <c r="R15" s="3592">
        <f t="shared" si="16"/>
        <v>-8.7249999999999996</v>
      </c>
      <c r="S15" s="3594">
        <f t="shared" si="16"/>
        <v>47078.148511540407</v>
      </c>
      <c r="U15" s="2019"/>
    </row>
    <row r="16" spans="2:21" ht="18" customHeight="1" x14ac:dyDescent="0.2">
      <c r="B16" s="500" t="s">
        <v>1067</v>
      </c>
      <c r="C16" s="486"/>
      <c r="D16" s="3599">
        <f>IF(SUM(D17:D18)=0,"IE",SUM(D17:D18))</f>
        <v>13437.644807640772</v>
      </c>
      <c r="E16" s="3564">
        <f t="shared" ref="E16:F16" si="17">IF(SUM(E17:E18)=0,"IE",SUM(E17:E18))</f>
        <v>13437.644807640772</v>
      </c>
      <c r="F16" s="3565" t="str">
        <f t="shared" si="17"/>
        <v>IE</v>
      </c>
      <c r="G16" s="3558" t="str">
        <f t="shared" si="4"/>
        <v>NA</v>
      </c>
      <c r="H16" s="3078">
        <f t="shared" si="5"/>
        <v>-0.61254626470032647</v>
      </c>
      <c r="I16" s="3078">
        <f t="shared" si="6"/>
        <v>-0.61254626470032647</v>
      </c>
      <c r="J16" s="3078">
        <f t="shared" si="7"/>
        <v>-0.13051143014339212</v>
      </c>
      <c r="K16" s="3573">
        <f t="shared" si="8"/>
        <v>-0.20296941284955514</v>
      </c>
      <c r="L16" s="3128" t="str">
        <f t="shared" si="9"/>
        <v>NA</v>
      </c>
      <c r="M16" s="3506" t="str">
        <f>IF(SUM(M17:M18)=0,"IE",SUM(M17:M18))</f>
        <v>IE</v>
      </c>
      <c r="N16" s="3506">
        <f t="shared" ref="N16:O16" si="18">IF(SUM(N17:N18)=0,"IE",SUM(N17:N18))</f>
        <v>-8231.1791332900921</v>
      </c>
      <c r="O16" s="3506">
        <f t="shared" si="18"/>
        <v>-8231.1791332900921</v>
      </c>
      <c r="P16" s="3506">
        <f t="shared" ref="P16" si="19">IF(SUM(P17:P18)=0,"IE",SUM(P17:P18))</f>
        <v>-1753.7662416041246</v>
      </c>
      <c r="Q16" s="3601">
        <f t="shared" ref="Q16" si="20">IF(SUM(Q17:Q18)=0,"IE",SUM(Q17:Q18))</f>
        <v>-2727.4308766877207</v>
      </c>
      <c r="R16" s="3601" t="str">
        <f t="shared" ref="R16" si="21">IF(SUM(R17:R18)=0,"IE",SUM(R17:R18))</f>
        <v>IE</v>
      </c>
      <c r="S16" s="3287">
        <f t="shared" ref="S16" si="22">IF(SUM(S17:S18)=0,"IE",SUM(S17:S18))</f>
        <v>46612.046255800429</v>
      </c>
      <c r="U16" s="2400"/>
    </row>
    <row r="17" spans="2:21" ht="18" customHeight="1" x14ac:dyDescent="0.2">
      <c r="B17" s="500"/>
      <c r="C17" s="484" t="s">
        <v>2228</v>
      </c>
      <c r="D17" s="3600">
        <f>IF(SUM(E17:F17)=0,E17,SUM(E17:F17))</f>
        <v>13437.644807640772</v>
      </c>
      <c r="E17" s="3569">
        <v>13437.644807640772</v>
      </c>
      <c r="F17" s="3554" t="s">
        <v>2153</v>
      </c>
      <c r="G17" s="3558" t="str">
        <f t="shared" si="4"/>
        <v>NA</v>
      </c>
      <c r="H17" s="3078">
        <f t="shared" si="5"/>
        <v>-0.6120728279947546</v>
      </c>
      <c r="I17" s="3078">
        <f t="shared" si="6"/>
        <v>-0.6120728279947546</v>
      </c>
      <c r="J17" s="3078">
        <f t="shared" si="7"/>
        <v>-0.13053863325400369</v>
      </c>
      <c r="K17" s="3573">
        <f t="shared" si="8"/>
        <v>-0.20296941284955514</v>
      </c>
      <c r="L17" s="3128" t="str">
        <f t="shared" si="9"/>
        <v>NA</v>
      </c>
      <c r="M17" s="2905" t="s">
        <v>2153</v>
      </c>
      <c r="N17" s="2905">
        <v>-8224.8172590017184</v>
      </c>
      <c r="O17" s="3109">
        <f>IF(SUM(M17:N17)=0,M17,SUM(M17:N17))</f>
        <v>-8224.8172590017184</v>
      </c>
      <c r="P17" s="2905">
        <v>-1754.1317873421858</v>
      </c>
      <c r="Q17" s="2906">
        <v>-2727.4308766877207</v>
      </c>
      <c r="R17" s="2906" t="s">
        <v>2153</v>
      </c>
      <c r="S17" s="3570">
        <f>IF(SUM(O17:R17)=0,Q17,SUM(O17:R17)*-44/12)</f>
        <v>46590.05971778262</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-6.361874288373726</v>
      </c>
      <c r="O18" s="3109">
        <f>IF(SUM(M18:N18)=0,M18,SUM(M18:N18))</f>
        <v>-6.361874288373726</v>
      </c>
      <c r="P18" s="2905">
        <v>0.36554573806127572</v>
      </c>
      <c r="Q18" s="2906" t="s">
        <v>2147</v>
      </c>
      <c r="R18" s="2906" t="s">
        <v>2147</v>
      </c>
      <c r="S18" s="3570">
        <f>IF(SUM(O18:R18)=0,Q18,SUM(O18:R18)*-44/12)</f>
        <v>21.986538017812318</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13174.096234586001</v>
      </c>
      <c r="E10" s="3583">
        <f>IF(SUM(E11,E23)=0,"IE",SUM(E11,E23))</f>
        <v>13133.746576241108</v>
      </c>
      <c r="F10" s="3584">
        <f>IF(SUM(F11,F23)=0,"IE",SUM(F11,F23))</f>
        <v>40.349658344892077</v>
      </c>
      <c r="G10" s="3608" t="str">
        <f>IFERROR(IF(SUM($D10)=0,"NA",M10/$D10),"NA")</f>
        <v>NA</v>
      </c>
      <c r="H10" s="3609">
        <f t="shared" ref="H10:J10" si="0">IFERROR(IF(SUM($D10)=0,"NA",N10/$D10),"NA")</f>
        <v>-4.8616532441315514E-3</v>
      </c>
      <c r="I10" s="3610">
        <f t="shared" si="0"/>
        <v>-4.8616532441315514E-3</v>
      </c>
      <c r="J10" s="3609">
        <f t="shared" si="0"/>
        <v>-9.475967991689607E-4</v>
      </c>
      <c r="K10" s="3609">
        <f>IFERROR(IF(SUM(E10)=0,"NA",Q10/E10),"NA")</f>
        <v>-7.2286193390016672E-4</v>
      </c>
      <c r="L10" s="3611" t="str">
        <f>IFERROR(IF(SUM(F10)=0,"NA",R10/F10),"NA")</f>
        <v>NA</v>
      </c>
      <c r="M10" s="3610" t="str">
        <f t="shared" ref="M10:S10" si="1">IF(SUM(M11,M23)=0,"IE",SUM(M11,M23))</f>
        <v>IE</v>
      </c>
      <c r="N10" s="3609">
        <f t="shared" si="1"/>
        <v>-64.047887697376282</v>
      </c>
      <c r="O10" s="3610">
        <f t="shared" si="1"/>
        <v>-64.047887697376282</v>
      </c>
      <c r="P10" s="3609">
        <f t="shared" si="1"/>
        <v>-12.483731423837552</v>
      </c>
      <c r="Q10" s="3612">
        <f t="shared" si="1"/>
        <v>-9.4938854494563412</v>
      </c>
      <c r="R10" s="3612" t="str">
        <f t="shared" si="1"/>
        <v>IE</v>
      </c>
      <c r="S10" s="3588">
        <f t="shared" si="1"/>
        <v>315.4268500924573</v>
      </c>
      <c r="U10" s="2401"/>
    </row>
    <row r="11" spans="1:23" ht="18" customHeight="1" x14ac:dyDescent="0.2">
      <c r="B11" s="501" t="s">
        <v>990</v>
      </c>
      <c r="C11" s="483"/>
      <c r="D11" s="3613">
        <f>IF(SUM(D12,D14,D17)=0,"IE",SUM(D12,D14,D17))</f>
        <v>13130.616234586001</v>
      </c>
      <c r="E11" s="3614">
        <f t="shared" ref="E11:S11" si="2">IF(SUM(E12,E14,E17)=0,"IE",SUM(E12,E14,E17))</f>
        <v>13090.266576241109</v>
      </c>
      <c r="F11" s="3615">
        <f t="shared" si="2"/>
        <v>40.349658344892077</v>
      </c>
      <c r="G11" s="3616" t="str">
        <f t="shared" ref="G11:G56" si="3">IFERROR(IF(SUM($D11)=0,"NA",M11/$D11),"NA")</f>
        <v>NA</v>
      </c>
      <c r="H11" s="3617">
        <f t="shared" ref="H11:H56" si="4">IFERROR(IF(SUM($D11)=0,"NA",N11/$D11),"NA")</f>
        <v>-4.8667851192736589E-3</v>
      </c>
      <c r="I11" s="3618">
        <f t="shared" ref="I11:I56" si="5">IFERROR(IF(SUM($D11)=0,"NA",O11/$D11),"NA")</f>
        <v>-4.8667851192736589E-3</v>
      </c>
      <c r="J11" s="3617">
        <f t="shared" ref="J11:J56" si="6">IFERROR(IF(SUM($D11)=0,"NA",P11/$D11),"NA")</f>
        <v>-9.5073461906193286E-4</v>
      </c>
      <c r="K11" s="3617">
        <f t="shared" ref="K11:K56" si="7">IFERROR(IF(SUM(E11)=0,"NA",Q11/E11),"NA")</f>
        <v>-7.2526295734021064E-4</v>
      </c>
      <c r="L11" s="3619" t="str">
        <f t="shared" ref="L11:L56" si="8">IFERROR(IF(SUM(F11)=0,"NA",R11/F11),"NA")</f>
        <v>NA</v>
      </c>
      <c r="M11" s="3618" t="str">
        <f t="shared" si="2"/>
        <v>IE</v>
      </c>
      <c r="N11" s="3617">
        <f t="shared" si="2"/>
        <v>-63.903887697376277</v>
      </c>
      <c r="O11" s="3618">
        <f t="shared" si="2"/>
        <v>-63.903887697376277</v>
      </c>
      <c r="P11" s="3617">
        <f t="shared" si="2"/>
        <v>-12.483731423837552</v>
      </c>
      <c r="Q11" s="3620">
        <f t="shared" si="2"/>
        <v>-9.4938854494563412</v>
      </c>
      <c r="R11" s="3620" t="str">
        <f t="shared" si="2"/>
        <v>IE</v>
      </c>
      <c r="S11" s="3621">
        <f t="shared" si="2"/>
        <v>314.89885009245728</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879.77179347714059</v>
      </c>
      <c r="E14" s="3564">
        <f>IF(SUM(E15:E16)=0,"IE",SUM(E15:E16))</f>
        <v>879.77179347714059</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546.98170000000016</v>
      </c>
      <c r="E15" s="3569">
        <v>546.98170000000016</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12250.84444110886</v>
      </c>
      <c r="E17" s="3564">
        <f>IF(SUM(E18:E21)=0,"IE",SUM(E18:E21))</f>
        <v>12210.494782763968</v>
      </c>
      <c r="F17" s="3565">
        <f>IF(SUM(F18:F21)=0,"IE",SUM(F18:F21))</f>
        <v>40.349658344892077</v>
      </c>
      <c r="G17" s="3622" t="str">
        <f t="shared" si="3"/>
        <v>NA</v>
      </c>
      <c r="H17" s="3591">
        <f t="shared" si="4"/>
        <v>-5.2162843144869893E-3</v>
      </c>
      <c r="I17" s="3623">
        <f t="shared" si="5"/>
        <v>-5.2162843144869893E-3</v>
      </c>
      <c r="J17" s="3591">
        <f t="shared" si="6"/>
        <v>-1.0190098718376684E-3</v>
      </c>
      <c r="K17" s="3591">
        <f t="shared" si="7"/>
        <v>-7.7751848867399498E-4</v>
      </c>
      <c r="L17" s="3595" t="str">
        <f t="shared" si="8"/>
        <v>NA</v>
      </c>
      <c r="M17" s="3564" t="str">
        <f t="shared" ref="M17:S17" si="16">IF(SUM(M18:M21)=0,"IE",SUM(M18:M21))</f>
        <v>IE</v>
      </c>
      <c r="N17" s="3617">
        <f t="shared" si="16"/>
        <v>-63.903887697376277</v>
      </c>
      <c r="O17" s="3618">
        <f t="shared" si="16"/>
        <v>-63.903887697376277</v>
      </c>
      <c r="P17" s="3617">
        <f t="shared" si="16"/>
        <v>-12.483731423837552</v>
      </c>
      <c r="Q17" s="3620">
        <f t="shared" si="16"/>
        <v>-9.4938854494563412</v>
      </c>
      <c r="R17" s="3620" t="str">
        <f t="shared" si="16"/>
        <v>IE</v>
      </c>
      <c r="S17" s="3634">
        <f t="shared" si="16"/>
        <v>314.89885009245728</v>
      </c>
      <c r="U17" s="2402"/>
    </row>
    <row r="18" spans="1:23" ht="18" customHeight="1" x14ac:dyDescent="0.2">
      <c r="A18" s="2502"/>
      <c r="B18" s="2682"/>
      <c r="C18" s="2503" t="s">
        <v>2231</v>
      </c>
      <c r="D18" s="3600">
        <f>IF(SUM(E18:F18)=0,E18,SUM(E18:F18))</f>
        <v>1716.698640446424</v>
      </c>
      <c r="E18" s="3569">
        <v>1716.698640446424</v>
      </c>
      <c r="F18" s="3635" t="s">
        <v>2153</v>
      </c>
      <c r="G18" s="3630" t="str">
        <f t="shared" si="3"/>
        <v>NA</v>
      </c>
      <c r="H18" s="3631">
        <f t="shared" si="4"/>
        <v>-6.912894629388381E-3</v>
      </c>
      <c r="I18" s="3632">
        <f t="shared" si="5"/>
        <v>-6.912894629388381E-3</v>
      </c>
      <c r="J18" s="3631">
        <f t="shared" si="6"/>
        <v>-1.382578925877677E-3</v>
      </c>
      <c r="K18" s="3631">
        <f t="shared" si="7"/>
        <v>-5.5303157035107081E-3</v>
      </c>
      <c r="L18" s="3633" t="str">
        <f t="shared" si="8"/>
        <v>NA</v>
      </c>
      <c r="M18" s="3624" t="s">
        <v>2153</v>
      </c>
      <c r="N18" s="3625">
        <v>-11.86735681182042</v>
      </c>
      <c r="O18" s="3109">
        <f>IF(SUM(M18:N18)=0,M18,SUM(M18:N18))</f>
        <v>-11.86735681182042</v>
      </c>
      <c r="P18" s="3625">
        <v>-2.3734713623640853</v>
      </c>
      <c r="Q18" s="3626">
        <v>-9.4938854494563412</v>
      </c>
      <c r="R18" s="3636" t="s">
        <v>2153</v>
      </c>
      <c r="S18" s="3570">
        <f>IF(SUM(O18:R18)=0,Q18,SUM(O18:R18)*-44/12)</f>
        <v>87.027283286683101</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-52.036530885555855</v>
      </c>
      <c r="O19" s="3109">
        <f t="shared" ref="O19:O22" si="18">IF(SUM(M19:N19)=0,M19,SUM(M19:N19))</f>
        <v>-52.036530885555855</v>
      </c>
      <c r="P19" s="3625">
        <v>-10.110260061473467</v>
      </c>
      <c r="Q19" s="3628" t="s">
        <v>2147</v>
      </c>
      <c r="R19" s="3627" t="s">
        <v>2147</v>
      </c>
      <c r="S19" s="3570">
        <f t="shared" ref="S19:S22" si="19">IF(SUM(O19:R19)=0,Q19,SUM(O19:R19)*-44/12)</f>
        <v>227.87156680577417</v>
      </c>
      <c r="T19" s="2502"/>
      <c r="U19" s="2684"/>
      <c r="V19" s="2502"/>
      <c r="W19" s="2502"/>
    </row>
    <row r="20" spans="1:23" ht="18" customHeight="1" x14ac:dyDescent="0.2">
      <c r="A20" s="2502"/>
      <c r="B20" s="2682"/>
      <c r="C20" s="2683" t="s">
        <v>2234</v>
      </c>
      <c r="D20" s="3600">
        <f t="shared" si="17"/>
        <v>10493.796142317544</v>
      </c>
      <c r="E20" s="3607">
        <v>10493.796142317544</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40.349658344892077</v>
      </c>
      <c r="E21" s="3564" t="str">
        <f t="shared" ref="E21:F21" si="20">E22</f>
        <v>IE</v>
      </c>
      <c r="F21" s="3565">
        <f t="shared" si="20"/>
        <v>40.349658344892077</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40.349658344892077</v>
      </c>
      <c r="E22" s="3569" t="s">
        <v>2153</v>
      </c>
      <c r="F22" s="3554">
        <v>40.349658344892077</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43.48</v>
      </c>
      <c r="E23" s="3591">
        <f t="shared" ref="E23:F23" si="22">IF(SUM(E24,E35,E46)=0,"IE",SUM(E24,E35,E46))</f>
        <v>43.48</v>
      </c>
      <c r="F23" s="3595" t="str">
        <f t="shared" si="22"/>
        <v>IE</v>
      </c>
      <c r="G23" s="3622" t="str">
        <f t="shared" si="3"/>
        <v>NA</v>
      </c>
      <c r="H23" s="3591">
        <f t="shared" si="4"/>
        <v>-3.3118675252989879E-3</v>
      </c>
      <c r="I23" s="3623">
        <f t="shared" si="5"/>
        <v>-3.3118675252989879E-3</v>
      </c>
      <c r="J23" s="3591" t="str">
        <f t="shared" si="6"/>
        <v>NA</v>
      </c>
      <c r="K23" s="3591" t="str">
        <f t="shared" si="7"/>
        <v>NA</v>
      </c>
      <c r="L23" s="3595" t="str">
        <f t="shared" si="8"/>
        <v>NA</v>
      </c>
      <c r="M23" s="3591" t="str">
        <f t="shared" ref="M23" si="23">IF(SUM(M24,M35,M46)=0,"IE",SUM(M24,M35,M46))</f>
        <v>IE</v>
      </c>
      <c r="N23" s="3591">
        <f t="shared" ref="N23" si="24">IF(SUM(N24,N35,N46)=0,"IE",SUM(N24,N35,N46))</f>
        <v>-0.14399999999999999</v>
      </c>
      <c r="O23" s="3623">
        <f t="shared" ref="O23" si="25">IF(SUM(O24,O35,O46)=0,"IE",SUM(O24,O35,O46))</f>
        <v>-0.14399999999999999</v>
      </c>
      <c r="P23" s="3591" t="str">
        <f>IF(SUM(P24,P35,P46)=0,"NO",SUM(P24,P35,P46))</f>
        <v>NO</v>
      </c>
      <c r="Q23" s="3590" t="str">
        <f>IF(SUM(Q24,Q35,Q46)=0,"NO",SUM(Q24,Q35,Q46))</f>
        <v>NO</v>
      </c>
      <c r="R23" s="3590" t="str">
        <f>IF(SUM(R24,R35,R46)=0,"NO",SUM(R24,R35,R46))</f>
        <v>NO</v>
      </c>
      <c r="S23" s="3594">
        <f t="shared" ref="S23" si="26">IF(SUM(S24,S35,S46)=0,"IE",SUM(S24,S35,S46))</f>
        <v>0.52799999999999991</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43.48</v>
      </c>
      <c r="E35" s="3591">
        <f>IF(SUM(E36,E38,E40,E42,E44)=0,"IE",SUM(E36,E38,E40,E42,E44))</f>
        <v>43.48</v>
      </c>
      <c r="F35" s="3595" t="str">
        <f>IF(SUM(F36,F38,F40,F42,F44)=0,"IE",SUM(F36,F38,F40,F42,F44))</f>
        <v>IE</v>
      </c>
      <c r="G35" s="3622" t="str">
        <f t="shared" si="3"/>
        <v>NA</v>
      </c>
      <c r="H35" s="3591">
        <f t="shared" si="4"/>
        <v>-3.3118675252989879E-3</v>
      </c>
      <c r="I35" s="3623">
        <f t="shared" si="5"/>
        <v>-3.3118675252989879E-3</v>
      </c>
      <c r="J35" s="3591" t="str">
        <f t="shared" si="6"/>
        <v>NA</v>
      </c>
      <c r="K35" s="3591" t="str">
        <f t="shared" si="7"/>
        <v>NA</v>
      </c>
      <c r="L35" s="3595" t="str">
        <f t="shared" si="8"/>
        <v>NA</v>
      </c>
      <c r="M35" s="3591" t="str">
        <f t="shared" ref="M35:S35" si="48">IF(SUM(M36,M38,M40,M42,M44)=0,"IE",SUM(M36,M38,M40,M42,M44))</f>
        <v>IE</v>
      </c>
      <c r="N35" s="3591">
        <f t="shared" si="48"/>
        <v>-0.14399999999999999</v>
      </c>
      <c r="O35" s="3623">
        <f t="shared" si="48"/>
        <v>-0.14399999999999999</v>
      </c>
      <c r="P35" s="3591" t="str">
        <f>IF(SUM(P36,P38,P40,P42,P44)=0,"NO",SUM(P36,P38,P40,P42,P44))</f>
        <v>NO</v>
      </c>
      <c r="Q35" s="3590" t="str">
        <f>IF(SUM(Q36,Q38,Q40,Q42,Q44)=0,"NO",SUM(Q36,Q38,Q40,Q42,Q44))</f>
        <v>NO</v>
      </c>
      <c r="R35" s="3590" t="str">
        <f>IF(SUM(R36,R38,R40,R42,R44)=0,"NO",SUM(R36,R38,R40,R42,R44))</f>
        <v>NO</v>
      </c>
      <c r="S35" s="3594">
        <f t="shared" si="48"/>
        <v>0.52799999999999991</v>
      </c>
      <c r="U35" s="503"/>
    </row>
    <row r="36" spans="2:21" ht="18" customHeight="1" x14ac:dyDescent="0.2">
      <c r="B36" s="505" t="s">
        <v>1087</v>
      </c>
      <c r="C36" s="486"/>
      <c r="D36" s="3600">
        <f>D37</f>
        <v>43.48</v>
      </c>
      <c r="E36" s="3564">
        <f t="shared" ref="E36:F36" si="49">E37</f>
        <v>43.48</v>
      </c>
      <c r="F36" s="3565" t="str">
        <f t="shared" si="49"/>
        <v>IE</v>
      </c>
      <c r="G36" s="3558" t="str">
        <f t="shared" si="3"/>
        <v>NA</v>
      </c>
      <c r="H36" s="3078">
        <f t="shared" si="4"/>
        <v>-3.3118675252989879E-3</v>
      </c>
      <c r="I36" s="3078">
        <f t="shared" si="5"/>
        <v>-3.3118675252989879E-3</v>
      </c>
      <c r="J36" s="3078" t="str">
        <f t="shared" si="6"/>
        <v>NA</v>
      </c>
      <c r="K36" s="3573" t="str">
        <f t="shared" si="7"/>
        <v>NA</v>
      </c>
      <c r="L36" s="3128" t="str">
        <f t="shared" si="8"/>
        <v>NA</v>
      </c>
      <c r="M36" s="3505" t="str">
        <f t="shared" ref="M36:S36" si="50">M37</f>
        <v>IE</v>
      </c>
      <c r="N36" s="3506">
        <f t="shared" si="50"/>
        <v>-0.14399999999999999</v>
      </c>
      <c r="O36" s="3506">
        <f t="shared" si="50"/>
        <v>-0.14399999999999999</v>
      </c>
      <c r="P36" s="3506" t="str">
        <f t="shared" si="50"/>
        <v>NA</v>
      </c>
      <c r="Q36" s="3601" t="str">
        <f t="shared" si="50"/>
        <v>NA</v>
      </c>
      <c r="R36" s="3601" t="str">
        <f t="shared" si="50"/>
        <v>NA</v>
      </c>
      <c r="S36" s="3287">
        <f t="shared" si="50"/>
        <v>0.52799999999999991</v>
      </c>
      <c r="U36" s="2402"/>
    </row>
    <row r="37" spans="2:21" ht="18" customHeight="1" x14ac:dyDescent="0.2">
      <c r="B37" s="1479"/>
      <c r="C37" s="885" t="s">
        <v>278</v>
      </c>
      <c r="D37" s="3600">
        <f>IF(SUM(E37:F37)=0,E37,SUM(E37:F37))</f>
        <v>43.48</v>
      </c>
      <c r="E37" s="3569">
        <v>43.48</v>
      </c>
      <c r="F37" s="3554" t="s">
        <v>2153</v>
      </c>
      <c r="G37" s="3622" t="str">
        <f t="shared" si="3"/>
        <v>NA</v>
      </c>
      <c r="H37" s="3591">
        <f t="shared" si="4"/>
        <v>-3.3118675252989879E-3</v>
      </c>
      <c r="I37" s="3623">
        <f t="shared" si="5"/>
        <v>-3.3118675252989879E-3</v>
      </c>
      <c r="J37" s="3591" t="str">
        <f t="shared" si="6"/>
        <v>NA</v>
      </c>
      <c r="K37" s="3591" t="str">
        <f t="shared" si="7"/>
        <v>NA</v>
      </c>
      <c r="L37" s="3595" t="str">
        <f t="shared" si="8"/>
        <v>NA</v>
      </c>
      <c r="M37" s="3624" t="s">
        <v>2153</v>
      </c>
      <c r="N37" s="3625">
        <v>-0.14399999999999999</v>
      </c>
      <c r="O37" s="3109">
        <f t="shared" ref="O37" si="51">IF(SUM(M37:N37)=0,M37,SUM(M37:N37))</f>
        <v>-0.14399999999999999</v>
      </c>
      <c r="P37" s="3625" t="s">
        <v>2147</v>
      </c>
      <c r="Q37" s="3626" t="s">
        <v>2147</v>
      </c>
      <c r="R37" s="3626" t="s">
        <v>2147</v>
      </c>
      <c r="S37" s="3570">
        <f t="shared" ref="S37" si="52">IF(SUM(O37:R37)=0,Q37,SUM(O37:R37)*-44/12)</f>
        <v>0.52799999999999991</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1526.0315376199792</v>
      </c>
      <c r="E10" s="3583">
        <f t="shared" ref="E10:F10" si="0">IF(SUM(E11,E13)=0,"IE",SUM(E11,E13))</f>
        <v>1435.2967031969999</v>
      </c>
      <c r="F10" s="3584">
        <f t="shared" si="0"/>
        <v>90.734834422979318</v>
      </c>
      <c r="G10" s="3582">
        <f>IFERROR(IF(SUM($D10)=0,"NA",M10/$D10),"NA")</f>
        <v>1.9457373506779421E-3</v>
      </c>
      <c r="H10" s="3583">
        <f t="shared" ref="H10:J10" si="1">IFERROR(IF(SUM($D10)=0,"NA",N10/$D10),"NA")</f>
        <v>-0.85304870100784191</v>
      </c>
      <c r="I10" s="3583">
        <f t="shared" si="1"/>
        <v>-0.85110296365716398</v>
      </c>
      <c r="J10" s="3583">
        <f t="shared" si="1"/>
        <v>0.17050724785287347</v>
      </c>
      <c r="K10" s="3585">
        <f>IFERROR(IF(SUM(E10)=0,"NA",Q10/E10),"NA")</f>
        <v>-9.5827290932106512E-2</v>
      </c>
      <c r="L10" s="3584">
        <f>IFERROR(IF(SUM(F10)=0,"NA",R10/F10),"NA")</f>
        <v>0.56607643448835787</v>
      </c>
      <c r="M10" s="3586">
        <f>IF(SUM(M11,M13)=0,"IE",SUM(M11,M13))</f>
        <v>2.9692565610596846</v>
      </c>
      <c r="N10" s="3583">
        <f t="shared" ref="N10:S10" si="2">IF(SUM(N11,N13)=0,"IE",SUM(N11,N13))</f>
        <v>-1301.7792208637229</v>
      </c>
      <c r="O10" s="3587">
        <f t="shared" si="2"/>
        <v>-1298.8099643026633</v>
      </c>
      <c r="P10" s="3583">
        <f t="shared" si="2"/>
        <v>260.19943761627138</v>
      </c>
      <c r="Q10" s="3585">
        <f t="shared" si="2"/>
        <v>-137.54059475115224</v>
      </c>
      <c r="R10" s="3585">
        <f t="shared" si="2"/>
        <v>51.362851554051652</v>
      </c>
      <c r="S10" s="3588">
        <f t="shared" si="2"/>
        <v>4124.2236562394728</v>
      </c>
      <c r="U10" s="2261"/>
    </row>
    <row r="11" spans="2:21" ht="18" customHeight="1" x14ac:dyDescent="0.2">
      <c r="B11" s="493" t="s">
        <v>993</v>
      </c>
      <c r="C11" s="2256"/>
      <c r="D11" s="3589">
        <f>D12</f>
        <v>1021.524703197</v>
      </c>
      <c r="E11" s="3078">
        <f t="shared" ref="E11:F11" si="3">E12</f>
        <v>1021.524703197</v>
      </c>
      <c r="F11" s="3078" t="str">
        <f t="shared" si="3"/>
        <v>IE</v>
      </c>
      <c r="G11" s="3558">
        <f t="shared" ref="G11:G24" si="4">IFERROR(IF(SUM($D11)=0,"NA",M11/$D11),"NA")</f>
        <v>2.9066909021064238E-3</v>
      </c>
      <c r="H11" s="3078" t="str">
        <f t="shared" ref="H11:H24" si="5">IFERROR(IF(SUM($D11)=0,"NA",N11/$D11),"NA")</f>
        <v>NA</v>
      </c>
      <c r="I11" s="3078">
        <f t="shared" ref="I11:I24" si="6">IFERROR(IF(SUM($D11)=0,"NA",O11/$D11),"NA")</f>
        <v>2.9066909021064238E-3</v>
      </c>
      <c r="J11" s="3078">
        <f t="shared" ref="J11:J24" si="7">IFERROR(IF(SUM($D11)=0,"NA",P11/$D11),"NA")</f>
        <v>5.8133818042128537E-4</v>
      </c>
      <c r="K11" s="3573">
        <f t="shared" ref="K11:K24" si="8">IFERROR(IF(SUM(E11)=0,"NA",Q11/E11),"NA")</f>
        <v>2.3253527216851415E-3</v>
      </c>
      <c r="L11" s="3128" t="str">
        <f t="shared" ref="L11:L24" si="9">IFERROR(IF(SUM(F11)=0,"NA",R11/F11),"NA")</f>
        <v>NA</v>
      </c>
      <c r="M11" s="3590">
        <f t="shared" ref="M11:S11" si="10">M12</f>
        <v>2.9692565610596846</v>
      </c>
      <c r="N11" s="3591" t="str">
        <f t="shared" si="10"/>
        <v>IE</v>
      </c>
      <c r="O11" s="3592">
        <f t="shared" si="10"/>
        <v>2.9692565610596846</v>
      </c>
      <c r="P11" s="3591">
        <f t="shared" si="10"/>
        <v>0.59385131221193754</v>
      </c>
      <c r="Q11" s="3593">
        <f t="shared" si="10"/>
        <v>2.3754052488477502</v>
      </c>
      <c r="R11" s="3593" t="str">
        <f t="shared" si="10"/>
        <v>IE</v>
      </c>
      <c r="S11" s="3594">
        <f t="shared" si="10"/>
        <v>-21.774548114437703</v>
      </c>
      <c r="U11" s="2397"/>
    </row>
    <row r="12" spans="2:21" ht="18" customHeight="1" x14ac:dyDescent="0.2">
      <c r="B12" s="501"/>
      <c r="C12" s="885" t="s">
        <v>278</v>
      </c>
      <c r="D12" s="3600">
        <f>IF(SUM(E12:F12)=0,E12,SUM(E12:F12))</f>
        <v>1021.524703197</v>
      </c>
      <c r="E12" s="3569">
        <v>1021.524703197</v>
      </c>
      <c r="F12" s="3554" t="s">
        <v>2153</v>
      </c>
      <c r="G12" s="3558">
        <f t="shared" si="4"/>
        <v>2.9066909021064238E-3</v>
      </c>
      <c r="H12" s="3078" t="str">
        <f t="shared" si="5"/>
        <v>NA</v>
      </c>
      <c r="I12" s="3078">
        <f t="shared" si="6"/>
        <v>2.9066909021064238E-3</v>
      </c>
      <c r="J12" s="3078">
        <f t="shared" si="7"/>
        <v>5.8133818042128537E-4</v>
      </c>
      <c r="K12" s="3573">
        <f t="shared" si="8"/>
        <v>2.3253527216851415E-3</v>
      </c>
      <c r="L12" s="3128" t="str">
        <f t="shared" si="9"/>
        <v>NA</v>
      </c>
      <c r="M12" s="2905">
        <v>2.9692565610596846</v>
      </c>
      <c r="N12" s="2905" t="s">
        <v>2153</v>
      </c>
      <c r="O12" s="3109">
        <f>IF(SUM(M12:N12)=0,M12,SUM(M12:N12))</f>
        <v>2.9692565610596846</v>
      </c>
      <c r="P12" s="2905">
        <v>0.59385131221193754</v>
      </c>
      <c r="Q12" s="2906">
        <v>2.3754052488477502</v>
      </c>
      <c r="R12" s="2906" t="s">
        <v>2153</v>
      </c>
      <c r="S12" s="3570">
        <f>IF(SUM(O12:R12)=0,Q12,SUM(O12:R12)*-44/12)</f>
        <v>-21.774548114437703</v>
      </c>
      <c r="U12" s="2398"/>
    </row>
    <row r="13" spans="2:21" ht="18" customHeight="1" x14ac:dyDescent="0.2">
      <c r="B13" s="493" t="s">
        <v>994</v>
      </c>
      <c r="C13" s="504"/>
      <c r="D13" s="3589">
        <f>IF(SUM(D14,D17,D19,D21,D23)=0,"IE",SUM(D14,D17,D19,D21,D23))</f>
        <v>504.5068344229793</v>
      </c>
      <c r="E13" s="3591">
        <f t="shared" ref="E13:S13" si="11">IF(SUM(E14,E17,E19,E21,E23)=0,"IE",SUM(E14,E17,E19,E21,E23))</f>
        <v>413.77199999999999</v>
      </c>
      <c r="F13" s="3595">
        <f t="shared" si="11"/>
        <v>90.734834422979318</v>
      </c>
      <c r="G13" s="3558" t="str">
        <f t="shared" si="4"/>
        <v>NA</v>
      </c>
      <c r="H13" s="3078">
        <f t="shared" si="5"/>
        <v>-2.580300467787735</v>
      </c>
      <c r="I13" s="3078">
        <f t="shared" si="6"/>
        <v>-2.580300467787735</v>
      </c>
      <c r="J13" s="3078">
        <f t="shared" si="7"/>
        <v>0.51457298214994196</v>
      </c>
      <c r="K13" s="3573">
        <f t="shared" si="8"/>
        <v>-0.33814757885985519</v>
      </c>
      <c r="L13" s="3128">
        <f t="shared" si="9"/>
        <v>0.56607643448835787</v>
      </c>
      <c r="M13" s="3078" t="str">
        <f t="shared" si="11"/>
        <v>IE</v>
      </c>
      <c r="N13" s="3078">
        <f t="shared" si="11"/>
        <v>-1301.7792208637229</v>
      </c>
      <c r="O13" s="3078">
        <f t="shared" si="11"/>
        <v>-1301.7792208637229</v>
      </c>
      <c r="P13" s="3078">
        <f t="shared" si="11"/>
        <v>259.60558630405944</v>
      </c>
      <c r="Q13" s="3573">
        <f t="shared" si="11"/>
        <v>-139.916</v>
      </c>
      <c r="R13" s="3573">
        <f t="shared" si="11"/>
        <v>51.362851554051652</v>
      </c>
      <c r="S13" s="3570">
        <f t="shared" si="11"/>
        <v>4145.9982043539103</v>
      </c>
      <c r="U13" s="2019"/>
    </row>
    <row r="14" spans="2:21" ht="18" customHeight="1" x14ac:dyDescent="0.2">
      <c r="B14" s="495" t="s">
        <v>1101</v>
      </c>
      <c r="C14" s="504"/>
      <c r="D14" s="3599">
        <f>IF(SUM(D15:D16)=0,"IE",SUM(D15:D16))</f>
        <v>504.5068344229793</v>
      </c>
      <c r="E14" s="3564">
        <f t="shared" ref="E14:F14" si="12">IF(SUM(E15:E16)=0,"IE",SUM(E15:E16))</f>
        <v>413.77199999999999</v>
      </c>
      <c r="F14" s="3565">
        <f t="shared" si="12"/>
        <v>90.734834422979318</v>
      </c>
      <c r="G14" s="3558" t="str">
        <f t="shared" si="4"/>
        <v>NA</v>
      </c>
      <c r="H14" s="3078">
        <f t="shared" si="5"/>
        <v>-2.580300467787735</v>
      </c>
      <c r="I14" s="3078">
        <f t="shared" si="6"/>
        <v>-2.580300467787735</v>
      </c>
      <c r="J14" s="3078">
        <f t="shared" si="7"/>
        <v>0.51457298214994196</v>
      </c>
      <c r="K14" s="3573">
        <f t="shared" si="8"/>
        <v>-0.33814757885985519</v>
      </c>
      <c r="L14" s="3128">
        <f t="shared" si="9"/>
        <v>0.56607643448835787</v>
      </c>
      <c r="M14" s="3506" t="str">
        <f>IF(SUM(M15:M16)=0,"IE",SUM(M15:M16))</f>
        <v>IE</v>
      </c>
      <c r="N14" s="3506">
        <f t="shared" ref="N14:S14" si="13">IF(SUM(N15:N16)=0,"IE",SUM(N15:N16))</f>
        <v>-1301.7792208637229</v>
      </c>
      <c r="O14" s="3506">
        <f t="shared" si="13"/>
        <v>-1301.7792208637229</v>
      </c>
      <c r="P14" s="3506">
        <f t="shared" si="13"/>
        <v>259.60558630405944</v>
      </c>
      <c r="Q14" s="3601">
        <f t="shared" si="13"/>
        <v>-139.916</v>
      </c>
      <c r="R14" s="3601">
        <f t="shared" si="13"/>
        <v>51.362851554051652</v>
      </c>
      <c r="S14" s="3287">
        <f t="shared" si="13"/>
        <v>4145.9982043539103</v>
      </c>
      <c r="U14" s="2019"/>
    </row>
    <row r="15" spans="2:21" ht="18" customHeight="1" x14ac:dyDescent="0.2">
      <c r="B15" s="496"/>
      <c r="C15" s="508" t="s">
        <v>2235</v>
      </c>
      <c r="D15" s="3600">
        <f>IF(SUM(E15:F15)=0,E15,SUM(E15:F15))</f>
        <v>90.734834422979318</v>
      </c>
      <c r="E15" s="3569" t="s">
        <v>2146</v>
      </c>
      <c r="F15" s="3554">
        <v>90.734834422979318</v>
      </c>
      <c r="G15" s="3558" t="str">
        <f t="shared" si="4"/>
        <v>NA</v>
      </c>
      <c r="H15" s="3078">
        <f t="shared" si="5"/>
        <v>-11.963037435034106</v>
      </c>
      <c r="I15" s="3078">
        <f t="shared" si="6"/>
        <v>-11.963037435034106</v>
      </c>
      <c r="J15" s="3078">
        <f t="shared" si="7"/>
        <v>3.688380415662091</v>
      </c>
      <c r="K15" s="3573" t="str">
        <f t="shared" si="8"/>
        <v>NA</v>
      </c>
      <c r="L15" s="3128">
        <f t="shared" si="9"/>
        <v>0.56607643448835787</v>
      </c>
      <c r="M15" s="2905" t="s">
        <v>2153</v>
      </c>
      <c r="N15" s="2905">
        <v>-1085.4642208637229</v>
      </c>
      <c r="O15" s="3109">
        <f>IF(SUM(M15:N15)=0,M15,SUM(M15:N15))</f>
        <v>-1085.4642208637229</v>
      </c>
      <c r="P15" s="2905">
        <v>334.66458630405947</v>
      </c>
      <c r="Q15" s="2906" t="s">
        <v>2146</v>
      </c>
      <c r="R15" s="2906">
        <v>51.362851554051652</v>
      </c>
      <c r="S15" s="3570">
        <f>IF(SUM(O15:R15)=0,Q15,SUM(O15:R15)*-44/12)</f>
        <v>2564.6015376872433</v>
      </c>
      <c r="U15" s="2019"/>
    </row>
    <row r="16" spans="2:21" ht="18" customHeight="1" x14ac:dyDescent="0.2">
      <c r="B16" s="494"/>
      <c r="C16" s="508" t="s">
        <v>2236</v>
      </c>
      <c r="D16" s="3600">
        <f>IF(SUM(E16:F16)=0,E16,SUM(E16:F16))</f>
        <v>413.77199999999999</v>
      </c>
      <c r="E16" s="3569">
        <v>413.77199999999999</v>
      </c>
      <c r="F16" s="3554" t="s">
        <v>2153</v>
      </c>
      <c r="G16" s="3558" t="str">
        <f t="shared" si="4"/>
        <v>NA</v>
      </c>
      <c r="H16" s="3078">
        <f t="shared" si="5"/>
        <v>-0.52278791218352139</v>
      </c>
      <c r="I16" s="3078">
        <f t="shared" si="6"/>
        <v>-0.52278791218352139</v>
      </c>
      <c r="J16" s="3078">
        <f t="shared" si="7"/>
        <v>-0.1814018348269095</v>
      </c>
      <c r="K16" s="3573">
        <f t="shared" si="8"/>
        <v>-0.33814757885985519</v>
      </c>
      <c r="L16" s="3128" t="str">
        <f t="shared" si="9"/>
        <v>NA</v>
      </c>
      <c r="M16" s="2905" t="s">
        <v>2153</v>
      </c>
      <c r="N16" s="2905">
        <v>-216.315</v>
      </c>
      <c r="O16" s="3109">
        <f>IF(SUM(M16:N16)=0,M16,SUM(M16:N16))</f>
        <v>-216.315</v>
      </c>
      <c r="P16" s="2905">
        <v>-75.058999999999997</v>
      </c>
      <c r="Q16" s="2906">
        <v>-139.916</v>
      </c>
      <c r="R16" s="2906" t="s">
        <v>2153</v>
      </c>
      <c r="S16" s="3570">
        <f>IF(SUM(O16:R16)=0,Q16,SUM(O16:R16)*-44/12)</f>
        <v>1581.3966666666668</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74.66093860824904</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74.66093860824904</v>
      </c>
    </row>
    <row r="270" spans="2:10" ht="18" customHeight="1" x14ac:dyDescent="0.2">
      <c r="B270" s="2827" t="s">
        <v>1187</v>
      </c>
      <c r="C270" s="2828"/>
      <c r="D270" s="2808"/>
      <c r="E270" s="2809"/>
      <c r="F270" s="2810"/>
      <c r="G270" s="2811"/>
      <c r="H270" s="2819" t="s">
        <v>2154</v>
      </c>
      <c r="I270" s="2815" t="s">
        <v>2154</v>
      </c>
      <c r="J270" s="3741">
        <f>J277</f>
        <v>74.052905270947747</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704.36923871469276</v>
      </c>
      <c r="E277" s="2755" t="s">
        <v>2147</v>
      </c>
      <c r="F277" s="2753" t="s">
        <v>2147</v>
      </c>
      <c r="G277" s="3735">
        <f>IF(SUM(D277)=0,"NA",J277*1000/D277)</f>
        <v>105.13364468623982</v>
      </c>
      <c r="H277" s="2778" t="str">
        <f t="shared" ref="H277:J277" si="1">H302</f>
        <v>NE</v>
      </c>
      <c r="I277" s="2777" t="str">
        <f t="shared" si="1"/>
        <v>NE</v>
      </c>
      <c r="J277" s="3734">
        <f t="shared" si="1"/>
        <v>74.052905270947747</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411.24547417817041</v>
      </c>
      <c r="E281" s="2755" t="str">
        <f t="shared" si="2"/>
        <v>NA</v>
      </c>
      <c r="F281" s="2753" t="str">
        <f t="shared" si="2"/>
        <v>NA</v>
      </c>
      <c r="G281" s="3735">
        <f t="shared" si="2"/>
        <v>121.42730632473226</v>
      </c>
      <c r="H281" s="2780" t="str">
        <f t="shared" ref="H281" si="3">H306</f>
        <v>NA</v>
      </c>
      <c r="I281" s="2758" t="str">
        <f t="shared" ref="I281:J281" si="4">I306</f>
        <v>NA</v>
      </c>
      <c r="J281" s="3744">
        <f t="shared" si="4"/>
        <v>49.936430167692464</v>
      </c>
    </row>
    <row r="282" spans="2:10" ht="18" customHeight="1" outlineLevel="1" x14ac:dyDescent="0.2">
      <c r="B282" s="2847" t="str">
        <f>B307</f>
        <v>Other Constructed Water Bodies</v>
      </c>
      <c r="C282" s="2835" t="str">
        <f t="shared" si="2"/>
        <v>Other Constructed Water Bodies</v>
      </c>
      <c r="D282" s="3729">
        <f t="shared" si="2"/>
        <v>293.1237645365224</v>
      </c>
      <c r="E282" s="2755" t="str">
        <f t="shared" si="2"/>
        <v>NA</v>
      </c>
      <c r="F282" s="2753" t="str">
        <f t="shared" si="2"/>
        <v>NA</v>
      </c>
      <c r="G282" s="3735">
        <f t="shared" si="2"/>
        <v>82.274035820287224</v>
      </c>
      <c r="H282" s="2845" t="str">
        <f t="shared" ref="H282" si="5">H307</f>
        <v>NA</v>
      </c>
      <c r="I282" s="2846" t="str">
        <f t="shared" ref="I282:J282" si="6">I307</f>
        <v>NA</v>
      </c>
      <c r="J282" s="3744">
        <f t="shared" si="6"/>
        <v>24.116475103255283</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74.052905270947747</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704.36923871469276</v>
      </c>
      <c r="E302" s="2755" t="s">
        <v>2147</v>
      </c>
      <c r="F302" s="2753" t="s">
        <v>2147</v>
      </c>
      <c r="G302" s="3735">
        <f>IF(SUM(D302)=0,"NA",J302*1000/D302)</f>
        <v>105.13364468623982</v>
      </c>
      <c r="H302" s="2778" t="s">
        <v>2154</v>
      </c>
      <c r="I302" s="2777" t="s">
        <v>2154</v>
      </c>
      <c r="J302" s="3734">
        <f t="shared" ref="J302" si="7">IF(SUM(J306:J307)=0,"NO",SUM(J306:J307))</f>
        <v>74.052905270947747</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411.24547417817041</v>
      </c>
      <c r="E306" s="2755" t="s">
        <v>2147</v>
      </c>
      <c r="F306" s="2753" t="s">
        <v>2147</v>
      </c>
      <c r="G306" s="3735">
        <f>IF(SUM(D306)=0,"NA",J306*1000/D306)</f>
        <v>121.42730632473226</v>
      </c>
      <c r="H306" s="2780" t="s">
        <v>2147</v>
      </c>
      <c r="I306" s="2758" t="s">
        <v>2147</v>
      </c>
      <c r="J306" s="3744">
        <v>49.936430167692464</v>
      </c>
    </row>
    <row r="307" spans="2:10" ht="18" customHeight="1" outlineLevel="2" x14ac:dyDescent="0.2">
      <c r="B307" s="2847" t="s">
        <v>2245</v>
      </c>
      <c r="C307" s="2835" t="s">
        <v>2245</v>
      </c>
      <c r="D307" s="3732">
        <v>293.1237645365224</v>
      </c>
      <c r="E307" s="2755" t="s">
        <v>2147</v>
      </c>
      <c r="F307" s="2753" t="s">
        <v>2147</v>
      </c>
      <c r="G307" s="3735">
        <f>IF(SUM(D307)=0,"NA",J307*1000/D307)</f>
        <v>82.274035820287224</v>
      </c>
      <c r="H307" s="2780" t="s">
        <v>2147</v>
      </c>
      <c r="I307" s="2758" t="s">
        <v>2147</v>
      </c>
      <c r="J307" s="3744">
        <v>24.116475103255283</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0.60803333730129738</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2.8240536536334795</v>
      </c>
      <c r="E327" s="2776" t="str">
        <f t="shared" ref="E327:J327" si="8">E331</f>
        <v>NA</v>
      </c>
      <c r="F327" s="2777" t="str">
        <f t="shared" si="8"/>
        <v>NA</v>
      </c>
      <c r="G327" s="3737">
        <f t="shared" si="8"/>
        <v>215.3051648006016</v>
      </c>
      <c r="H327" s="2778" t="str">
        <f t="shared" si="8"/>
        <v>IE</v>
      </c>
      <c r="I327" s="2777" t="str">
        <f t="shared" si="8"/>
        <v>NA</v>
      </c>
      <c r="J327" s="3734">
        <f t="shared" si="8"/>
        <v>0.60803333730129738</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2.8240536536334795</v>
      </c>
      <c r="E331" s="2755" t="str">
        <f t="shared" si="9"/>
        <v>NA</v>
      </c>
      <c r="F331" s="2753" t="str">
        <f t="shared" si="9"/>
        <v>NA</v>
      </c>
      <c r="G331" s="3735">
        <f t="shared" si="9"/>
        <v>215.3051648006016</v>
      </c>
      <c r="H331" s="2765" t="str">
        <f t="shared" si="9"/>
        <v>IE</v>
      </c>
      <c r="I331" s="2758" t="str">
        <f t="shared" si="9"/>
        <v>NA</v>
      </c>
      <c r="J331" s="3744">
        <f t="shared" si="9"/>
        <v>0.60803333730129738</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0.60803333730129738</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2.8240536536334795</v>
      </c>
      <c r="E411" s="2776" t="str">
        <f t="shared" ref="E411:J411" si="10">E415</f>
        <v>NA</v>
      </c>
      <c r="F411" s="2777" t="str">
        <f t="shared" si="10"/>
        <v>NA</v>
      </c>
      <c r="G411" s="3737">
        <f t="shared" si="10"/>
        <v>215.3051648006016</v>
      </c>
      <c r="H411" s="2778" t="str">
        <f t="shared" si="10"/>
        <v>IE</v>
      </c>
      <c r="I411" s="2777" t="str">
        <f t="shared" si="10"/>
        <v>NA</v>
      </c>
      <c r="J411" s="3734">
        <f t="shared" si="10"/>
        <v>0.60803333730129738</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2.8240536536334795</v>
      </c>
      <c r="E415" s="2755" t="str">
        <f>E427</f>
        <v>NA</v>
      </c>
      <c r="F415" s="2753" t="str">
        <f>F427</f>
        <v>NA</v>
      </c>
      <c r="G415" s="3735">
        <f t="shared" ref="G415:J415" si="11">G427</f>
        <v>215.3051648006016</v>
      </c>
      <c r="H415" s="2780" t="str">
        <f t="shared" si="11"/>
        <v>IE</v>
      </c>
      <c r="I415" s="2758" t="str">
        <f t="shared" si="11"/>
        <v>NA</v>
      </c>
      <c r="J415" s="3744">
        <f t="shared" si="11"/>
        <v>0.60803333730129738</v>
      </c>
    </row>
    <row r="416" spans="2:10" ht="18" customHeight="1" outlineLevel="2" x14ac:dyDescent="0.2">
      <c r="B416" s="2842" t="s">
        <v>1199</v>
      </c>
      <c r="C416" s="2828"/>
      <c r="D416" s="3731"/>
      <c r="E416" s="2809"/>
      <c r="F416" s="2810"/>
      <c r="G416" s="3738"/>
      <c r="H416" s="2819" t="s">
        <v>2154</v>
      </c>
      <c r="I416" s="2815" t="s">
        <v>2154</v>
      </c>
      <c r="J416" s="3741">
        <f>J423</f>
        <v>0.60803333730129738</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2.8240536536334795</v>
      </c>
      <c r="E423" s="2776" t="str">
        <f t="shared" ref="E423:J423" si="12">E427</f>
        <v>NA</v>
      </c>
      <c r="F423" s="2777" t="str">
        <f t="shared" si="12"/>
        <v>NA</v>
      </c>
      <c r="G423" s="3737">
        <f t="shared" si="12"/>
        <v>215.3051648006016</v>
      </c>
      <c r="H423" s="2778" t="str">
        <f t="shared" si="12"/>
        <v>IE</v>
      </c>
      <c r="I423" s="2777" t="str">
        <f t="shared" si="12"/>
        <v>NA</v>
      </c>
      <c r="J423" s="3734">
        <f t="shared" si="12"/>
        <v>0.60803333730129738</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2.8240536536334795</v>
      </c>
      <c r="E427" s="2755" t="s">
        <v>2147</v>
      </c>
      <c r="F427" s="2753" t="s">
        <v>2147</v>
      </c>
      <c r="G427" s="3735">
        <f>IF(SUM(D427)=0,"NA",J427*1000/D427)</f>
        <v>215.3051648006016</v>
      </c>
      <c r="H427" s="2780" t="s">
        <v>2153</v>
      </c>
      <c r="I427" s="2758" t="s">
        <v>2147</v>
      </c>
      <c r="J427" s="3744">
        <v>0.60803333730129738</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657133.97082472185</v>
      </c>
      <c r="D10" s="4332">
        <f>IF(SUM(D11,D20,D28,D37,D46,D55)=0,"NO",SUM(D11,D20,D28,D37,D46,D55))</f>
        <v>68824.513132906577</v>
      </c>
      <c r="E10" s="4333">
        <f t="shared" ref="E10:E12" si="0">IF(SUM(C10)=0,"NA",G10/C10*1000/(44/28))</f>
        <v>1.9413501356522337E-3</v>
      </c>
      <c r="F10" s="4332">
        <f t="shared" ref="F10:F11" si="1">IF(SUM(D10)=0,"NA",H10/D10*1000/(44/28))</f>
        <v>7.4999999999999997E-3</v>
      </c>
      <c r="G10" s="4331">
        <f>IF(SUM(G11,G20,G28,G37,G46,G55)=0,"NO",SUM(G11,G20,G28,G37,G46,G55))</f>
        <v>2.0047140510607018</v>
      </c>
      <c r="H10" s="4334">
        <f>IF(SUM(H11,H20,H28,H37,H46,H55)=0,"NO",SUM(H11,H20,H28,H37,H46,H55))</f>
        <v>0.81114604763782749</v>
      </c>
      <c r="I10" s="4335">
        <f t="shared" ref="I10:I11" si="2">IF(SUM(G10:H10)=0,"NO",SUM(G10:H10))</f>
        <v>2.8158600986985292</v>
      </c>
    </row>
    <row r="11" spans="2:10" ht="18" customHeight="1" x14ac:dyDescent="0.2">
      <c r="B11" s="2848" t="s">
        <v>1901</v>
      </c>
      <c r="C11" s="4336">
        <f>IF(SUM(C12:C13)=0,"NO",SUM(C12:C13))</f>
        <v>132429.54671333209</v>
      </c>
      <c r="D11" s="4337">
        <f>IF(SUM(D12:D13)=0,"NO",SUM(D12:D13))</f>
        <v>31281.982340212413</v>
      </c>
      <c r="E11" s="4336">
        <f t="shared" si="0"/>
        <v>3.4323772936454395E-3</v>
      </c>
      <c r="F11" s="4337">
        <f t="shared" si="1"/>
        <v>7.4999999999999997E-3</v>
      </c>
      <c r="G11" s="4336">
        <f>IF(SUM(G12:G13)=0,"NO",SUM(G12:G13))</f>
        <v>0.71428998008751288</v>
      </c>
      <c r="H11" s="4338">
        <f>IF(SUM(H12:H13)=0,"NO",SUM(H12:H13))</f>
        <v>0.36868050615250336</v>
      </c>
      <c r="I11" s="4337">
        <f t="shared" si="2"/>
        <v>1.0829704862400162</v>
      </c>
    </row>
    <row r="12" spans="2:10" ht="18" customHeight="1" x14ac:dyDescent="0.2">
      <c r="B12" s="914" t="s">
        <v>1228</v>
      </c>
      <c r="C12" s="4339">
        <f>Table4.A!E11</f>
        <v>120259.367316182</v>
      </c>
      <c r="D12" s="4340">
        <f>H12/F12*1000/(44/28)</f>
        <v>11037.79931340228</v>
      </c>
      <c r="E12" s="4341">
        <f t="shared" si="0"/>
        <v>9.5428296429368546E-4</v>
      </c>
      <c r="F12" s="4342">
        <v>7.4999999999999997E-3</v>
      </c>
      <c r="G12" s="4339">
        <v>0.18033944582746608</v>
      </c>
      <c r="H12" s="4343">
        <v>0.13008834905081257</v>
      </c>
      <c r="I12" s="4344">
        <f>IF(SUM(G12:H12)=0,"NO",SUM(G12:H12))</f>
        <v>0.31042779487827865</v>
      </c>
    </row>
    <row r="13" spans="2:10" ht="18" customHeight="1" x14ac:dyDescent="0.2">
      <c r="B13" s="914" t="s">
        <v>1902</v>
      </c>
      <c r="C13" s="4345">
        <f>IF(SUM(C15:C19)=0,"NO",SUM(C15:C19))</f>
        <v>12170.179397150097</v>
      </c>
      <c r="D13" s="4344">
        <f>IF(SUM(D15:D19)=0,"NO",SUM(D15:D19))</f>
        <v>20244.183026810133</v>
      </c>
      <c r="E13" s="4345">
        <f>IF(SUM(C13)=0,"NA",G13/C13*1000/(44/28))</f>
        <v>2.7919613387095837E-2</v>
      </c>
      <c r="F13" s="4344">
        <f>IF(SUM(D13)=0,"NA",H13/D13*1000/(44/28))</f>
        <v>7.4999999999999997E-3</v>
      </c>
      <c r="G13" s="4345">
        <f>IF(SUM(G15:G19)=0,"NO",SUM(G15:G19))</f>
        <v>0.53395053426004679</v>
      </c>
      <c r="H13" s="4346">
        <f>IF(SUM(H15:H19)=0,"NO",SUM(H15:H19))</f>
        <v>0.23859215710169082</v>
      </c>
      <c r="I13" s="4344">
        <f>IF(SUM(G13:H13)=0,"NO",SUM(G13:H13))</f>
        <v>0.77254269136173759</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81.174000000000007</v>
      </c>
      <c r="D15" s="4340">
        <f>H15/F15*1000/(44/28)</f>
        <v>182.62575685321863</v>
      </c>
      <c r="E15" s="4345">
        <f>IF(SUM(C15)=0,"NA",G15/C15*1000/(44/28))</f>
        <v>4.3904862805003234E-2</v>
      </c>
      <c r="F15" s="4342">
        <v>7.4999999999999997E-3</v>
      </c>
      <c r="G15" s="4350">
        <v>5.6004666666666656E-3</v>
      </c>
      <c r="H15" s="4351">
        <v>2.1523749914843624E-3</v>
      </c>
      <c r="I15" s="4344">
        <f>IF(SUM(G15:H15)=0,"NO",SUM(G15:H15))</f>
        <v>7.7528416581510284E-3</v>
      </c>
    </row>
    <row r="16" spans="2:10" ht="18" customHeight="1" x14ac:dyDescent="0.2">
      <c r="B16" s="528" t="s">
        <v>1230</v>
      </c>
      <c r="C16" s="4350">
        <f>Table4.A!E19</f>
        <v>12024.988397150097</v>
      </c>
      <c r="D16" s="4340">
        <f>H16/F16*1000/(44/28)</f>
        <v>19854.619806016981</v>
      </c>
      <c r="E16" s="4345">
        <f t="shared" ref="E16:E21" si="3">IF(SUM(C16)=0,"NA",G16/C16*1000/(44/28))</f>
        <v>2.7621051207451789E-2</v>
      </c>
      <c r="F16" s="4342">
        <v>7.4999999999999997E-3</v>
      </c>
      <c r="G16" s="4350">
        <v>0.52193871759338006</v>
      </c>
      <c r="H16" s="4351">
        <v>0.23400087628520011</v>
      </c>
      <c r="I16" s="4344">
        <f t="shared" ref="I16:I21" si="4">IF(SUM(G16:H16)=0,"NO",SUM(G16:H16))</f>
        <v>0.75593959387858023</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64.016999999999996</v>
      </c>
      <c r="D18" s="4340">
        <f>H18/F18*1000/(44/28)</f>
        <v>206.93746393993382</v>
      </c>
      <c r="E18" s="4345">
        <f t="shared" si="3"/>
        <v>6.3732289860505803E-2</v>
      </c>
      <c r="F18" s="4342">
        <v>7.4999999999999997E-3</v>
      </c>
      <c r="G18" s="4350">
        <v>6.4113499999999997E-3</v>
      </c>
      <c r="H18" s="4351">
        <v>2.4389058250063626E-3</v>
      </c>
      <c r="I18" s="4344">
        <f t="shared" si="4"/>
        <v>8.8502558250063632E-3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2289.373</v>
      </c>
      <c r="D20" s="4360">
        <f>D21</f>
        <v>2319.3257786971617</v>
      </c>
      <c r="E20" s="4359">
        <f t="shared" si="3"/>
        <v>2.1131113191253673E-2</v>
      </c>
      <c r="F20" s="4360">
        <f t="shared" si="5"/>
        <v>7.4999999999999997E-3</v>
      </c>
      <c r="G20" s="4359">
        <f>G21</f>
        <v>7.6020999999999991E-2</v>
      </c>
      <c r="H20" s="4361">
        <f>H21</f>
        <v>2.7334910963216545E-2</v>
      </c>
      <c r="I20" s="4360">
        <f t="shared" si="4"/>
        <v>0.10335591096321653</v>
      </c>
    </row>
    <row r="21" spans="2:9" ht="18" customHeight="1" x14ac:dyDescent="0.2">
      <c r="B21" s="914" t="s">
        <v>1904</v>
      </c>
      <c r="C21" s="4345">
        <f>IF(SUM(C23:C27)=0,"NO",SUM(C23:C27))</f>
        <v>2289.373</v>
      </c>
      <c r="D21" s="4344">
        <f>IF(SUM(D23:D27)=0,"NO",SUM(D23:D27))</f>
        <v>2319.3257786971617</v>
      </c>
      <c r="E21" s="4345">
        <f t="shared" si="3"/>
        <v>2.1131113191253673E-2</v>
      </c>
      <c r="F21" s="4344">
        <f t="shared" si="5"/>
        <v>7.4999999999999997E-3</v>
      </c>
      <c r="G21" s="4345">
        <f>IF(SUM(G23:G27)=0,"NO",SUM(G23:G27))</f>
        <v>7.6020999999999991E-2</v>
      </c>
      <c r="H21" s="4346">
        <f>IF(SUM(H23:H27)=0,"NO",SUM(H23:H27))</f>
        <v>2.7334910963216545E-2</v>
      </c>
      <c r="I21" s="4344">
        <f t="shared" si="4"/>
        <v>0.10335591096321653</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2289.373</v>
      </c>
      <c r="D23" s="4340">
        <f>H23/F23*1000/(44/28)</f>
        <v>2319.3257786971617</v>
      </c>
      <c r="E23" s="4345">
        <f>IF(SUM(C23)=0,"NA",G23/C23*1000/(44/28))</f>
        <v>2.1131113191253673E-2</v>
      </c>
      <c r="F23" s="4342">
        <v>7.4999999999999997E-3</v>
      </c>
      <c r="G23" s="4350">
        <v>7.6020999999999991E-2</v>
      </c>
      <c r="H23" s="4351">
        <v>2.7334910963216545E-2</v>
      </c>
      <c r="I23" s="4344">
        <f>IF(SUM(G23:H23)=0,"NO",SUM(G23:H23))</f>
        <v>0.10335591096321653</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520979.75440819276</v>
      </c>
      <c r="D28" s="4337">
        <f>IF(SUM(D29:D30)=0,"NO",SUM(D29:D30))</f>
        <v>34360.967201572319</v>
      </c>
      <c r="E28" s="4336">
        <f t="shared" si="6"/>
        <v>1.4519406362332517E-3</v>
      </c>
      <c r="F28" s="4337">
        <f t="shared" si="7"/>
        <v>7.4999999999999997E-3</v>
      </c>
      <c r="G28" s="4336">
        <f>IF(SUM(G29:G30)=0,"NO",SUM(G29:G30))</f>
        <v>1.1886783481258316</v>
      </c>
      <c r="H28" s="4338">
        <f>IF(SUM(H29:H30)=0,"NO",SUM(H29:H30))</f>
        <v>0.40496854201853089</v>
      </c>
      <c r="I28" s="4360">
        <f t="shared" si="8"/>
        <v>1.5936468901443626</v>
      </c>
    </row>
    <row r="29" spans="2:9" ht="18" customHeight="1" x14ac:dyDescent="0.2">
      <c r="B29" s="914" t="s">
        <v>1239</v>
      </c>
      <c r="C29" s="4339">
        <f>Table4.C!E11</f>
        <v>507542.10960055201</v>
      </c>
      <c r="D29" s="4340">
        <f>H29/F29*1000/(44/28)</f>
        <v>22528.980197457964</v>
      </c>
      <c r="E29" s="4341">
        <f t="shared" si="6"/>
        <v>8.3070703918109172E-4</v>
      </c>
      <c r="F29" s="4342">
        <v>7.4999999999999997E-3</v>
      </c>
      <c r="G29" s="4339">
        <v>0.66254383348371382</v>
      </c>
      <c r="H29" s="4343">
        <v>0.26552012375575457</v>
      </c>
      <c r="I29" s="4344">
        <f t="shared" si="8"/>
        <v>0.92806395723946844</v>
      </c>
    </row>
    <row r="30" spans="2:9" ht="18" customHeight="1" x14ac:dyDescent="0.2">
      <c r="B30" s="914" t="s">
        <v>1906</v>
      </c>
      <c r="C30" s="4345">
        <f>IF(SUM(C32:C36)=0,"NO",SUM(C32:C36))</f>
        <v>13437.644807640772</v>
      </c>
      <c r="D30" s="4344">
        <f>IF(SUM(D32:D36)=0,"NO",SUM(D32:D36))</f>
        <v>11831.987004114355</v>
      </c>
      <c r="E30" s="4345">
        <f>IF(SUM(C30)=0,"NA",G30/C30*1000/(44/28))</f>
        <v>2.4916038319728263E-2</v>
      </c>
      <c r="F30" s="4344">
        <f>IF(SUM(D30)=0,"NA",H30/D30*1000/(44/28))</f>
        <v>7.4999999999999997E-3</v>
      </c>
      <c r="G30" s="4345">
        <f>IF(SUM(G32:G36)=0,"NO",SUM(G32:G36))</f>
        <v>0.52613451464211791</v>
      </c>
      <c r="H30" s="4346">
        <f>IF(SUM(H32:H36)=0,"NO",SUM(H32:H36))</f>
        <v>0.13944841826277632</v>
      </c>
      <c r="I30" s="4344">
        <f t="shared" si="8"/>
        <v>0.66558293290489423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13437.644807640772</v>
      </c>
      <c r="D32" s="4340">
        <f>H32/F32*1000/(44/28)</f>
        <v>11831.987004114355</v>
      </c>
      <c r="E32" s="4345">
        <f>IF(SUM(C32)=0,"NA",G32/C32*1000/(44/28))</f>
        <v>2.4916038319728263E-2</v>
      </c>
      <c r="F32" s="4342">
        <v>7.4999999999999997E-3</v>
      </c>
      <c r="G32" s="4350">
        <v>0.52613451464211791</v>
      </c>
      <c r="H32" s="4351">
        <v>0.13944841826277632</v>
      </c>
      <c r="I32" s="4344">
        <f t="shared" si="8"/>
        <v>0.66558293290489423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1435.2967031969999</v>
      </c>
      <c r="D46" s="4337">
        <f>IF(SUM(D47:D48)=0,"NO",SUM(D47:D48))</f>
        <v>862.23781242468647</v>
      </c>
      <c r="E46" s="4336">
        <f t="shared" si="11"/>
        <v>1.1405501133756995E-2</v>
      </c>
      <c r="F46" s="4337">
        <f t="shared" si="12"/>
        <v>7.4999999999999997E-3</v>
      </c>
      <c r="G46" s="4336">
        <f>IF(SUM(G47:G48)=0,"NO",SUM(G47:G48))</f>
        <v>2.5724722847357381E-2</v>
      </c>
      <c r="H46" s="4338">
        <f>IF(SUM(H47:H48)=0,"NO",SUM(H47:H48))</f>
        <v>1.0162088503576661E-2</v>
      </c>
      <c r="I46" s="4337">
        <f t="shared" si="8"/>
        <v>3.5886811350934043E-2</v>
      </c>
    </row>
    <row r="47" spans="2:9" ht="18" customHeight="1" x14ac:dyDescent="0.2">
      <c r="B47" s="914" t="s">
        <v>1251</v>
      </c>
      <c r="C47" s="4339">
        <f>Table4.E!E11</f>
        <v>1021.524703197</v>
      </c>
      <c r="D47" s="4340">
        <f>H47/F47*1000/(44/28)</f>
        <v>3.1522502362992295</v>
      </c>
      <c r="E47" s="4341">
        <f t="shared" si="11"/>
        <v>4.5759874539923836E-5</v>
      </c>
      <c r="F47" s="4342">
        <v>7.4999999999999997E-3</v>
      </c>
      <c r="G47" s="4339">
        <v>7.3456180690714896E-5</v>
      </c>
      <c r="H47" s="4343">
        <v>3.7151520642098055E-5</v>
      </c>
      <c r="I47" s="4344">
        <f t="shared" si="8"/>
        <v>1.1060770133281296E-4</v>
      </c>
    </row>
    <row r="48" spans="2:9" ht="18" customHeight="1" x14ac:dyDescent="0.2">
      <c r="B48" s="914" t="s">
        <v>1910</v>
      </c>
      <c r="C48" s="4345">
        <f>IF(SUM(C50:C54)=0,"NO",SUM(C50:C54))</f>
        <v>413.77199999999999</v>
      </c>
      <c r="D48" s="4344">
        <f>IF(SUM(D50:D54)=0,"NO",SUM(D50:D54))</f>
        <v>859.08556218838726</v>
      </c>
      <c r="E48" s="4345">
        <f>IF(SUM(C48)=0,"NA",G48/C48*1000/(44/28))</f>
        <v>3.9450550866983104E-2</v>
      </c>
      <c r="F48" s="4344">
        <f>IF(SUM(D48)=0,"NA",H48/D48*1000/(44/28))</f>
        <v>7.4999999999999997E-3</v>
      </c>
      <c r="G48" s="4345">
        <f>IF(SUM(G50:G54)=0,"NO",SUM(G50:G54))</f>
        <v>2.5651266666666665E-2</v>
      </c>
      <c r="H48" s="4346">
        <f>IF(SUM(H50:H54)=0,"NO",SUM(H50:H54))</f>
        <v>1.0124936982934563E-2</v>
      </c>
      <c r="I48" s="4344">
        <f t="shared" si="8"/>
        <v>3.5776203649601226E-2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413.77199999999999</v>
      </c>
      <c r="D50" s="4340">
        <f>H50/F50*1000/(44/28)</f>
        <v>859.08556218838726</v>
      </c>
      <c r="E50" s="4345">
        <f>IF(SUM(C50)=0,"NA",G50/C50*1000/(44/28))</f>
        <v>3.9450550866983104E-2</v>
      </c>
      <c r="F50" s="4342">
        <v>7.4999999999999997E-3</v>
      </c>
      <c r="G50" s="4350">
        <v>2.5651266666666665E-2</v>
      </c>
      <c r="H50" s="4351">
        <v>1.0124936982934563E-2</v>
      </c>
      <c r="I50" s="4344">
        <f t="shared" si="8"/>
        <v>3.5776203649601226E-2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5275707.5248450739</v>
      </c>
      <c r="D10" s="3076" t="s">
        <v>1814</v>
      </c>
      <c r="E10" s="628"/>
      <c r="F10" s="628"/>
      <c r="G10" s="628"/>
      <c r="H10" s="1913">
        <f>IF(SUM(H11:H15)=0,"NO",SUM(H11:H15))</f>
        <v>362083.79998832307</v>
      </c>
      <c r="I10" s="1913">
        <f t="shared" ref="I10:K10" si="0">IF(SUM(I11:I16)=0,"NO",SUM(I11:I16))</f>
        <v>82.044489156400047</v>
      </c>
      <c r="J10" s="1913">
        <f t="shared" si="0"/>
        <v>11.639601847477296</v>
      </c>
      <c r="K10" s="3085" t="str">
        <f t="shared" si="0"/>
        <v>NO</v>
      </c>
    </row>
    <row r="11" spans="2:11" ht="18" customHeight="1" x14ac:dyDescent="0.2">
      <c r="B11" s="282" t="s">
        <v>132</v>
      </c>
      <c r="C11" s="3086">
        <f>IF(SUM(C18,'Table1.A(a)s2'!C11,'Table1.A(a)s3'!C11,'Table1.A(a)s4'!C11,'Table1.A(a)s4'!C94)=0,"NO",SUM(C18,'Table1.A(a)s2'!C11,'Table1.A(a)s3'!C11,'Table1.A(a)s4'!C11,'Table1.A(a)s4'!C94))</f>
        <v>1973409.7346036418</v>
      </c>
      <c r="D11" s="3077" t="s">
        <v>2145</v>
      </c>
      <c r="E11" s="1913">
        <f>IFERROR(H11*1000/$C11,"NA")</f>
        <v>68.335075364206318</v>
      </c>
      <c r="F11" s="1913">
        <f t="shared" ref="F11:G16" si="1">IFERROR(I11*1000000/$C11,"NA")</f>
        <v>8.8948497259936889</v>
      </c>
      <c r="G11" s="1913">
        <f t="shared" si="1"/>
        <v>3.5076216073270849</v>
      </c>
      <c r="H11" s="1913">
        <f>IF(SUM(H18,'Table1.A(a)s2'!H11,'Table1.A(a)s3'!H11,'Table1.A(a)s4'!H11,'Table1.A(a)s4'!H94)=0,"NO",SUM(H18,'Table1.A(a)s2'!H11,'Table1.A(a)s3'!H11,'Table1.A(a)s4'!H11,'Table1.A(a)s4'!H94))</f>
        <v>134853.10293859825</v>
      </c>
      <c r="I11" s="1913">
        <f>IF(SUM(I18,'Table1.A(a)s2'!I11,'Table1.A(a)s3'!I11,'Table1.A(a)s4'!I11,'Table1.A(a)s4'!I94)=0,"NO",SUM(I18,'Table1.A(a)s2'!I11,'Table1.A(a)s3'!I11,'Table1.A(a)s4'!I11,'Table1.A(a)s4'!I94))</f>
        <v>17.553183037112483</v>
      </c>
      <c r="J11" s="1913">
        <f>IF(SUM(J18,'Table1.A(a)s2'!J11,'Table1.A(a)s3'!J11,'Table1.A(a)s4'!J11,'Table1.A(a)s4'!J94)=0,"NO",SUM(J18,'Table1.A(a)s2'!J11,'Table1.A(a)s3'!J11,'Table1.A(a)s4'!J11,'Table1.A(a)s4'!J94))</f>
        <v>6.9219746252053413</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1786772.9089982773</v>
      </c>
      <c r="D12" s="3077" t="s">
        <v>1814</v>
      </c>
      <c r="E12" s="1913">
        <f t="shared" ref="E12:E16" si="2">IFERROR(H12*1000/$C12,"NA")</f>
        <v>89.791747814390618</v>
      </c>
      <c r="F12" s="1913">
        <f t="shared" si="1"/>
        <v>0.68363987874380494</v>
      </c>
      <c r="G12" s="1913">
        <f t="shared" si="1"/>
        <v>1.3780857364770434</v>
      </c>
      <c r="H12" s="1913">
        <f>IF(SUM(H19,'Table1.A(a)s2'!H12,'Table1.A(a)s3'!H12,'Table1.A(a)s4'!H12,'Table1.A(a)s4'!H95)=0,"NO",SUM(H19,'Table1.A(a)s2'!H12,'Table1.A(a)s3'!H12,'Table1.A(a)s4'!H12,'Table1.A(a)s4'!H95))</f>
        <v>160437.46244635843</v>
      </c>
      <c r="I12" s="1913">
        <f>IF(SUM(I19,'Table1.A(a)s2'!I12,'Table1.A(a)s3'!I12,'Table1.A(a)s4'!I12,'Table1.A(a)s4'!I95)=0,"NO",SUM(I19,'Table1.A(a)s2'!I12,'Table1.A(a)s3'!I12,'Table1.A(a)s4'!I12,'Table1.A(a)s4'!I95))</f>
        <v>1.221509214850298</v>
      </c>
      <c r="J12" s="1913">
        <f>IF(SUM(J19,'Table1.A(a)s2'!J12,'Table1.A(a)s3'!J12,'Table1.A(a)s4'!J12,'Table1.A(a)s4'!J95)=0,"NO",SUM(J19,'Table1.A(a)s2'!J12,'Table1.A(a)s3'!J12,'Table1.A(a)s4'!J12,'Table1.A(a)s4'!J95))</f>
        <v>2.46232626021412</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1301696.2516409913</v>
      </c>
      <c r="D13" s="3077" t="s">
        <v>2145</v>
      </c>
      <c r="E13" s="1913">
        <f t="shared" si="2"/>
        <v>51.175029607739091</v>
      </c>
      <c r="F13" s="1913">
        <f t="shared" si="1"/>
        <v>16.549286438286963</v>
      </c>
      <c r="G13" s="1913">
        <f t="shared" si="1"/>
        <v>0.99840122317902624</v>
      </c>
      <c r="H13" s="1913">
        <f>IF(SUM(H20,'Table1.A(a)s2'!H13,'Table1.A(a)s3'!H13,'Table1.A(a)s4'!H13,'Table1.A(a)s4'!H96)=0,"NO",SUM(H20,'Table1.A(a)s2'!H13,'Table1.A(a)s3'!H13,'Table1.A(a)s4'!H13,'Table1.A(a)s4'!H96))</f>
        <v>66614.344218010723</v>
      </c>
      <c r="I13" s="1913">
        <f>IF(SUM(I20,'Table1.A(a)s2'!I13,'Table1.A(a)s3'!I13,'Table1.A(a)s4'!I13,'Table1.A(a)s4'!I96)=0,"NO",SUM(I20,'Table1.A(a)s2'!I13,'Table1.A(a)s3'!I13,'Table1.A(a)s4'!I13,'Table1.A(a)s4'!I96))</f>
        <v>21.54214412405123</v>
      </c>
      <c r="J13" s="1913">
        <f>IF(SUM(J20,'Table1.A(a)s2'!J13,'Table1.A(a)s3'!J13,'Table1.A(a)s4'!J13,'Table1.A(a)s4'!J96)=0,"NO",SUM(J20,'Table1.A(a)s2'!J13,'Table1.A(a)s3'!J13,'Table1.A(a)s4'!J13,'Table1.A(a)s4'!J96))</f>
        <v>1.2996151298459193</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4211.6716873041387</v>
      </c>
      <c r="D14" s="3077" t="s">
        <v>2145</v>
      </c>
      <c r="E14" s="1913">
        <f t="shared" si="2"/>
        <v>42.47491225276066</v>
      </c>
      <c r="F14" s="1913">
        <f t="shared" si="1"/>
        <v>1.0238452607004773</v>
      </c>
      <c r="G14" s="1913">
        <f t="shared" si="1"/>
        <v>0.42284537689937507</v>
      </c>
      <c r="H14" s="1913">
        <f>IF(SUM(H21,'Table1.A(a)s2'!H14,'Table1.A(a)s3'!H14,'Table1.A(a)s4'!H14,'Table1.A(a)s4'!H97)=0,"NO",SUM(H21,'Table1.A(a)s2'!H14,'Table1.A(a)s3'!H14,'Table1.A(a)s4'!H14,'Table1.A(a)s4'!H97))</f>
        <v>178.89038535567974</v>
      </c>
      <c r="I14" s="1913">
        <f>IF(SUM(I21,'Table1.A(a)s2'!I14,'Table1.A(a)s3'!I14,'Table1.A(a)s4'!I14,'Table1.A(a)s4'!I97)=0,"NO",SUM(I21,'Table1.A(a)s2'!I14,'Table1.A(a)s3'!I14,'Table1.A(a)s4'!I14,'Table1.A(a)s4'!I97))</f>
        <v>4.3121000966727255E-3</v>
      </c>
      <c r="J14" s="1913">
        <f>IF(SUM(J21,'Table1.A(a)s2'!J14,'Table1.A(a)s3'!J14,'Table1.A(a)s4'!J14,'Table1.A(a)s4'!J97)=0,"NO",SUM(J21,'Table1.A(a)s2'!J14,'Table1.A(a)s3'!J14,'Table1.A(a)s4'!J14,'Table1.A(a)s4'!J97))</f>
        <v>1.7808859019945455E-3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209616.95791485946</v>
      </c>
      <c r="D16" s="3079" t="s">
        <v>2145</v>
      </c>
      <c r="E16" s="2880">
        <f t="shared" si="2"/>
        <v>85.529441150008736</v>
      </c>
      <c r="F16" s="1913">
        <f t="shared" si="1"/>
        <v>199.04563588426953</v>
      </c>
      <c r="G16" s="1913">
        <f t="shared" si="1"/>
        <v>4.5507050374109959</v>
      </c>
      <c r="H16" s="2880">
        <f>IF(SUM(H23,'Table1.A(a)s2'!H16,'Table1.A(a)s3'!H15,'Table1.A(a)s4'!H16,'Table1.A(a)s4'!H99)=0,"NO",SUM(H23,'Table1.A(a)s2'!H16,'Table1.A(a)s3'!H15,'Table1.A(a)s4'!H16,'Table1.A(a)s4'!H99))</f>
        <v>17928.42126602283</v>
      </c>
      <c r="I16" s="2880">
        <f>IF(SUM(I23,'Table1.A(a)s2'!I16,'Table1.A(a)s3'!I15,'Table1.A(a)s4'!I16,'Table1.A(a)s4'!I99)=0,"NO",SUM(I23,'Table1.A(a)s2'!I16,'Table1.A(a)s3'!I15,'Table1.A(a)s4'!I16,'Table1.A(a)s4'!I99))</f>
        <v>41.723340680289368</v>
      </c>
      <c r="J16" s="2880">
        <f>IF(SUM(J23,'Table1.A(a)s2'!J16,'Table1.A(a)s3'!J15,'Table1.A(a)s4'!J16,'Table1.A(a)s4'!J99)=0,"NO",SUM(J23,'Table1.A(a)s2'!J16,'Table1.A(a)s3'!J15,'Table1.A(a)s4'!J16,'Table1.A(a)s4'!J99))</f>
        <v>0.95390494630991973</v>
      </c>
      <c r="K16" s="3066" t="str">
        <f>IF(SUM(K23,'Table1.A(a)s2'!K16,'Table1.A(a)s3'!K15,'Table1.A(a)s4'!K16,'Table1.A(a)s4'!K99)=0,"NO",SUM(K23,'Table1.A(a)s2'!K16,'Table1.A(a)s3'!K15,'Table1.A(a)s4'!K16,'Table1.A(a)s4'!K99))</f>
        <v>NO</v>
      </c>
    </row>
    <row r="17" spans="2:12" ht="18" customHeight="1" x14ac:dyDescent="0.2">
      <c r="B17" s="2184" t="s">
        <v>76</v>
      </c>
      <c r="C17" s="3067">
        <f>IF(SUM(C18:C23)=0,"NO",SUM(C18:C23))</f>
        <v>2681763.4314475576</v>
      </c>
      <c r="D17" s="3080" t="s">
        <v>1814</v>
      </c>
      <c r="E17" s="3081"/>
      <c r="F17" s="3081"/>
      <c r="G17" s="3081"/>
      <c r="H17" s="3067">
        <f>IF(SUM(H18:H22)=0,"NO",SUM(H18:H22))</f>
        <v>203812.67589945492</v>
      </c>
      <c r="I17" s="3067">
        <f t="shared" ref="I17" si="3">IF(SUM(I18:I23)=0,"NO",SUM(I18:I23))</f>
        <v>25.930326874531271</v>
      </c>
      <c r="J17" s="3067">
        <f t="shared" ref="J17" si="4">IF(SUM(J18:J23)=0,"NO",SUM(J18:J23))</f>
        <v>3.9105557082378528</v>
      </c>
      <c r="K17" s="3068" t="str">
        <f t="shared" ref="K17" si="5">IF(SUM(K18:K23)=0,"NO",SUM(K18:K23))</f>
        <v>NO</v>
      </c>
    </row>
    <row r="18" spans="2:12" ht="18" customHeight="1" x14ac:dyDescent="0.2">
      <c r="B18" s="282" t="s">
        <v>132</v>
      </c>
      <c r="C18" s="3086">
        <f>IF(SUM(C25,C54,C61)=0,"NO",SUM(C25,C54,C61))</f>
        <v>230642.70795544103</v>
      </c>
      <c r="D18" s="3077" t="s">
        <v>1814</v>
      </c>
      <c r="E18" s="1913">
        <f>IFERROR(H18*1000/$C18,"NA")</f>
        <v>67.120723004314087</v>
      </c>
      <c r="F18" s="1913">
        <f t="shared" ref="F18:G23" si="6">IFERROR(I18*1000000/$C18,"NA")</f>
        <v>2.7131988777187037</v>
      </c>
      <c r="G18" s="1913">
        <f t="shared" si="6"/>
        <v>1.8083424457389305</v>
      </c>
      <c r="H18" s="3086">
        <f>IF(SUM(H25,H54,H61)=0,"NO",SUM(H25,H54,H61))</f>
        <v>15480.905313642066</v>
      </c>
      <c r="I18" s="3086">
        <f>IF(SUM(I25,I54,I61)=0,"NO",SUM(I25,I54,I61))</f>
        <v>0.62577953637870531</v>
      </c>
      <c r="J18" s="3086">
        <f>IF(SUM(J25,J54,J61)=0,"NO",SUM(J25,J54,J61))</f>
        <v>0.41708099859599213</v>
      </c>
      <c r="K18" s="3069" t="str">
        <f>IF(SUM(K25,K54,K61)=0,"NO",SUM(K25,K54,K61))</f>
        <v>NO</v>
      </c>
      <c r="L18" s="19"/>
    </row>
    <row r="19" spans="2:12" ht="18" customHeight="1" x14ac:dyDescent="0.2">
      <c r="B19" s="282" t="s">
        <v>133</v>
      </c>
      <c r="C19" s="3086">
        <f t="shared" ref="C19:C23" si="7">IF(SUM(C26,C55,C62)=0,"NO",SUM(C26,C55,C62))</f>
        <v>1666027.4913290411</v>
      </c>
      <c r="D19" s="3077" t="s">
        <v>1814</v>
      </c>
      <c r="E19" s="1913">
        <f t="shared" ref="E19:E23" si="8">IFERROR(H19*1000/$C19,"NA")</f>
        <v>90.320397946112749</v>
      </c>
      <c r="F19" s="1913">
        <f t="shared" si="6"/>
        <v>0.6644186601961154</v>
      </c>
      <c r="G19" s="1913">
        <f t="shared" si="6"/>
        <v>1.4271326113762155</v>
      </c>
      <c r="H19" s="3086">
        <f t="shared" ref="H19:K23" si="9">IF(SUM(H26,H55,H62)=0,"NO",SUM(H26,H55,H62))</f>
        <v>150476.2660060029</v>
      </c>
      <c r="I19" s="3086">
        <f t="shared" si="9"/>
        <v>1.1069397536387366</v>
      </c>
      <c r="J19" s="3086">
        <f t="shared" si="9"/>
        <v>2.3776421643249797</v>
      </c>
      <c r="K19" s="3069" t="str">
        <f t="shared" si="9"/>
        <v>NO</v>
      </c>
      <c r="L19" s="19"/>
    </row>
    <row r="20" spans="2:12" ht="18" customHeight="1" x14ac:dyDescent="0.2">
      <c r="B20" s="282" t="s">
        <v>134</v>
      </c>
      <c r="C20" s="3086">
        <f t="shared" si="7"/>
        <v>738882.07534432062</v>
      </c>
      <c r="D20" s="3077" t="s">
        <v>1814</v>
      </c>
      <c r="E20" s="1913">
        <f t="shared" si="8"/>
        <v>50.993138850896706</v>
      </c>
      <c r="F20" s="1913">
        <f t="shared" si="6"/>
        <v>27.837967797809974</v>
      </c>
      <c r="G20" s="1913">
        <f t="shared" si="6"/>
        <v>1.2508756541299613</v>
      </c>
      <c r="H20" s="3086">
        <f t="shared" si="9"/>
        <v>37677.916262471663</v>
      </c>
      <c r="I20" s="3086">
        <f t="shared" si="9"/>
        <v>20.568975419814198</v>
      </c>
      <c r="J20" s="3086">
        <f t="shared" si="9"/>
        <v>0.92424959932123041</v>
      </c>
      <c r="K20" s="3069" t="str">
        <f t="shared" si="9"/>
        <v>NO</v>
      </c>
      <c r="L20" s="19"/>
    </row>
    <row r="21" spans="2:12" ht="18" customHeight="1" x14ac:dyDescent="0.2">
      <c r="B21" s="282" t="s">
        <v>135</v>
      </c>
      <c r="C21" s="3086">
        <f t="shared" si="7"/>
        <v>4193.9081399999995</v>
      </c>
      <c r="D21" s="3077" t="s">
        <v>1814</v>
      </c>
      <c r="E21" s="1913">
        <f t="shared" si="8"/>
        <v>42.344350760693182</v>
      </c>
      <c r="F21" s="1913">
        <f t="shared" si="6"/>
        <v>1.0281818181818179</v>
      </c>
      <c r="G21" s="1913">
        <f t="shared" si="6"/>
        <v>0.4246363636363637</v>
      </c>
      <c r="H21" s="3086">
        <f t="shared" si="9"/>
        <v>177.58831733828632</v>
      </c>
      <c r="I21" s="3086">
        <f t="shared" si="9"/>
        <v>4.3121000966727255E-3</v>
      </c>
      <c r="J21" s="3086">
        <f t="shared" si="9"/>
        <v>1.7808859019945455E-3</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42017.248678755022</v>
      </c>
      <c r="D23" s="3077" t="s">
        <v>1814</v>
      </c>
      <c r="E23" s="1913">
        <f t="shared" si="8"/>
        <v>77.584811237748141</v>
      </c>
      <c r="F23" s="1913">
        <f t="shared" si="6"/>
        <v>86.25791022903185</v>
      </c>
      <c r="G23" s="1913">
        <f t="shared" si="6"/>
        <v>4.517241515378533</v>
      </c>
      <c r="H23" s="3086">
        <f t="shared" si="9"/>
        <v>3259.9003074707311</v>
      </c>
      <c r="I23" s="3086">
        <f t="shared" si="9"/>
        <v>3.6243200646029581</v>
      </c>
      <c r="J23" s="3086">
        <f t="shared" si="9"/>
        <v>0.18980206009365599</v>
      </c>
      <c r="K23" s="3069" t="str">
        <f t="shared" si="9"/>
        <v>NO</v>
      </c>
      <c r="L23" s="19"/>
    </row>
    <row r="24" spans="2:12" ht="18" customHeight="1" x14ac:dyDescent="0.2">
      <c r="B24" s="1237" t="s">
        <v>138</v>
      </c>
      <c r="C24" s="3086">
        <f>IF(SUM(C25:C30)=0,"NO",SUM(C25:C30))</f>
        <v>2267876.4620229006</v>
      </c>
      <c r="D24" s="3077" t="s">
        <v>1814</v>
      </c>
      <c r="E24" s="628"/>
      <c r="F24" s="628"/>
      <c r="G24" s="628"/>
      <c r="H24" s="3086">
        <f>IF(SUM(H25:H29)=0,"NO",SUM(H25:H29))</f>
        <v>179408.66453085624</v>
      </c>
      <c r="I24" s="3086">
        <f t="shared" ref="I24" si="10">IF(SUM(I25:I30)=0,"NO",SUM(I25:I30))</f>
        <v>15.792793180031298</v>
      </c>
      <c r="J24" s="3086">
        <f t="shared" ref="J24" si="11">IF(SUM(J25:J30)=0,"NO",SUM(J25:J30))</f>
        <v>3.3067117238036525</v>
      </c>
      <c r="K24" s="3069" t="str">
        <f t="shared" ref="K24" si="12">IF(SUM(K25:K30)=0,"NO",SUM(K25:K30))</f>
        <v>NO</v>
      </c>
      <c r="L24" s="19"/>
    </row>
    <row r="25" spans="2:12" ht="18" customHeight="1" x14ac:dyDescent="0.2">
      <c r="B25" s="160" t="s">
        <v>132</v>
      </c>
      <c r="C25" s="3074">
        <f>IF(SUM(C33,C40,C47)=0,"NO",SUM(C33,C40,C47))</f>
        <v>49792.019935724937</v>
      </c>
      <c r="D25" s="3082" t="s">
        <v>1814</v>
      </c>
      <c r="E25" s="3086">
        <f>IFERROR(H25*1000/$C25,"NA")</f>
        <v>69.349383998095107</v>
      </c>
      <c r="F25" s="1913">
        <f t="shared" ref="F25:G30" si="13">IFERROR(I25*1000000/$C25,"NA")</f>
        <v>3.1190433773295951</v>
      </c>
      <c r="G25" s="1913">
        <f t="shared" si="13"/>
        <v>0.36412009750575736</v>
      </c>
      <c r="H25" s="3086">
        <f>IF(SUM(H33,H40,H47)=0,"NO",SUM(H33,H40,H47))</f>
        <v>3453.0459105633954</v>
      </c>
      <c r="I25" s="3086">
        <f>IF(SUM(I33,I40,I47)=0,"NO",SUM(I33,I40,I47))</f>
        <v>0.15530347002438605</v>
      </c>
      <c r="J25" s="3086">
        <f>IF(SUM(J33,J40,J47)=0,"NO",SUM(J33,J40,J47))</f>
        <v>1.8130275154004779E-2</v>
      </c>
      <c r="K25" s="3069" t="str">
        <f>IF(SUM(K33,K40,K47)=0,"NO",SUM(K33,K40,K47))</f>
        <v>NO</v>
      </c>
      <c r="L25" s="19"/>
    </row>
    <row r="26" spans="2:12" ht="18" customHeight="1" x14ac:dyDescent="0.2">
      <c r="B26" s="160" t="s">
        <v>133</v>
      </c>
      <c r="C26" s="3086">
        <f t="shared" ref="C26:C30" si="14">IF(SUM(C34,C41,C48)=0,"NO",SUM(C34,C41,C48))</f>
        <v>1647850.1882303439</v>
      </c>
      <c r="D26" s="3082" t="s">
        <v>1814</v>
      </c>
      <c r="E26" s="3086">
        <f t="shared" ref="E26:E30" si="15">IFERROR(H26*1000/$C26,"NA")</f>
        <v>90.392469055778719</v>
      </c>
      <c r="F26" s="1913">
        <f t="shared" si="13"/>
        <v>0.66115669651657549</v>
      </c>
      <c r="G26" s="1913">
        <f t="shared" si="13"/>
        <v>1.4342654148028557</v>
      </c>
      <c r="H26" s="3086">
        <f t="shared" ref="H26:K30" si="16">IF(SUM(H34,H41,H48)=0,"NO",SUM(H34,H41,H48))</f>
        <v>148953.24714817051</v>
      </c>
      <c r="I26" s="3086">
        <f t="shared" si="16"/>
        <v>1.0894871868045912</v>
      </c>
      <c r="J26" s="3086">
        <f t="shared" si="16"/>
        <v>2.3634545337551582</v>
      </c>
      <c r="K26" s="3069" t="str">
        <f t="shared" si="16"/>
        <v>NO</v>
      </c>
      <c r="L26" s="19"/>
    </row>
    <row r="27" spans="2:12" ht="18" customHeight="1" x14ac:dyDescent="0.2">
      <c r="B27" s="160" t="s">
        <v>134</v>
      </c>
      <c r="C27" s="3086">
        <f t="shared" si="14"/>
        <v>530826.6061780767</v>
      </c>
      <c r="D27" s="3082" t="s">
        <v>1814</v>
      </c>
      <c r="E27" s="3086">
        <f t="shared" si="15"/>
        <v>50.868534391178969</v>
      </c>
      <c r="F27" s="1913">
        <f t="shared" si="13"/>
        <v>20.596312585800813</v>
      </c>
      <c r="G27" s="1913">
        <f t="shared" si="13"/>
        <v>1.4028848783288645</v>
      </c>
      <c r="H27" s="3086">
        <f t="shared" si="16"/>
        <v>27002.371472122308</v>
      </c>
      <c r="I27" s="3086">
        <f t="shared" si="16"/>
        <v>10.933070709703452</v>
      </c>
      <c r="J27" s="3086">
        <f t="shared" si="16"/>
        <v>0.74468861882185533</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39407.64767875502</v>
      </c>
      <c r="D30" s="3082" t="s">
        <v>1814</v>
      </c>
      <c r="E30" s="3086">
        <f t="shared" si="15"/>
        <v>78.21226160433045</v>
      </c>
      <c r="F30" s="1913">
        <f t="shared" si="13"/>
        <v>91.73173296125735</v>
      </c>
      <c r="G30" s="1913">
        <f t="shared" si="13"/>
        <v>4.5787634304777383</v>
      </c>
      <c r="H30" s="3086">
        <f t="shared" si="16"/>
        <v>3082.1612494620731</v>
      </c>
      <c r="I30" s="3086">
        <f t="shared" si="16"/>
        <v>3.6149318134988686</v>
      </c>
      <c r="J30" s="3086">
        <f t="shared" si="16"/>
        <v>0.1804382960726344</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2267876.4620229006</v>
      </c>
      <c r="D32" s="3077" t="s">
        <v>1814</v>
      </c>
      <c r="E32" s="1914"/>
      <c r="F32" s="1914"/>
      <c r="G32" s="1914"/>
      <c r="H32" s="3086">
        <f>IF(SUM(H33:H37)=0,"NO",SUM(H33:H37))</f>
        <v>179408.66453085624</v>
      </c>
      <c r="I32" s="3086">
        <f t="shared" ref="I32" si="17">IF(SUM(I33:I38)=0,"NO",SUM(I33:I38))</f>
        <v>15.792793180031298</v>
      </c>
      <c r="J32" s="3086">
        <f t="shared" ref="J32" si="18">IF(SUM(J33:J38)=0,"NO",SUM(J33:J38))</f>
        <v>3.3067117238036525</v>
      </c>
      <c r="K32" s="3069" t="str">
        <f t="shared" ref="K32" si="19">IF(SUM(K33:K38)=0,"NO",SUM(K33:K38))</f>
        <v>NO</v>
      </c>
      <c r="L32" s="19"/>
    </row>
    <row r="33" spans="2:12" ht="18" customHeight="1" x14ac:dyDescent="0.2">
      <c r="B33" s="160" t="s">
        <v>132</v>
      </c>
      <c r="C33" s="3033">
        <v>49792.019935724937</v>
      </c>
      <c r="D33" s="3077" t="s">
        <v>1814</v>
      </c>
      <c r="E33" s="1913">
        <f>IFERROR(H33*1000/$C33,"NA")</f>
        <v>69.349383998095107</v>
      </c>
      <c r="F33" s="1913">
        <f t="shared" ref="F33:G38" si="20">IFERROR(I33*1000000/$C33,"NA")</f>
        <v>3.1190433773295951</v>
      </c>
      <c r="G33" s="1913">
        <f t="shared" si="20"/>
        <v>0.36412009750575736</v>
      </c>
      <c r="H33" s="3033">
        <v>3453.0459105633954</v>
      </c>
      <c r="I33" s="3033">
        <v>0.15530347002438605</v>
      </c>
      <c r="J33" s="3033">
        <v>1.8130275154004779E-2</v>
      </c>
      <c r="K33" s="3072" t="s">
        <v>2146</v>
      </c>
      <c r="L33" s="19"/>
    </row>
    <row r="34" spans="2:12" ht="18" customHeight="1" x14ac:dyDescent="0.2">
      <c r="B34" s="160" t="s">
        <v>133</v>
      </c>
      <c r="C34" s="3033">
        <v>1647850.1882303439</v>
      </c>
      <c r="D34" s="3077" t="s">
        <v>1814</v>
      </c>
      <c r="E34" s="1913">
        <f t="shared" ref="E34:E38" si="21">IFERROR(H34*1000/$C34,"NA")</f>
        <v>90.392469055778719</v>
      </c>
      <c r="F34" s="1913">
        <f t="shared" si="20"/>
        <v>0.66115669651657549</v>
      </c>
      <c r="G34" s="1913">
        <f t="shared" si="20"/>
        <v>1.4342654148028557</v>
      </c>
      <c r="H34" s="3033">
        <v>148953.24714817051</v>
      </c>
      <c r="I34" s="3033">
        <v>1.0894871868045912</v>
      </c>
      <c r="J34" s="3033">
        <v>2.3634545337551582</v>
      </c>
      <c r="K34" s="3072" t="s">
        <v>2146</v>
      </c>
      <c r="L34" s="19"/>
    </row>
    <row r="35" spans="2:12" ht="18" customHeight="1" x14ac:dyDescent="0.2">
      <c r="B35" s="160" t="s">
        <v>134</v>
      </c>
      <c r="C35" s="3033">
        <v>530826.6061780767</v>
      </c>
      <c r="D35" s="3077" t="s">
        <v>1814</v>
      </c>
      <c r="E35" s="1913">
        <f t="shared" si="21"/>
        <v>50.868534391178969</v>
      </c>
      <c r="F35" s="1913">
        <f t="shared" si="20"/>
        <v>20.596312585800813</v>
      </c>
      <c r="G35" s="1913">
        <f t="shared" si="20"/>
        <v>1.4028848783288645</v>
      </c>
      <c r="H35" s="3033">
        <v>27002.371472122308</v>
      </c>
      <c r="I35" s="3033">
        <v>10.933070709703452</v>
      </c>
      <c r="J35" s="3033">
        <v>0.74468861882185533</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39407.64767875502</v>
      </c>
      <c r="D38" s="3077" t="s">
        <v>1814</v>
      </c>
      <c r="E38" s="1913">
        <f t="shared" si="21"/>
        <v>78.21226160433045</v>
      </c>
      <c r="F38" s="1913">
        <f t="shared" si="20"/>
        <v>91.73173296125735</v>
      </c>
      <c r="G38" s="1913">
        <f t="shared" si="20"/>
        <v>4.5787634304777383</v>
      </c>
      <c r="H38" s="3033">
        <v>3082.1612494620731</v>
      </c>
      <c r="I38" s="3033">
        <v>3.6149318134988686</v>
      </c>
      <c r="J38" s="3033">
        <v>0.1804382960726344</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80835.596934029047</v>
      </c>
      <c r="D53" s="3077" t="s">
        <v>1814</v>
      </c>
      <c r="E53" s="628"/>
      <c r="F53" s="628"/>
      <c r="G53" s="628"/>
      <c r="H53" s="3086">
        <f>IF(SUM(H54:H58)=0,"NO",SUM(H54:H58))</f>
        <v>4759.1721027006279</v>
      </c>
      <c r="I53" s="3086">
        <f t="shared" ref="I53:K53" si="28">IF(SUM(I54:I59)=0,"NO",SUM(I54:I59))</f>
        <v>7.8218990518246281E-2</v>
      </c>
      <c r="J53" s="3086">
        <f t="shared" si="28"/>
        <v>1.27176874265638E-2</v>
      </c>
      <c r="K53" s="3069" t="str">
        <f t="shared" si="28"/>
        <v>NO</v>
      </c>
      <c r="L53" s="19"/>
    </row>
    <row r="54" spans="2:12" ht="18" customHeight="1" x14ac:dyDescent="0.2">
      <c r="B54" s="160" t="s">
        <v>132</v>
      </c>
      <c r="C54" s="3033">
        <v>66077.210019716047</v>
      </c>
      <c r="D54" s="3077" t="s">
        <v>1814</v>
      </c>
      <c r="E54" s="1913">
        <f>IFERROR(H54*1000/$C54,"NA")</f>
        <v>61.434640847763688</v>
      </c>
      <c r="F54" s="1913">
        <f t="shared" ref="F54:G59" si="29">IFERROR(I54*1000000/$C54,"NA")</f>
        <v>0.95410634632494307</v>
      </c>
      <c r="G54" s="1913">
        <f t="shared" si="29"/>
        <v>9.7624274272577014E-2</v>
      </c>
      <c r="H54" s="3033">
        <v>4059.4296657835075</v>
      </c>
      <c r="I54" s="3033">
        <v>6.3044685427257191E-2</v>
      </c>
      <c r="J54" s="3033">
        <v>6.4507396741314334E-3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10564.478774313</v>
      </c>
      <c r="D56" s="3077" t="s">
        <v>1814</v>
      </c>
      <c r="E56" s="1913">
        <f t="shared" si="30"/>
        <v>49.425450202846278</v>
      </c>
      <c r="F56" s="1913">
        <f t="shared" si="29"/>
        <v>1.0281818181818181</v>
      </c>
      <c r="G56" s="1913">
        <f t="shared" si="29"/>
        <v>0.4246363636363637</v>
      </c>
      <c r="H56" s="3033">
        <v>522.15411957883362</v>
      </c>
      <c r="I56" s="3033">
        <v>1.0862204994316366E-2</v>
      </c>
      <c r="J56" s="3033">
        <v>4.4860618504378204E-3</v>
      </c>
      <c r="K56" s="3072" t="s">
        <v>2146</v>
      </c>
    </row>
    <row r="57" spans="2:12" ht="18" customHeight="1" x14ac:dyDescent="0.2">
      <c r="B57" s="282" t="s">
        <v>135</v>
      </c>
      <c r="C57" s="3033">
        <v>4193.9081399999995</v>
      </c>
      <c r="D57" s="3077" t="s">
        <v>1814</v>
      </c>
      <c r="E57" s="1913">
        <f t="shared" si="30"/>
        <v>42.344350760693182</v>
      </c>
      <c r="F57" s="1913">
        <f t="shared" si="29"/>
        <v>1.0281818181818179</v>
      </c>
      <c r="G57" s="1913">
        <f t="shared" si="29"/>
        <v>0.4246363636363637</v>
      </c>
      <c r="H57" s="3033">
        <v>177.58831733828632</v>
      </c>
      <c r="I57" s="3033">
        <v>4.3121000966727255E-3</v>
      </c>
      <c r="J57" s="3033">
        <v>1.7808859019945455E-3</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333051.37249062804</v>
      </c>
      <c r="D60" s="3077" t="s">
        <v>1814</v>
      </c>
      <c r="E60" s="628"/>
      <c r="F60" s="628"/>
      <c r="G60" s="628"/>
      <c r="H60" s="3086">
        <f>IF(SUM(H61:H65)=0,"NO",SUM(H61:H65))</f>
        <v>19644.839265898074</v>
      </c>
      <c r="I60" s="3086">
        <f t="shared" ref="I60:K60" si="31">IF(SUM(I61:I66)=0,"NO",SUM(I61:I66))</f>
        <v>10.059314703981727</v>
      </c>
      <c r="J60" s="3086">
        <f t="shared" si="31"/>
        <v>0.59112629700763619</v>
      </c>
      <c r="K60" s="3069" t="str">
        <f t="shared" si="31"/>
        <v>NO</v>
      </c>
      <c r="L60" s="19"/>
    </row>
    <row r="61" spans="2:12" ht="18" customHeight="1" x14ac:dyDescent="0.2">
      <c r="B61" s="160" t="s">
        <v>132</v>
      </c>
      <c r="C61" s="3074">
        <f>IF(SUM(C69,C76,C83)=0,"NO",SUM(C69,C76,C83))</f>
        <v>114773.47800000003</v>
      </c>
      <c r="D61" s="3077" t="s">
        <v>1814</v>
      </c>
      <c r="E61" s="1913">
        <f>IFERROR(H61*1000/$C61,"NA")</f>
        <v>69.427448537328118</v>
      </c>
      <c r="F61" s="1913">
        <f t="shared" ref="F61:G66" si="32">IFERROR(I61*1000000/$C61,"NA")</f>
        <v>3.5498739606641698</v>
      </c>
      <c r="G61" s="1913">
        <f t="shared" si="32"/>
        <v>3.4197794700257824</v>
      </c>
      <c r="H61" s="3074">
        <f>IF(SUM(H69,H76,H83)=0,"NO",SUM(H69,H76,H83))</f>
        <v>7968.4297372951642</v>
      </c>
      <c r="I61" s="3074">
        <f>IF(SUM(I69,I76,I83)=0,"NO",SUM(I69,I76,I83))</f>
        <v>0.40743138092706205</v>
      </c>
      <c r="J61" s="3074">
        <f>IF(SUM(J69,J76,J83)=0,"NO",SUM(J69,J76,J83))</f>
        <v>0.39249998376785589</v>
      </c>
      <c r="K61" s="3088" t="str">
        <f>IF(SUM(K69,K76,K83)=0,"NO",SUM(K69,K76,K83))</f>
        <v>NO</v>
      </c>
    </row>
    <row r="62" spans="2:12" ht="18" customHeight="1" x14ac:dyDescent="0.2">
      <c r="B62" s="160" t="s">
        <v>133</v>
      </c>
      <c r="C62" s="3074">
        <f t="shared" ref="C62:C66" si="33">IF(SUM(C70,C77,C84)=0,"NO",SUM(C70,C77,C84))</f>
        <v>18177.30309869711</v>
      </c>
      <c r="D62" s="3077" t="s">
        <v>1814</v>
      </c>
      <c r="E62" s="1913">
        <f t="shared" ref="E62:E66" si="34">IFERROR(H62*1000/$C62,"NA")</f>
        <v>83.786843931845453</v>
      </c>
      <c r="F62" s="1913">
        <f t="shared" si="32"/>
        <v>0.96012960445140849</v>
      </c>
      <c r="G62" s="1913">
        <f t="shared" si="32"/>
        <v>0.78051350592478219</v>
      </c>
      <c r="H62" s="3074">
        <f t="shared" ref="H62:K66" si="35">IF(SUM(H70,H77,H84)=0,"NO",SUM(H70,H77,H84))</f>
        <v>1523.0188578323855</v>
      </c>
      <c r="I62" s="3074">
        <f t="shared" si="35"/>
        <v>1.7452566834145419E-2</v>
      </c>
      <c r="J62" s="3074">
        <f t="shared" si="35"/>
        <v>1.418763056982149E-2</v>
      </c>
      <c r="K62" s="3088" t="str">
        <f t="shared" si="35"/>
        <v>NO</v>
      </c>
    </row>
    <row r="63" spans="2:12" ht="18" customHeight="1" x14ac:dyDescent="0.2">
      <c r="B63" s="160" t="s">
        <v>134</v>
      </c>
      <c r="C63" s="3074">
        <f t="shared" si="33"/>
        <v>197490.99039193091</v>
      </c>
      <c r="D63" s="3077" t="s">
        <v>1814</v>
      </c>
      <c r="E63" s="1913">
        <f t="shared" si="34"/>
        <v>51.411918339265007</v>
      </c>
      <c r="F63" s="1913">
        <f t="shared" si="32"/>
        <v>48.736615711000503</v>
      </c>
      <c r="G63" s="1913">
        <f t="shared" si="32"/>
        <v>0.88649572469859073</v>
      </c>
      <c r="H63" s="3074">
        <f t="shared" si="35"/>
        <v>10153.390670770523</v>
      </c>
      <c r="I63" s="3074">
        <f t="shared" si="35"/>
        <v>9.6250425051164292</v>
      </c>
      <c r="J63" s="3074">
        <f t="shared" si="35"/>
        <v>0.17507491864893723</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2609.6010000000001</v>
      </c>
      <c r="D66" s="3077" t="s">
        <v>1814</v>
      </c>
      <c r="E66" s="1913">
        <f t="shared" si="34"/>
        <v>68.109668109668092</v>
      </c>
      <c r="F66" s="1913">
        <f t="shared" si="32"/>
        <v>3.5975810493976876</v>
      </c>
      <c r="G66" s="1913">
        <f t="shared" si="32"/>
        <v>3.5881975907510708</v>
      </c>
      <c r="H66" s="3074">
        <f t="shared" si="35"/>
        <v>177.73905800865796</v>
      </c>
      <c r="I66" s="3074">
        <f t="shared" si="35"/>
        <v>9.3882511040892548E-3</v>
      </c>
      <c r="J66" s="3074">
        <f t="shared" si="35"/>
        <v>9.3637640210215856E-3</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18181.39509869711</v>
      </c>
      <c r="D68" s="3077" t="s">
        <v>1814</v>
      </c>
      <c r="E68" s="628"/>
      <c r="F68" s="628"/>
      <c r="G68" s="628"/>
      <c r="H68" s="3086">
        <f>IF(SUM(H69:H73)=0,"NO",SUM(H69:H73))</f>
        <v>1523.3052688002608</v>
      </c>
      <c r="I68" s="3086">
        <f t="shared" ref="I68:K68" si="36">IF(SUM(I69:I74)=0,"NO",SUM(I69:I74))</f>
        <v>1.746692147148628E-2</v>
      </c>
      <c r="J68" s="3086">
        <f t="shared" si="36"/>
        <v>1.4201834167233437E-2</v>
      </c>
      <c r="K68" s="3069" t="str">
        <f t="shared" si="36"/>
        <v>NO</v>
      </c>
    </row>
    <row r="69" spans="2:11" ht="18" customHeight="1" x14ac:dyDescent="0.2">
      <c r="B69" s="282" t="s">
        <v>132</v>
      </c>
      <c r="C69" s="3033">
        <v>4.0880000000000001</v>
      </c>
      <c r="D69" s="3076" t="s">
        <v>1814</v>
      </c>
      <c r="E69" s="1913">
        <f>IFERROR(H69*1000/$C69,"NA")</f>
        <v>70.011086155093011</v>
      </c>
      <c r="F69" s="1913">
        <f t="shared" ref="F69:G74" si="37">IFERROR(I69*1000000/$C69,"NA")</f>
        <v>3.5094754213986445</v>
      </c>
      <c r="G69" s="1913">
        <f t="shared" si="37"/>
        <v>3.4735954352297003</v>
      </c>
      <c r="H69" s="3033">
        <v>0.28620532020202022</v>
      </c>
      <c r="I69" s="3033">
        <v>1.434673552267766E-5</v>
      </c>
      <c r="J69" s="3033">
        <v>1.4200058139219014E-5</v>
      </c>
      <c r="K69" s="3072" t="s">
        <v>2146</v>
      </c>
    </row>
    <row r="70" spans="2:11" ht="18" customHeight="1" x14ac:dyDescent="0.2">
      <c r="B70" s="282" t="s">
        <v>133</v>
      </c>
      <c r="C70" s="3033">
        <v>18177.30309869711</v>
      </c>
      <c r="D70" s="3076" t="s">
        <v>1814</v>
      </c>
      <c r="E70" s="1913">
        <f t="shared" ref="E70:E74" si="38">IFERROR(H70*1000/$C70,"NA")</f>
        <v>83.786843931845453</v>
      </c>
      <c r="F70" s="1913">
        <f t="shared" si="37"/>
        <v>0.96012960445140849</v>
      </c>
      <c r="G70" s="1913">
        <f t="shared" si="37"/>
        <v>0.78051350592478219</v>
      </c>
      <c r="H70" s="3033">
        <v>1523.0188578323855</v>
      </c>
      <c r="I70" s="3033">
        <v>1.7452566834145419E-2</v>
      </c>
      <c r="J70" s="3033">
        <v>1.418763056982149E-2</v>
      </c>
      <c r="K70" s="3072" t="s">
        <v>2146</v>
      </c>
    </row>
    <row r="71" spans="2:11" ht="18" customHeight="1" x14ac:dyDescent="0.2">
      <c r="B71" s="160" t="s">
        <v>134</v>
      </c>
      <c r="C71" s="3033">
        <v>4.0000000000000001E-3</v>
      </c>
      <c r="D71" s="3076" t="s">
        <v>1814</v>
      </c>
      <c r="E71" s="1913">
        <f t="shared" si="38"/>
        <v>51.411918339265</v>
      </c>
      <c r="F71" s="1913">
        <f t="shared" si="37"/>
        <v>1.9754545454545454</v>
      </c>
      <c r="G71" s="1913">
        <f t="shared" si="37"/>
        <v>0.88481818181818184</v>
      </c>
      <c r="H71" s="3033">
        <v>2.0564767335705999E-4</v>
      </c>
      <c r="I71" s="3033">
        <v>7.9018181818181815E-9</v>
      </c>
      <c r="J71" s="3033">
        <v>3.5392727272727271E-9</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195254.03199999998</v>
      </c>
      <c r="D75" s="3077" t="s">
        <v>1814</v>
      </c>
      <c r="E75" s="628"/>
      <c r="F75" s="628"/>
      <c r="G75" s="628"/>
      <c r="H75" s="3086">
        <f>IF(SUM(H76:H80)=0,"NO",SUM(H76:H80))</f>
        <v>10208.335274517849</v>
      </c>
      <c r="I75" s="3086">
        <f t="shared" ref="I75:K75" si="39">IF(SUM(I76:I81)=0,"NO",SUM(I76:I81))</f>
        <v>9.6147223266566435</v>
      </c>
      <c r="J75" s="3086">
        <f t="shared" si="39"/>
        <v>0.18520489651357402</v>
      </c>
      <c r="K75" s="3069" t="str">
        <f t="shared" si="39"/>
        <v>NO</v>
      </c>
    </row>
    <row r="76" spans="2:11" ht="18" customHeight="1" x14ac:dyDescent="0.2">
      <c r="B76" s="282" t="s">
        <v>132</v>
      </c>
      <c r="C76" s="3033">
        <v>11417.877999999999</v>
      </c>
      <c r="D76" s="3076" t="s">
        <v>1814</v>
      </c>
      <c r="E76" s="1913">
        <f>IFERROR(H76*1000/$C76,"NA")</f>
        <v>66.29655153657302</v>
      </c>
      <c r="F76" s="1913">
        <f t="shared" ref="F76:G81" si="40">IFERROR(I76*1000000/$C76,"NA")</f>
        <v>3.1832695249658034</v>
      </c>
      <c r="G76" s="1913">
        <f t="shared" si="40"/>
        <v>1.9743883214417559</v>
      </c>
      <c r="H76" s="3033">
        <v>756.96593726530318</v>
      </c>
      <c r="I76" s="3033">
        <v>3.6346183077177491E-2</v>
      </c>
      <c r="J76" s="3033">
        <v>2.254332497884675E-2</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183836.15399999998</v>
      </c>
      <c r="D78" s="3076" t="s">
        <v>1814</v>
      </c>
      <c r="E78" s="1913">
        <f t="shared" si="41"/>
        <v>51.411918339265</v>
      </c>
      <c r="F78" s="1913">
        <f t="shared" si="40"/>
        <v>52.102787918308309</v>
      </c>
      <c r="G78" s="1913">
        <f t="shared" si="40"/>
        <v>0.88481818181818184</v>
      </c>
      <c r="H78" s="3033">
        <v>9451.3693372525449</v>
      </c>
      <c r="I78" s="3033">
        <v>9.5783761435794652</v>
      </c>
      <c r="J78" s="3033">
        <v>0.16266157153472727</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119615.94539193099</v>
      </c>
      <c r="D82" s="3077" t="s">
        <v>1814</v>
      </c>
      <c r="E82" s="628"/>
      <c r="F82" s="628"/>
      <c r="G82" s="628"/>
      <c r="H82" s="3086">
        <f>IF(SUM(H83:H87)=0,"NO",SUM(H83:H87))</f>
        <v>7913.1987225799649</v>
      </c>
      <c r="I82" s="3086">
        <f t="shared" ref="I82:K82" si="42">IF(SUM(I83:I88)=0,"NO",SUM(I83:I88))</f>
        <v>0.42712545585359696</v>
      </c>
      <c r="J82" s="3086">
        <f t="shared" si="42"/>
        <v>0.39171956632682869</v>
      </c>
      <c r="K82" s="3069" t="str">
        <f t="shared" si="42"/>
        <v>NO</v>
      </c>
    </row>
    <row r="83" spans="2:11" ht="18" customHeight="1" x14ac:dyDescent="0.2">
      <c r="B83" s="282" t="s">
        <v>132</v>
      </c>
      <c r="C83" s="3033">
        <v>103351.51200000003</v>
      </c>
      <c r="D83" s="3076" t="s">
        <v>1814</v>
      </c>
      <c r="E83" s="1913">
        <f>IFERROR(H83*1000/$C83,"NA")</f>
        <v>69.773314924600783</v>
      </c>
      <c r="F83" s="1913">
        <f t="shared" ref="F83:G88" si="43">IFERROR(I83*1000000/$C83,"NA")</f>
        <v>3.5903766082721829</v>
      </c>
      <c r="G83" s="1913">
        <f t="shared" si="43"/>
        <v>3.5794586027040394</v>
      </c>
      <c r="H83" s="3033">
        <v>7211.1775947096594</v>
      </c>
      <c r="I83" s="3033">
        <v>0.37107085111436189</v>
      </c>
      <c r="J83" s="3033">
        <v>0.36994245873086989</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13654.832391930962</v>
      </c>
      <c r="D85" s="3076" t="s">
        <v>1814</v>
      </c>
      <c r="E85" s="1913">
        <f t="shared" si="44"/>
        <v>51.411918339265</v>
      </c>
      <c r="F85" s="1913">
        <f t="shared" si="43"/>
        <v>3.4175705930101592</v>
      </c>
      <c r="G85" s="1913">
        <f t="shared" si="43"/>
        <v>0.90908062571845583</v>
      </c>
      <c r="H85" s="3033">
        <v>702.02112787030524</v>
      </c>
      <c r="I85" s="3033">
        <v>4.6666353635145832E-2</v>
      </c>
      <c r="J85" s="3033">
        <v>1.2413343574937239E-2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2609.6010000000001</v>
      </c>
      <c r="D88" s="3084" t="s">
        <v>1814</v>
      </c>
      <c r="E88" s="2880">
        <f t="shared" si="44"/>
        <v>68.109668109668092</v>
      </c>
      <c r="F88" s="2880">
        <f t="shared" si="43"/>
        <v>3.5975810493976876</v>
      </c>
      <c r="G88" s="2880">
        <f t="shared" si="43"/>
        <v>3.5881975907510708</v>
      </c>
      <c r="H88" s="3040">
        <v>177.73905800865796</v>
      </c>
      <c r="I88" s="3040">
        <v>9.3882511040892548E-3</v>
      </c>
      <c r="J88" s="3040">
        <v>9.3637640210215856E-3</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33230308.088494789</v>
      </c>
      <c r="G10" s="3657" t="s">
        <v>2147</v>
      </c>
      <c r="H10" s="3658">
        <f t="shared" ref="H10:H13" si="0">IF(SUM($F10)=0,"NA",K10*1000/$F10)</f>
        <v>1.853424485084542E-2</v>
      </c>
      <c r="I10" s="3659">
        <f t="shared" ref="I10:I13" si="1">IF(SUM($F10)=0,"NA",L10*1000/$F10)</f>
        <v>4.3401775236314848E-4</v>
      </c>
      <c r="J10" s="3499" t="str">
        <f>IF(SUM(J11,J25,J36,J48,J59,J70,J76)=0,"IE",SUM(J11,J25,J36,J48,J59,J70,J76))</f>
        <v>IE</v>
      </c>
      <c r="K10" s="3500">
        <f>IF(SUM(K11,K25,K36,K48,K59,K70,K76)=0,"NO",SUM(K11,K25,K36,K48,K59,K70,K76))</f>
        <v>615.89866658119149</v>
      </c>
      <c r="L10" s="3501">
        <f>IF(SUM(L11,L25,L36,L48,L59,L70,L76)=0,"NO",SUM(L11,L25,L36,L48,L59,L70,L76))</f>
        <v>14.422543626903462</v>
      </c>
    </row>
    <row r="11" spans="2:13" ht="18" customHeight="1" x14ac:dyDescent="0.2">
      <c r="B11" s="933" t="s">
        <v>1985</v>
      </c>
      <c r="C11" s="934"/>
      <c r="D11" s="2850"/>
      <c r="E11" s="2854" t="s">
        <v>2250</v>
      </c>
      <c r="F11" s="3679">
        <f>IF(SUM(F12,F19)=0,"NO",SUM(F12,F19))</f>
        <v>7061848.6269051628</v>
      </c>
      <c r="G11" s="3660" t="s">
        <v>2147</v>
      </c>
      <c r="H11" s="3661">
        <f t="shared" si="0"/>
        <v>4.2250761996751152E-2</v>
      </c>
      <c r="I11" s="3662">
        <f t="shared" si="1"/>
        <v>6.8443897037841954E-4</v>
      </c>
      <c r="J11" s="3502" t="str">
        <f>IF(SUM(J12,J19)=0,"IE",SUM(J12,J19))</f>
        <v>IE</v>
      </c>
      <c r="K11" s="3503">
        <f>IF(SUM(K12,K19)=0,"NO",SUM(K12,K19))</f>
        <v>298.36848559245396</v>
      </c>
      <c r="L11" s="3504">
        <f>IF(SUM(L12,L19)=0,"NO",SUM(L12,L19))</f>
        <v>4.8334044031672256</v>
      </c>
      <c r="M11" s="482"/>
    </row>
    <row r="12" spans="2:13" ht="18" customHeight="1" x14ac:dyDescent="0.2">
      <c r="B12" s="903" t="s">
        <v>1912</v>
      </c>
      <c r="C12" s="476"/>
      <c r="D12" s="298"/>
      <c r="E12" s="2852" t="s">
        <v>2250</v>
      </c>
      <c r="F12" s="3680">
        <f>IF(SUM(F13,F17)=0,"NO",SUM(F13,F17))</f>
        <v>7005311.3149832357</v>
      </c>
      <c r="G12" s="3663" t="str">
        <f>IFERROR(IF(SUM($F12)=0,"NA",J12*1000/$F12),"NA")</f>
        <v>NA</v>
      </c>
      <c r="H12" s="3664">
        <f t="shared" si="0"/>
        <v>4.1980452060152544E-2</v>
      </c>
      <c r="I12" s="3665">
        <f t="shared" si="1"/>
        <v>6.8120827902963055E-4</v>
      </c>
      <c r="J12" s="3505" t="str">
        <f>IF(SUM(J13,J17)=0,"IE",SUM(J13,J17))</f>
        <v>IE</v>
      </c>
      <c r="K12" s="3506">
        <f>IF(SUM(K13,K17)=0,"NO",SUM(K13,K17))</f>
        <v>294.08613582509793</v>
      </c>
      <c r="L12" s="3507">
        <f>IF(SUM(L13,L17)=0,"NO",SUM(L13,L17))</f>
        <v>4.7720760649465284</v>
      </c>
    </row>
    <row r="13" spans="2:13" ht="18" customHeight="1" x14ac:dyDescent="0.2">
      <c r="B13" s="923" t="s">
        <v>1270</v>
      </c>
      <c r="C13" s="476"/>
      <c r="D13" s="298"/>
      <c r="E13" s="2852" t="s">
        <v>2250</v>
      </c>
      <c r="F13" s="3681">
        <f>IF(SUM(F14:F16)=0,"NO",SUM(F14:F16))</f>
        <v>5886296.9566612327</v>
      </c>
      <c r="G13" s="3666" t="str">
        <f t="shared" ref="G13:G76" si="2">IFERROR(IF(SUM($F13)=0,"NA",J13*1000/$F13),"NA")</f>
        <v>NA</v>
      </c>
      <c r="H13" s="3667">
        <f t="shared" si="0"/>
        <v>3.5387935652228461E-2</v>
      </c>
      <c r="I13" s="3668">
        <f t="shared" si="1"/>
        <v>6.6493278275038124E-4</v>
      </c>
      <c r="J13" s="3505" t="str">
        <f>IF(SUM(J14:J16)=0,"IE",SUM(J14:J16))</f>
        <v>IE</v>
      </c>
      <c r="K13" s="3505">
        <f>IF(SUM(K14:K16)=0,"NO",SUM(K14:K16))</f>
        <v>208.30389793223594</v>
      </c>
      <c r="L13" s="3508">
        <f>IF(SUM(L14:L16)=0,"NO",SUM(L14:L16))</f>
        <v>3.9139918154878539</v>
      </c>
      <c r="M13" s="482"/>
    </row>
    <row r="14" spans="2:13" ht="24" x14ac:dyDescent="0.2">
      <c r="B14" s="923"/>
      <c r="C14" s="4367" t="s">
        <v>2247</v>
      </c>
      <c r="D14" s="542" t="s">
        <v>940</v>
      </c>
      <c r="E14" s="2851" t="s">
        <v>2250</v>
      </c>
      <c r="F14" s="3654">
        <v>241599.05878848999</v>
      </c>
      <c r="G14" s="3666" t="str">
        <f t="shared" si="2"/>
        <v>NA</v>
      </c>
      <c r="H14" s="3667">
        <f>IF(SUM($F14)=0,"NA",K14*1000/$F14)</f>
        <v>0.15960211632790161</v>
      </c>
      <c r="I14" s="3668">
        <f>IF(SUM($F14)=0,"NA",L14*1000/$F14)</f>
        <v>1.767122389285171E-3</v>
      </c>
      <c r="J14" s="3509" t="s">
        <v>2153</v>
      </c>
      <c r="K14" s="3510">
        <v>38.55972108547212</v>
      </c>
      <c r="L14" s="3511">
        <v>0.42693510601536488</v>
      </c>
      <c r="M14" s="482"/>
    </row>
    <row r="15" spans="2:13" ht="18" customHeight="1" x14ac:dyDescent="0.2">
      <c r="B15" s="923"/>
      <c r="C15" s="4367" t="s">
        <v>2248</v>
      </c>
      <c r="D15" s="542" t="s">
        <v>940</v>
      </c>
      <c r="E15" s="543" t="s">
        <v>2250</v>
      </c>
      <c r="F15" s="3655">
        <v>146244.11265234032</v>
      </c>
      <c r="G15" s="3666" t="str">
        <f t="shared" si="2"/>
        <v>NA</v>
      </c>
      <c r="H15" s="3667">
        <f t="shared" ref="H15:H77" si="3">IF(SUM($F15)=0,"NA",K15*1000/$F15)</f>
        <v>4.0822432786073032E-2</v>
      </c>
      <c r="I15" s="3668">
        <f t="shared" ref="I15:I77" si="4">IF(SUM($F15)=0,"NA",L15*1000/$F15)</f>
        <v>7.5464802830921133E-4</v>
      </c>
      <c r="J15" s="3509" t="s">
        <v>2153</v>
      </c>
      <c r="K15" s="3510">
        <v>5.9700404591090557</v>
      </c>
      <c r="L15" s="3512">
        <v>0.1103628312649188</v>
      </c>
      <c r="M15" s="482"/>
    </row>
    <row r="16" spans="2:13" ht="18" customHeight="1" x14ac:dyDescent="0.2">
      <c r="B16" s="923"/>
      <c r="C16" s="4367" t="s">
        <v>2263</v>
      </c>
      <c r="D16" s="542" t="s">
        <v>940</v>
      </c>
      <c r="E16" s="543" t="s">
        <v>2250</v>
      </c>
      <c r="F16" s="3655">
        <v>5498453.7852204023</v>
      </c>
      <c r="G16" s="3666" t="str">
        <f t="shared" si="2"/>
        <v>NA</v>
      </c>
      <c r="H16" s="3667">
        <f t="shared" si="3"/>
        <v>2.9785489300259708E-2</v>
      </c>
      <c r="I16" s="3668">
        <f t="shared" si="4"/>
        <v>6.1411698817656201E-4</v>
      </c>
      <c r="J16" s="3509" t="s">
        <v>2153</v>
      </c>
      <c r="K16" s="3510">
        <v>163.77413638765478</v>
      </c>
      <c r="L16" s="3512">
        <v>3.3766938782075702</v>
      </c>
      <c r="M16" s="482"/>
    </row>
    <row r="17" spans="2:13" ht="18" customHeight="1" x14ac:dyDescent="0.2">
      <c r="B17" s="923" t="s">
        <v>1271</v>
      </c>
      <c r="C17" s="4368"/>
      <c r="D17" s="298"/>
      <c r="E17" s="5" t="s">
        <v>2250</v>
      </c>
      <c r="F17" s="3681">
        <f>F18</f>
        <v>1119014.3583220029</v>
      </c>
      <c r="G17" s="3666" t="str">
        <f t="shared" si="2"/>
        <v>NA</v>
      </c>
      <c r="H17" s="3667">
        <f t="shared" si="3"/>
        <v>7.6658746382392409E-2</v>
      </c>
      <c r="I17" s="3668">
        <f t="shared" si="4"/>
        <v>7.6682148274254385E-4</v>
      </c>
      <c r="J17" s="3505" t="str">
        <f>J18</f>
        <v>IE</v>
      </c>
      <c r="K17" s="3505">
        <f>K18</f>
        <v>85.782237892862</v>
      </c>
      <c r="L17" s="3508">
        <f>L18</f>
        <v>0.85808424945867456</v>
      </c>
      <c r="M17" s="482"/>
    </row>
    <row r="18" spans="2:13" ht="18" customHeight="1" x14ac:dyDescent="0.2">
      <c r="B18" s="923"/>
      <c r="C18" s="4367" t="s">
        <v>2249</v>
      </c>
      <c r="D18" s="542" t="s">
        <v>940</v>
      </c>
      <c r="E18" s="543" t="s">
        <v>2250</v>
      </c>
      <c r="F18" s="3654">
        <v>1119014.3583220029</v>
      </c>
      <c r="G18" s="3666" t="str">
        <f t="shared" si="2"/>
        <v>NA</v>
      </c>
      <c r="H18" s="3667">
        <f t="shared" si="3"/>
        <v>7.6658746382392409E-2</v>
      </c>
      <c r="I18" s="3668">
        <f t="shared" si="4"/>
        <v>7.6682148274254385E-4</v>
      </c>
      <c r="J18" s="3509" t="s">
        <v>2153</v>
      </c>
      <c r="K18" s="3510">
        <v>85.782237892862</v>
      </c>
      <c r="L18" s="3511">
        <v>0.85808424945867456</v>
      </c>
      <c r="M18" s="482"/>
    </row>
    <row r="19" spans="2:13" ht="18" customHeight="1" x14ac:dyDescent="0.2">
      <c r="B19" s="903" t="s">
        <v>1272</v>
      </c>
      <c r="C19" s="4368"/>
      <c r="D19" s="298"/>
      <c r="E19" s="5" t="s">
        <v>2250</v>
      </c>
      <c r="F19" s="3682">
        <f>IF(SUM(F20,F23)=0,"NO",SUM(F20,F23))</f>
        <v>56537.311921927067</v>
      </c>
      <c r="G19" s="3663" t="s">
        <v>2147</v>
      </c>
      <c r="H19" s="3664">
        <f t="shared" si="3"/>
        <v>7.5743780908253788E-2</v>
      </c>
      <c r="I19" s="3665">
        <f t="shared" si="4"/>
        <v>1.0847409637264988E-3</v>
      </c>
      <c r="J19" s="3505" t="str">
        <f>IF(SUM(J20,J23)=0,"IE",SUM(J20,J23))</f>
        <v>IE</v>
      </c>
      <c r="K19" s="3506">
        <f>IF(SUM(K20,K23)=0,"NO",SUM(K20,K23))</f>
        <v>4.2823497673560489</v>
      </c>
      <c r="L19" s="3507">
        <f>IF(SUM(L20,L23)=0,"NO",SUM(L20,L23))</f>
        <v>6.1328338220696832E-2</v>
      </c>
    </row>
    <row r="20" spans="2:13" ht="18" customHeight="1" x14ac:dyDescent="0.2">
      <c r="B20" s="923" t="s">
        <v>1273</v>
      </c>
      <c r="C20" s="4368"/>
      <c r="D20" s="298"/>
      <c r="E20" s="5" t="s">
        <v>2250</v>
      </c>
      <c r="F20" s="3681">
        <f>IF(SUM(F21:F22)=0,"NO",SUM(F21:F22))</f>
        <v>47015.050227968546</v>
      </c>
      <c r="G20" s="3666" t="str">
        <f t="shared" si="2"/>
        <v>NA</v>
      </c>
      <c r="H20" s="3667">
        <f t="shared" si="3"/>
        <v>4.7277722385645891E-2</v>
      </c>
      <c r="I20" s="3668">
        <f t="shared" si="4"/>
        <v>8.7820510735102614E-4</v>
      </c>
      <c r="J20" s="3505" t="str">
        <f>IF(SUM(J21:J22)=0,"IE",SUM(J21:J22))</f>
        <v>IE</v>
      </c>
      <c r="K20" s="3505">
        <f>IF(SUM(K21:K22)=0,"NO",SUM(K21:K22))</f>
        <v>2.2227644926250947</v>
      </c>
      <c r="L20" s="3508">
        <f>IF(SUM(L21:L22)=0,"NO",SUM(L21:L22))</f>
        <v>4.1288857232567006E-2</v>
      </c>
      <c r="M20" s="482"/>
    </row>
    <row r="21" spans="2:13" ht="18" customHeight="1" x14ac:dyDescent="0.2">
      <c r="B21" s="923"/>
      <c r="C21" s="4367" t="s">
        <v>2248</v>
      </c>
      <c r="D21" s="542" t="s">
        <v>940</v>
      </c>
      <c r="E21" s="543" t="s">
        <v>2250</v>
      </c>
      <c r="F21" s="3654">
        <v>43152.599051928599</v>
      </c>
      <c r="G21" s="3666" t="str">
        <f t="shared" si="2"/>
        <v>NA</v>
      </c>
      <c r="H21" s="3667">
        <f t="shared" si="3"/>
        <v>5.0001774476072972E-2</v>
      </c>
      <c r="I21" s="3668">
        <f t="shared" si="4"/>
        <v>9.2433835871740433E-4</v>
      </c>
      <c r="J21" s="3509" t="s">
        <v>2153</v>
      </c>
      <c r="K21" s="3510">
        <v>2.157706525850934</v>
      </c>
      <c r="L21" s="3511">
        <v>3.9887602582049902E-2</v>
      </c>
      <c r="M21" s="482"/>
    </row>
    <row r="22" spans="2:13" ht="18" customHeight="1" x14ac:dyDescent="0.2">
      <c r="B22" s="923"/>
      <c r="C22" s="4367" t="s">
        <v>2263</v>
      </c>
      <c r="D22" s="542" t="s">
        <v>940</v>
      </c>
      <c r="E22" s="543" t="s">
        <v>2250</v>
      </c>
      <c r="F22" s="3655">
        <v>3862.4511760399464</v>
      </c>
      <c r="G22" s="3666" t="str">
        <f t="shared" si="2"/>
        <v>NA</v>
      </c>
      <c r="H22" s="3667">
        <f t="shared" si="3"/>
        <v>1.6843699456380642E-2</v>
      </c>
      <c r="I22" s="3668">
        <f t="shared" si="4"/>
        <v>3.6278896137497991E-4</v>
      </c>
      <c r="J22" s="3509" t="s">
        <v>2153</v>
      </c>
      <c r="K22" s="3510">
        <v>6.5057966774160814E-2</v>
      </c>
      <c r="L22" s="3512">
        <v>1.4012546505171018E-3</v>
      </c>
      <c r="M22" s="482"/>
    </row>
    <row r="23" spans="2:13" ht="18" customHeight="1" x14ac:dyDescent="0.2">
      <c r="B23" s="923" t="s">
        <v>1274</v>
      </c>
      <c r="C23" s="4368"/>
      <c r="D23" s="298"/>
      <c r="E23" s="5" t="s">
        <v>2250</v>
      </c>
      <c r="F23" s="3681">
        <f>F24</f>
        <v>9522.2616939585205</v>
      </c>
      <c r="G23" s="3666" t="str">
        <f t="shared" si="2"/>
        <v>NA</v>
      </c>
      <c r="H23" s="3667">
        <f t="shared" si="3"/>
        <v>0.21629160602020367</v>
      </c>
      <c r="I23" s="3668">
        <f t="shared" si="4"/>
        <v>2.1044875295586599E-3</v>
      </c>
      <c r="J23" s="3505" t="str">
        <f>J24</f>
        <v>IE</v>
      </c>
      <c r="K23" s="3505">
        <f>K24</f>
        <v>2.0595852747309538</v>
      </c>
      <c r="L23" s="3508">
        <f>L24</f>
        <v>2.0039480988129826E-2</v>
      </c>
      <c r="M23" s="482"/>
    </row>
    <row r="24" spans="2:13" ht="18" customHeight="1" thickBot="1" x14ac:dyDescent="0.25">
      <c r="B24" s="938"/>
      <c r="C24" s="4369" t="s">
        <v>2251</v>
      </c>
      <c r="D24" s="939" t="s">
        <v>940</v>
      </c>
      <c r="E24" s="940" t="s">
        <v>2250</v>
      </c>
      <c r="F24" s="3656">
        <v>9522.2616939585205</v>
      </c>
      <c r="G24" s="3669" t="str">
        <f t="shared" si="2"/>
        <v>NA</v>
      </c>
      <c r="H24" s="3670">
        <f t="shared" si="3"/>
        <v>0.21629160602020367</v>
      </c>
      <c r="I24" s="3671">
        <f t="shared" si="4"/>
        <v>2.1044875295586599E-3</v>
      </c>
      <c r="J24" s="3513" t="s">
        <v>2153</v>
      </c>
      <c r="K24" s="3514">
        <v>2.0595852747309538</v>
      </c>
      <c r="L24" s="3515">
        <v>2.0039480988129826E-2</v>
      </c>
      <c r="M24" s="482"/>
    </row>
    <row r="25" spans="2:13" ht="18" customHeight="1" x14ac:dyDescent="0.2">
      <c r="B25" s="933" t="s">
        <v>1986</v>
      </c>
      <c r="C25" s="4370"/>
      <c r="D25" s="2850"/>
      <c r="E25" s="935" t="s">
        <v>2250</v>
      </c>
      <c r="F25" s="3683">
        <f>IF(SUM(F26,F31)=0,"IE",SUM(F26,F31))</f>
        <v>20291</v>
      </c>
      <c r="G25" s="3660" t="str">
        <f t="shared" si="2"/>
        <v>NA</v>
      </c>
      <c r="H25" s="3661">
        <f t="shared" si="3"/>
        <v>0.10345311714553251</v>
      </c>
      <c r="I25" s="3662">
        <f t="shared" si="4"/>
        <v>1.9124458183431075E-3</v>
      </c>
      <c r="J25" s="3502" t="str">
        <f>IF(SUM(J26,J31)=0,"IE",SUM(J26,J31))</f>
        <v>IE</v>
      </c>
      <c r="K25" s="3503">
        <f>IF(SUM(K26,K31)=0,"IE",SUM(K26,K31))</f>
        <v>2.0991672000000001</v>
      </c>
      <c r="L25" s="3504">
        <f>IF(SUM(L26,L31)=0,"IE",SUM(L26,L31))</f>
        <v>3.8805438099999999E-2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20291</v>
      </c>
      <c r="G31" s="3663" t="str">
        <f t="shared" si="2"/>
        <v>NA</v>
      </c>
      <c r="H31" s="3664">
        <f t="shared" si="3"/>
        <v>0.10345311714553251</v>
      </c>
      <c r="I31" s="3665">
        <f t="shared" si="4"/>
        <v>1.9124458183431075E-3</v>
      </c>
      <c r="J31" s="3505" t="str">
        <f>IF(SUM(J32,J34)=0,"IE",SUM(J32,J34))</f>
        <v>IE</v>
      </c>
      <c r="K31" s="3505">
        <f t="shared" ref="K31:L31" si="6">IF(SUM(K32,K34)=0,"IE",SUM(K32,K34))</f>
        <v>2.0991672000000001</v>
      </c>
      <c r="L31" s="3508">
        <f t="shared" si="6"/>
        <v>3.8805438099999999E-2</v>
      </c>
    </row>
    <row r="32" spans="2:13" ht="18" customHeight="1" x14ac:dyDescent="0.2">
      <c r="B32" s="923" t="s">
        <v>1278</v>
      </c>
      <c r="C32" s="4368"/>
      <c r="D32" s="298"/>
      <c r="E32" s="5" t="s">
        <v>2250</v>
      </c>
      <c r="F32" s="3681">
        <f>F33</f>
        <v>20291</v>
      </c>
      <c r="G32" s="3663" t="str">
        <f t="shared" si="2"/>
        <v>NA</v>
      </c>
      <c r="H32" s="3664">
        <f t="shared" si="3"/>
        <v>0.10345311714553251</v>
      </c>
      <c r="I32" s="3665">
        <f t="shared" si="4"/>
        <v>1.9124458183431075E-3</v>
      </c>
      <c r="J32" s="3505" t="str">
        <f>J33</f>
        <v>IE</v>
      </c>
      <c r="K32" s="3505">
        <f>K33</f>
        <v>2.0991672000000001</v>
      </c>
      <c r="L32" s="3508">
        <f>L33</f>
        <v>3.8805438099999999E-2</v>
      </c>
      <c r="M32" s="482"/>
    </row>
    <row r="33" spans="2:13" ht="18" customHeight="1" x14ac:dyDescent="0.2">
      <c r="B33" s="923"/>
      <c r="C33" s="4367" t="s">
        <v>2252</v>
      </c>
      <c r="D33" s="542" t="s">
        <v>940</v>
      </c>
      <c r="E33" s="543" t="s">
        <v>2250</v>
      </c>
      <c r="F33" s="3654">
        <v>20291</v>
      </c>
      <c r="G33" s="3666" t="str">
        <f t="shared" si="2"/>
        <v>NA</v>
      </c>
      <c r="H33" s="3667">
        <f t="shared" si="3"/>
        <v>0.10345311714553251</v>
      </c>
      <c r="I33" s="3668">
        <f t="shared" si="4"/>
        <v>1.9124458183431075E-3</v>
      </c>
      <c r="J33" s="3509" t="s">
        <v>2153</v>
      </c>
      <c r="K33" s="3510">
        <v>2.0991672000000001</v>
      </c>
      <c r="L33" s="3511">
        <v>3.8805438099999999E-2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25530592.379133396</v>
      </c>
      <c r="G36" s="3660" t="str">
        <f t="shared" si="2"/>
        <v>NA</v>
      </c>
      <c r="H36" s="3661">
        <f t="shared" ref="H36" si="7">IF(SUM($F36)=0,"NA",K36*1000/$F36)</f>
        <v>1.1589285917983312E-2</v>
      </c>
      <c r="I36" s="3662">
        <f t="shared" ref="I36" si="8">IF(SUM($F36)=0,"NA",L36*1000/$F36)</f>
        <v>3.5886121100942259E-4</v>
      </c>
      <c r="J36" s="3502" t="str">
        <f>IF(SUM(J37,J42)=0,"IE",SUM(J37,J42))</f>
        <v>IE</v>
      </c>
      <c r="K36" s="3503">
        <f>IF(SUM(K37,K42)=0,"NO",SUM(K37,K42))</f>
        <v>295.88133473726276</v>
      </c>
      <c r="L36" s="3504">
        <f>IF(SUM(L37,L42)=0,"NO",SUM(L37,L42))</f>
        <v>9.1619392989637447</v>
      </c>
      <c r="M36" s="482"/>
    </row>
    <row r="37" spans="2:13" ht="18" customHeight="1" x14ac:dyDescent="0.2">
      <c r="B37" s="903" t="s">
        <v>1876</v>
      </c>
      <c r="C37" s="4368"/>
      <c r="D37" s="298"/>
      <c r="E37" s="5" t="s">
        <v>2250</v>
      </c>
      <c r="F37" s="3680">
        <f>IF(SUM(F38,F40)=0,"NO",SUM(F38,F40))</f>
        <v>25057690.472855344</v>
      </c>
      <c r="G37" s="3666" t="str">
        <f t="shared" si="2"/>
        <v>NA</v>
      </c>
      <c r="H37" s="3664">
        <f t="shared" si="3"/>
        <v>9.8700000814491706E-3</v>
      </c>
      <c r="I37" s="3665">
        <f t="shared" si="4"/>
        <v>3.2955754888816914E-4</v>
      </c>
      <c r="J37" s="3505" t="str">
        <f>IF(SUM(J38,J40)=0,"IE",SUM(J38,J40))</f>
        <v>IE</v>
      </c>
      <c r="K37" s="3506">
        <f>IF(SUM(K38,K40)=0,"NO",SUM(K38,K40))</f>
        <v>247.31940700801033</v>
      </c>
      <c r="L37" s="3507">
        <f>IF(SUM(L38,L40)=0,"NO",SUM(L38,L40))</f>
        <v>8.2579510530326345</v>
      </c>
    </row>
    <row r="38" spans="2:13" ht="18" customHeight="1" x14ac:dyDescent="0.2">
      <c r="B38" s="923" t="s">
        <v>1280</v>
      </c>
      <c r="C38" s="4368"/>
      <c r="D38" s="298"/>
      <c r="E38" s="5" t="s">
        <v>2250</v>
      </c>
      <c r="F38" s="3681">
        <f>F39</f>
        <v>25057690.472855344</v>
      </c>
      <c r="G38" s="3666" t="str">
        <f t="shared" si="2"/>
        <v>NA</v>
      </c>
      <c r="H38" s="3667">
        <f t="shared" si="3"/>
        <v>9.8700000814491706E-3</v>
      </c>
      <c r="I38" s="3668">
        <f t="shared" si="4"/>
        <v>3.2955754888816914E-4</v>
      </c>
      <c r="J38" s="3505" t="str">
        <f>J39</f>
        <v>IE</v>
      </c>
      <c r="K38" s="3505">
        <f>K39</f>
        <v>247.31940700801033</v>
      </c>
      <c r="L38" s="3508">
        <f>L39</f>
        <v>8.2579510530326345</v>
      </c>
      <c r="M38" s="482"/>
    </row>
    <row r="39" spans="2:13" ht="18" customHeight="1" x14ac:dyDescent="0.2">
      <c r="B39" s="923"/>
      <c r="C39" s="4367" t="s">
        <v>2263</v>
      </c>
      <c r="D39" s="542" t="s">
        <v>940</v>
      </c>
      <c r="E39" s="543" t="s">
        <v>2250</v>
      </c>
      <c r="F39" s="3655">
        <v>25057690.472855344</v>
      </c>
      <c r="G39" s="3666" t="str">
        <f t="shared" si="2"/>
        <v>NA</v>
      </c>
      <c r="H39" s="3667">
        <f t="shared" ref="H39:H40" si="9">IF(SUM($F39)=0,"NA",K39*1000/$F39)</f>
        <v>9.8700000814491706E-3</v>
      </c>
      <c r="I39" s="3668">
        <f t="shared" ref="I39:I40" si="10">IF(SUM($F39)=0,"NA",L39*1000/$F39)</f>
        <v>3.2955754888816914E-4</v>
      </c>
      <c r="J39" s="3509" t="s">
        <v>2153</v>
      </c>
      <c r="K39" s="3510">
        <v>247.31940700801033</v>
      </c>
      <c r="L39" s="3512">
        <v>8.2579510530326345</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472901.90627805283</v>
      </c>
      <c r="G42" s="3663" t="str">
        <f t="shared" si="2"/>
        <v>NA</v>
      </c>
      <c r="H42" s="3664">
        <f t="shared" si="11"/>
        <v>0.10268921965541712</v>
      </c>
      <c r="I42" s="3665">
        <f t="shared" si="12"/>
        <v>1.9115766587745374E-3</v>
      </c>
      <c r="J42" s="3505" t="str">
        <f>IF(SUM(J43,J46)=0,"IE",SUM(J43,J46))</f>
        <v>IE</v>
      </c>
      <c r="K42" s="3506">
        <f>IF(SUM(K43,K46)=0,"NO",SUM(K43,K46))</f>
        <v>48.561927729252453</v>
      </c>
      <c r="L42" s="3507">
        <f>IF(SUM(L43,L46)=0,"NO",SUM(L43,L46))</f>
        <v>0.9039882459311096</v>
      </c>
    </row>
    <row r="43" spans="2:13" ht="18" customHeight="1" x14ac:dyDescent="0.2">
      <c r="B43" s="923" t="s">
        <v>1283</v>
      </c>
      <c r="C43" s="4368"/>
      <c r="D43" s="298"/>
      <c r="E43" s="5" t="s">
        <v>2250</v>
      </c>
      <c r="F43" s="3681">
        <f>IF(SUM(F44:F45)=0,"NO",SUM(F44:F45))</f>
        <v>472901.90627805283</v>
      </c>
      <c r="G43" s="3666" t="str">
        <f t="shared" si="2"/>
        <v>NA</v>
      </c>
      <c r="H43" s="3667">
        <f t="shared" ref="H43" si="13">IF(SUM($F43)=0,"NA",K43*1000/$F43)</f>
        <v>0.10268921965541712</v>
      </c>
      <c r="I43" s="3668">
        <f t="shared" ref="I43" si="14">IF(SUM($F43)=0,"NA",L43*1000/$F43)</f>
        <v>1.9115766587745374E-3</v>
      </c>
      <c r="J43" s="3505" t="str">
        <f>IF(SUM(J44:J45)=0,"IE",SUM(J44:J45))</f>
        <v>IE</v>
      </c>
      <c r="K43" s="3505">
        <f>IF(SUM(K44:K45)=0,"NO",SUM(K44:K45))</f>
        <v>48.561927729252453</v>
      </c>
      <c r="L43" s="3508">
        <f>IF(SUM(L44:L45)=0,"NO",SUM(L44:L45))</f>
        <v>0.9039882459311096</v>
      </c>
      <c r="M43" s="482"/>
    </row>
    <row r="44" spans="2:13" ht="18" customHeight="1" x14ac:dyDescent="0.2">
      <c r="B44" s="923"/>
      <c r="C44" s="4367" t="s">
        <v>2252</v>
      </c>
      <c r="D44" s="542" t="s">
        <v>940</v>
      </c>
      <c r="E44" s="543" t="s">
        <v>2250</v>
      </c>
      <c r="F44" s="3655">
        <v>441198.97050670051</v>
      </c>
      <c r="G44" s="3666" t="str">
        <f t="shared" si="2"/>
        <v>NA</v>
      </c>
      <c r="H44" s="3667">
        <f t="shared" ref="H44:H46" si="15">IF(SUM($F44)=0,"NA",K44*1000/$F44)</f>
        <v>0.10734660610108653</v>
      </c>
      <c r="I44" s="3668">
        <f t="shared" ref="I44:I46" si="16">IF(SUM($F44)=0,"NA",L44*1000/$F44)</f>
        <v>1.9844212877853642E-3</v>
      </c>
      <c r="J44" s="3509" t="s">
        <v>2153</v>
      </c>
      <c r="K44" s="3510">
        <v>47.361212099187675</v>
      </c>
      <c r="L44" s="3512">
        <v>0.87552462922248353</v>
      </c>
      <c r="M44" s="482"/>
    </row>
    <row r="45" spans="2:13" ht="18" customHeight="1" x14ac:dyDescent="0.2">
      <c r="B45" s="923"/>
      <c r="C45" s="4367" t="s">
        <v>2263</v>
      </c>
      <c r="D45" s="542" t="s">
        <v>940</v>
      </c>
      <c r="E45" s="543" t="s">
        <v>2250</v>
      </c>
      <c r="F45" s="3655">
        <v>31702.935771352291</v>
      </c>
      <c r="G45" s="3666" t="str">
        <f t="shared" si="2"/>
        <v>NA</v>
      </c>
      <c r="H45" s="3667">
        <f t="shared" si="15"/>
        <v>3.7873957122601255E-2</v>
      </c>
      <c r="I45" s="3668">
        <f t="shared" si="16"/>
        <v>8.9782274152498643E-4</v>
      </c>
      <c r="J45" s="3509" t="s">
        <v>2153</v>
      </c>
      <c r="K45" s="3510">
        <v>1.2007156300647783</v>
      </c>
      <c r="L45" s="3512">
        <v>2.8463616708626075E-2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607569.0824562317</v>
      </c>
      <c r="G48" s="3660" t="str">
        <f t="shared" si="2"/>
        <v>NA</v>
      </c>
      <c r="H48" s="3661">
        <f t="shared" si="17"/>
        <v>2.9895719805300206E-2</v>
      </c>
      <c r="I48" s="3662">
        <f t="shared" si="18"/>
        <v>5.9708996498949692E-4</v>
      </c>
      <c r="J48" s="3502" t="str">
        <f>IF(SUM(J49,J54)=0,"IE",SUM(J49,J54))</f>
        <v>IE</v>
      </c>
      <c r="K48" s="3503">
        <f>IF(SUM(K49,K54)=0,"NO",SUM(K49,K54))</f>
        <v>18.163715051474838</v>
      </c>
      <c r="L48" s="3504">
        <f>IF(SUM(L49,L54)=0,"NO",SUM(L49,L54))</f>
        <v>0.36277340217249221</v>
      </c>
      <c r="M48" s="482"/>
    </row>
    <row r="49" spans="2:13" ht="18" customHeight="1" x14ac:dyDescent="0.2">
      <c r="B49" s="903" t="s">
        <v>1285</v>
      </c>
      <c r="C49" s="4368"/>
      <c r="D49" s="298"/>
      <c r="E49" s="5" t="s">
        <v>2250</v>
      </c>
      <c r="F49" s="3680">
        <f>IF(SUM(F50,F52)=0,"NO",SUM(F50,F52))</f>
        <v>607569.0824562317</v>
      </c>
      <c r="G49" s="3663" t="str">
        <f t="shared" si="2"/>
        <v>NA</v>
      </c>
      <c r="H49" s="3664">
        <f t="shared" si="17"/>
        <v>2.9895719805300206E-2</v>
      </c>
      <c r="I49" s="3665">
        <f t="shared" si="18"/>
        <v>5.9708996498949692E-4</v>
      </c>
      <c r="J49" s="3505" t="str">
        <f>IF(SUM(J50,J52)=0,"IE",SUM(J50,J52))</f>
        <v>IE</v>
      </c>
      <c r="K49" s="3506">
        <f>IF(SUM(K50,K52)=0,"NO",SUM(K50,K52))</f>
        <v>18.163715051474838</v>
      </c>
      <c r="L49" s="3507">
        <f>IF(SUM(L50,L52)=0,"NO",SUM(L50,L52))</f>
        <v>0.36277340217249221</v>
      </c>
    </row>
    <row r="50" spans="2:13" ht="18" customHeight="1" x14ac:dyDescent="0.2">
      <c r="B50" s="923" t="s">
        <v>1286</v>
      </c>
      <c r="C50" s="4368"/>
      <c r="D50" s="298"/>
      <c r="E50" s="5" t="s">
        <v>2250</v>
      </c>
      <c r="F50" s="3681">
        <f>F51</f>
        <v>607569.0824562317</v>
      </c>
      <c r="G50" s="3666" t="str">
        <f t="shared" si="2"/>
        <v>NA</v>
      </c>
      <c r="H50" s="3667">
        <f t="shared" si="17"/>
        <v>2.9895719805300206E-2</v>
      </c>
      <c r="I50" s="3668">
        <f t="shared" si="18"/>
        <v>5.9708996498949692E-4</v>
      </c>
      <c r="J50" s="3505" t="str">
        <f>J51</f>
        <v>IE</v>
      </c>
      <c r="K50" s="3505">
        <f>K51</f>
        <v>18.163715051474838</v>
      </c>
      <c r="L50" s="3508">
        <f>L51</f>
        <v>0.36277340217249221</v>
      </c>
      <c r="M50" s="482"/>
    </row>
    <row r="51" spans="2:13" ht="18" customHeight="1" x14ac:dyDescent="0.2">
      <c r="B51" s="923"/>
      <c r="C51" s="4367" t="s">
        <v>2263</v>
      </c>
      <c r="D51" s="542" t="s">
        <v>940</v>
      </c>
      <c r="E51" s="543" t="s">
        <v>2250</v>
      </c>
      <c r="F51" s="3655">
        <v>607569.0824562317</v>
      </c>
      <c r="G51" s="3666" t="str">
        <f t="shared" si="2"/>
        <v>NA</v>
      </c>
      <c r="H51" s="3667">
        <f t="shared" si="17"/>
        <v>2.9895719805300206E-2</v>
      </c>
      <c r="I51" s="3668">
        <f t="shared" si="18"/>
        <v>5.9708996498949692E-4</v>
      </c>
      <c r="J51" s="3509" t="s">
        <v>2153</v>
      </c>
      <c r="K51" s="3510">
        <v>18.163715051474838</v>
      </c>
      <c r="L51" s="3512">
        <v>0.36277340217249221</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10007</v>
      </c>
      <c r="G59" s="3660" t="str">
        <f t="shared" si="2"/>
        <v>NA</v>
      </c>
      <c r="H59" s="3661">
        <f t="shared" si="3"/>
        <v>0.13849945038473069</v>
      </c>
      <c r="I59" s="3662">
        <f t="shared" si="4"/>
        <v>2.5603162286399524E-3</v>
      </c>
      <c r="J59" s="3502" t="str">
        <f>IF(SUM(J60,J65)=0,"IE",SUM(J60,J65))</f>
        <v>IE</v>
      </c>
      <c r="K59" s="3503">
        <f>IF(SUM(K60,K65)=0,"NO",SUM(K60,K65))</f>
        <v>1.385964</v>
      </c>
      <c r="L59" s="3504">
        <f>IF(SUM(L60,L65)=0,"NO",SUM(L60,L65))</f>
        <v>2.5621084500000006E-2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10007</v>
      </c>
      <c r="G65" s="3663" t="str">
        <f t="shared" si="2"/>
        <v>NA</v>
      </c>
      <c r="H65" s="3664">
        <f t="shared" si="3"/>
        <v>0.13849945038473069</v>
      </c>
      <c r="I65" s="3665">
        <f t="shared" si="4"/>
        <v>2.5603162286399524E-3</v>
      </c>
      <c r="J65" s="3505" t="str">
        <f>IF(SUM(J66,J68)=0,"IE",SUM(J66,J68))</f>
        <v>IE</v>
      </c>
      <c r="K65" s="3506">
        <f>IF(SUM(K66,K68)=0,"NO",SUM(K66,K68))</f>
        <v>1.385964</v>
      </c>
      <c r="L65" s="3507">
        <f>IF(SUM(L66,L68)=0,"NO",SUM(L66,L68))</f>
        <v>2.5621084500000006E-2</v>
      </c>
    </row>
    <row r="66" spans="2:13" ht="18" customHeight="1" x14ac:dyDescent="0.2">
      <c r="B66" s="923" t="s">
        <v>1294</v>
      </c>
      <c r="C66" s="4368"/>
      <c r="D66" s="298"/>
      <c r="E66" s="5" t="s">
        <v>2250</v>
      </c>
      <c r="F66" s="3681">
        <f>F67</f>
        <v>10007</v>
      </c>
      <c r="G66" s="3666" t="str">
        <f t="shared" si="2"/>
        <v>NA</v>
      </c>
      <c r="H66" s="3667">
        <f t="shared" si="3"/>
        <v>0.13849945038473069</v>
      </c>
      <c r="I66" s="3668">
        <f t="shared" si="4"/>
        <v>2.5603162286399524E-3</v>
      </c>
      <c r="J66" s="3505" t="str">
        <f>J67</f>
        <v>IE</v>
      </c>
      <c r="K66" s="3505">
        <f>K67</f>
        <v>1.385964</v>
      </c>
      <c r="L66" s="3508">
        <f>L67</f>
        <v>2.5621084500000006E-2</v>
      </c>
      <c r="M66" s="482"/>
    </row>
    <row r="67" spans="2:13" ht="18" customHeight="1" x14ac:dyDescent="0.2">
      <c r="B67" s="923"/>
      <c r="C67" s="4367" t="s">
        <v>2252</v>
      </c>
      <c r="D67" s="542" t="s">
        <v>940</v>
      </c>
      <c r="E67" s="543" t="s">
        <v>2250</v>
      </c>
      <c r="F67" s="3655">
        <v>10007</v>
      </c>
      <c r="G67" s="3666" t="str">
        <f t="shared" si="2"/>
        <v>NA</v>
      </c>
      <c r="H67" s="3667">
        <f t="shared" ref="H67:H68" si="23">IF(SUM($F67)=0,"NA",K67*1000/$F67)</f>
        <v>0.13849945038473069</v>
      </c>
      <c r="I67" s="3668">
        <f t="shared" ref="I67:I68" si="24">IF(SUM($F67)=0,"NA",L67*1000/$F67)</f>
        <v>2.5603162286399524E-3</v>
      </c>
      <c r="J67" s="3509" t="s">
        <v>2153</v>
      </c>
      <c r="K67" s="3510">
        <v>1.385964</v>
      </c>
      <c r="L67" s="3512">
        <v>2.5621084500000006E-2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4141.7330714700047</v>
      </c>
      <c r="D10" s="3521">
        <f>IF(SUM(D11,D16:D17)=0,"NO",SUM(D11,D16:D17))</f>
        <v>-3059.1569588578841</v>
      </c>
      <c r="E10" s="3522"/>
      <c r="F10" s="3523">
        <f>IF(SUM(F11,F16:F17)=0,"NO",SUM(F11,F16:F17))</f>
        <v>1082.5761126121213</v>
      </c>
      <c r="G10" s="3524">
        <f>IF(SUM(G11,G16:G17)=0,"NO",SUM(G11,G16:G17))</f>
        <v>-3969.4457462444443</v>
      </c>
      <c r="H10" s="226"/>
      <c r="I10" s="2"/>
      <c r="J10" s="2"/>
    </row>
    <row r="11" spans="1:10" ht="18" customHeight="1" x14ac:dyDescent="0.2">
      <c r="B11" s="606" t="s">
        <v>1314</v>
      </c>
      <c r="C11" s="3525">
        <f>IF(SUM(C13:C15)=0,"NO",SUM(C13:C15))</f>
        <v>1510.2297391708912</v>
      </c>
      <c r="D11" s="3526">
        <f>IF(SUM(D13:D15)=0,"NO",SUM(D13:D15))</f>
        <v>-725.08165611680545</v>
      </c>
      <c r="E11" s="3527"/>
      <c r="F11" s="3528">
        <f>IF(SUM(F13:F15)=0,"NO",SUM(F13:F15))</f>
        <v>785.14808305408587</v>
      </c>
      <c r="G11" s="3529">
        <f>IF(SUM(G13:G15)=0,"NO",SUM(G13:G15))</f>
        <v>-2878.8763045316482</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1026.476117272739</v>
      </c>
      <c r="D13" s="3534">
        <f>F13-C13</f>
        <v>-444.2299205657996</v>
      </c>
      <c r="E13" s="3535" t="s">
        <v>2147</v>
      </c>
      <c r="F13" s="3536">
        <f>G13/(-44/12)</f>
        <v>582.24619670693937</v>
      </c>
      <c r="G13" s="3537">
        <v>-2134.9027212587775</v>
      </c>
      <c r="H13" s="226"/>
      <c r="I13" s="2"/>
      <c r="J13" s="2"/>
    </row>
    <row r="14" spans="1:10" ht="18" customHeight="1" x14ac:dyDescent="0.2">
      <c r="B14" s="1193" t="s">
        <v>1316</v>
      </c>
      <c r="C14" s="3538">
        <v>483.75362189815235</v>
      </c>
      <c r="D14" s="3539">
        <f>F14-C14</f>
        <v>-280.85173555100585</v>
      </c>
      <c r="E14" s="3235" t="s">
        <v>2147</v>
      </c>
      <c r="F14" s="3540">
        <f>G14/(-44/12)</f>
        <v>202.9018863471465</v>
      </c>
      <c r="G14" s="3537">
        <v>-743.97358327287043</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1793.9159551863636</v>
      </c>
      <c r="D16" s="3539">
        <f>F16-C16</f>
        <v>-1828.1339639636333</v>
      </c>
      <c r="E16" s="3235" t="s">
        <v>2147</v>
      </c>
      <c r="F16" s="3540">
        <f>G16/(-44/12)</f>
        <v>-34.218008777269688</v>
      </c>
      <c r="G16" s="3537">
        <v>125.46603218332218</v>
      </c>
      <c r="H16" s="226"/>
      <c r="I16" s="2"/>
      <c r="J16" s="2"/>
    </row>
    <row r="17" spans="2:10" ht="18" customHeight="1" x14ac:dyDescent="0.2">
      <c r="B17" s="1197" t="s">
        <v>1320</v>
      </c>
      <c r="C17" s="3542">
        <f>C18</f>
        <v>837.58737711275023</v>
      </c>
      <c r="D17" s="3543">
        <f t="shared" ref="D17:F17" si="0">D18</f>
        <v>-505.9413387774452</v>
      </c>
      <c r="E17" s="3544"/>
      <c r="F17" s="3226">
        <f t="shared" si="0"/>
        <v>331.64603833530504</v>
      </c>
      <c r="G17" s="3537">
        <f>-F17*44/12</f>
        <v>-1216.0354738961184</v>
      </c>
      <c r="H17" s="226"/>
      <c r="I17" s="2"/>
      <c r="J17" s="2"/>
    </row>
    <row r="18" spans="2:10" ht="18" customHeight="1" thickBot="1" x14ac:dyDescent="0.25">
      <c r="B18" s="561" t="s">
        <v>2254</v>
      </c>
      <c r="C18" s="3545">
        <v>837.58737711275023</v>
      </c>
      <c r="D18" s="3546">
        <f>F18-C18</f>
        <v>-505.9413387774452</v>
      </c>
      <c r="E18" s="3238" t="s">
        <v>2147</v>
      </c>
      <c r="F18" s="3547">
        <f>G18/(-44/12)</f>
        <v>331.64603833530504</v>
      </c>
      <c r="G18" s="3548">
        <v>-1216.0354738961184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31.499220380900699</v>
      </c>
      <c r="D10" s="4371">
        <f t="shared" ref="D10:I10" si="0">IF(SUM(D11,D15,D18,D21)=0,"NO",SUM(D11,D15,D18,D21))</f>
        <v>459.91700347788355</v>
      </c>
      <c r="E10" s="4371">
        <f t="shared" si="0"/>
        <v>1.240403827217694</v>
      </c>
      <c r="F10" s="4371" t="str">
        <f t="shared" si="0"/>
        <v>NO</v>
      </c>
      <c r="G10" s="4371" t="str">
        <f t="shared" si="0"/>
        <v>NO</v>
      </c>
      <c r="H10" s="4371">
        <f t="shared" si="0"/>
        <v>253.50372317356005</v>
      </c>
      <c r="I10" s="4372" t="str">
        <f t="shared" si="0"/>
        <v>NO</v>
      </c>
      <c r="J10" s="4373">
        <f>IF(SUM(C10:E10)=0,"NO",SUM(C10,IFERROR(28*D10,0),IFERROR(265*E10,0)))</f>
        <v>13237.88233197433</v>
      </c>
    </row>
    <row r="11" spans="1:10" ht="18" customHeight="1" x14ac:dyDescent="0.2">
      <c r="B11" s="1504" t="s">
        <v>1371</v>
      </c>
      <c r="C11" s="4374"/>
      <c r="D11" s="2883">
        <f>IF(SUM(D12:D14)=0,"NO",SUM(D12:D14))</f>
        <v>366.44321953999997</v>
      </c>
      <c r="E11" s="4374"/>
      <c r="F11" s="2883" t="str">
        <f>IF(SUM(F12:F14)=0,"NO",SUM(F12:F14))</f>
        <v>NO</v>
      </c>
      <c r="G11" s="2883" t="str">
        <f t="shared" ref="G11:H11" si="1">IF(SUM(G12:G14)=0,"NO",SUM(G12:G14))</f>
        <v>NO</v>
      </c>
      <c r="H11" s="2883">
        <f t="shared" si="1"/>
        <v>2.9891760942856163</v>
      </c>
      <c r="I11" s="2153"/>
      <c r="J11" s="2872">
        <f t="shared" ref="J11:J18" si="2">IF(SUM(C11:E11)=0,"NO",SUM(C11,IFERROR(28*D11,0),IFERROR(265*E11,0)))</f>
        <v>10260.410147119999</v>
      </c>
    </row>
    <row r="12" spans="1:10" ht="18" customHeight="1" x14ac:dyDescent="0.2">
      <c r="B12" s="1270" t="s">
        <v>1372</v>
      </c>
      <c r="C12" s="4375"/>
      <c r="D12" s="4376">
        <f>IF(SUM(Table5.A!F10:H10)=0,"NO",SUM(Table5.A!F10))</f>
        <v>366.44321953999997</v>
      </c>
      <c r="E12" s="4375"/>
      <c r="F12" s="4377" t="s">
        <v>2147</v>
      </c>
      <c r="G12" s="4377" t="s">
        <v>2147</v>
      </c>
      <c r="H12" s="4377">
        <v>2.9891760942856163</v>
      </c>
      <c r="I12" s="4378"/>
      <c r="J12" s="4379">
        <f t="shared" si="2"/>
        <v>10260.410147119999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4.1509899225</v>
      </c>
      <c r="E15" s="2881">
        <f t="shared" ref="E15" si="3">IF(SUM(E16:E17)=0,"NO",SUM(E16:E17))</f>
        <v>0.5313267100800001</v>
      </c>
      <c r="F15" s="2881" t="s">
        <v>2256</v>
      </c>
      <c r="G15" s="2881" t="s">
        <v>2256</v>
      </c>
      <c r="H15" s="2881" t="s">
        <v>2256</v>
      </c>
      <c r="I15" s="4386"/>
      <c r="J15" s="2873">
        <f t="shared" si="2"/>
        <v>257.02929600120001</v>
      </c>
    </row>
    <row r="16" spans="1:10" ht="18" customHeight="1" x14ac:dyDescent="0.2">
      <c r="B16" s="1883" t="s">
        <v>1376</v>
      </c>
      <c r="C16" s="4387"/>
      <c r="D16" s="4376">
        <f>Table5.B!F10</f>
        <v>4.1509899225</v>
      </c>
      <c r="E16" s="4376">
        <f>Table5.B!G10</f>
        <v>0.5313267100800001</v>
      </c>
      <c r="F16" s="4388" t="s">
        <v>2147</v>
      </c>
      <c r="G16" s="4388" t="s">
        <v>2147</v>
      </c>
      <c r="H16" s="4388" t="s">
        <v>2147</v>
      </c>
      <c r="I16" s="4378"/>
      <c r="J16" s="4379">
        <f t="shared" si="2"/>
        <v>257.02929600120001</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31.499220380900699</v>
      </c>
      <c r="D18" s="2871" t="str">
        <f>IF(SUM(D19:D20)=0,"NO,NE",SUM(D19:D20))</f>
        <v>NO,NE</v>
      </c>
      <c r="E18" s="2871" t="str">
        <f>IF(SUM(E19:E20)=0,"NO,NE",SUM(E19:E20))</f>
        <v>NO,NE</v>
      </c>
      <c r="F18" s="2871" t="s">
        <v>2147</v>
      </c>
      <c r="G18" s="2871" t="s">
        <v>2147</v>
      </c>
      <c r="H18" s="2871" t="s">
        <v>2147</v>
      </c>
      <c r="I18" s="2871" t="s">
        <v>2147</v>
      </c>
      <c r="J18" s="2874">
        <f t="shared" si="2"/>
        <v>31.499220380900699</v>
      </c>
    </row>
    <row r="19" spans="2:12" ht="18" customHeight="1" x14ac:dyDescent="0.2">
      <c r="B19" s="1270" t="s">
        <v>1379</v>
      </c>
      <c r="C19" s="4376">
        <f>Table5.C!G10</f>
        <v>31.499220380900699</v>
      </c>
      <c r="D19" s="4376" t="str">
        <f>Table5.C!H10</f>
        <v>NO,NE</v>
      </c>
      <c r="E19" s="4376" t="str">
        <f>Table5.C!I10</f>
        <v>NO,NE</v>
      </c>
      <c r="F19" s="4391" t="s">
        <v>2147</v>
      </c>
      <c r="G19" s="4391" t="s">
        <v>2147</v>
      </c>
      <c r="H19" s="4391" t="s">
        <v>2147</v>
      </c>
      <c r="I19" s="4391" t="s">
        <v>2147</v>
      </c>
      <c r="J19" s="4379">
        <f>IF(SUM(C19:E19)=0,"NO",SUM(C19,IFERROR(28*D19,0),IFERROR(265*E19,0)))</f>
        <v>31.499220380900699</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89.322794015383593</v>
      </c>
      <c r="E21" s="2871">
        <f t="shared" ref="E21:H21" si="5">IF(SUM(E22:E24)=0,"NO",SUM(E22:E24))</f>
        <v>0.70907711713769395</v>
      </c>
      <c r="F21" s="2871" t="str">
        <f t="shared" si="5"/>
        <v>NO</v>
      </c>
      <c r="G21" s="2871" t="str">
        <f t="shared" si="5"/>
        <v>NO</v>
      </c>
      <c r="H21" s="2871">
        <f t="shared" si="5"/>
        <v>250.51454707927442</v>
      </c>
      <c r="I21" s="4393"/>
      <c r="J21" s="2874">
        <f t="shared" si="4"/>
        <v>2688.9436684722295</v>
      </c>
    </row>
    <row r="22" spans="2:12" ht="18" customHeight="1" x14ac:dyDescent="0.2">
      <c r="B22" s="1270" t="s">
        <v>1382</v>
      </c>
      <c r="C22" s="4394"/>
      <c r="D22" s="4376">
        <f>IF(SUM(Table5.D!H10)=0,"NO",SUM(Table5.D!H10))</f>
        <v>43.974323573611713</v>
      </c>
      <c r="E22" s="4376">
        <f>IF(SUM(Table5.D!I10:J10)=0,"NO",SUM(Table5.D!I10:J10))</f>
        <v>0.70907711713769395</v>
      </c>
      <c r="F22" s="4377" t="s">
        <v>2147</v>
      </c>
      <c r="G22" s="4377" t="s">
        <v>2147</v>
      </c>
      <c r="H22" s="4377">
        <v>7.7886572704470707</v>
      </c>
      <c r="I22" s="4378"/>
      <c r="J22" s="4379">
        <f t="shared" si="4"/>
        <v>1419.1864961026167</v>
      </c>
    </row>
    <row r="23" spans="2:12" ht="18" customHeight="1" x14ac:dyDescent="0.2">
      <c r="B23" s="1270" t="s">
        <v>1383</v>
      </c>
      <c r="C23" s="4394"/>
      <c r="D23" s="4376">
        <f>IF(SUM(Table5.D!H11)=0,"NO",SUM(Table5.D!H11))</f>
        <v>45.34847044177188</v>
      </c>
      <c r="E23" s="4376" t="str">
        <f>IF(SUM(Table5.D!I11:J11)=0,"IE",SUM(Table5.D!I11:J11))</f>
        <v>IE</v>
      </c>
      <c r="F23" s="4377" t="s">
        <v>2147</v>
      </c>
      <c r="G23" s="4377" t="s">
        <v>2147</v>
      </c>
      <c r="H23" s="4377">
        <v>242.72588980882736</v>
      </c>
      <c r="I23" s="4378"/>
      <c r="J23" s="4379">
        <f t="shared" si="4"/>
        <v>1269.7571723696126</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-295720.46673272207</v>
      </c>
      <c r="D28" s="4404"/>
      <c r="E28" s="4404"/>
      <c r="F28" s="4404"/>
      <c r="G28" s="4404"/>
      <c r="H28" s="4404"/>
      <c r="I28" s="4405"/>
      <c r="J28" s="4406"/>
      <c r="K28"/>
      <c r="L28"/>
    </row>
    <row r="29" spans="2:12" ht="18" customHeight="1" x14ac:dyDescent="0.2">
      <c r="B29" s="2487" t="s">
        <v>2081</v>
      </c>
      <c r="C29" s="4407">
        <v>-3857.102136259457</v>
      </c>
      <c r="D29" s="4408"/>
      <c r="E29" s="4408"/>
      <c r="F29" s="4408"/>
      <c r="G29" s="4408"/>
      <c r="H29" s="4408"/>
      <c r="I29" s="4406"/>
      <c r="J29" s="4406"/>
      <c r="K29"/>
      <c r="L29"/>
    </row>
    <row r="30" spans="2:12" ht="29.25" customHeight="1" thickBot="1" x14ac:dyDescent="0.25">
      <c r="B30" s="2488" t="s">
        <v>2082</v>
      </c>
      <c r="C30" s="4409">
        <v>-1216.0354738961184</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18588.059511794614</v>
      </c>
      <c r="D10" s="3752"/>
      <c r="E10" s="3751">
        <f>IF(SUM(C10)=0,"NA",(F10-SUM(G10:H10))/C10)</f>
        <v>3.6182540684961809E-2</v>
      </c>
      <c r="F10" s="3753">
        <f>F11</f>
        <v>366.44321953999997</v>
      </c>
      <c r="G10" s="3753">
        <f>G11</f>
        <v>-31.19</v>
      </c>
      <c r="H10" s="3754">
        <f>H11</f>
        <v>-274.93</v>
      </c>
      <c r="I10" s="44"/>
    </row>
    <row r="11" spans="1:13" ht="18" customHeight="1" x14ac:dyDescent="0.2">
      <c r="B11" s="1750" t="s">
        <v>1395</v>
      </c>
      <c r="C11" s="3755">
        <f>IF(SUM(C13:C16)=0,"NO",SUM(C13:C16))</f>
        <v>18588.059511794614</v>
      </c>
      <c r="D11" s="3755">
        <v>1</v>
      </c>
      <c r="E11" s="3755">
        <f>IF(SUM(C11)=0,"NA",(F11-SUM(G11:H11))/C11)</f>
        <v>3.6182540684961809E-2</v>
      </c>
      <c r="F11" s="3755">
        <f>IF(SUM(F13:F16)=0,"NO",SUM(F13:F16))</f>
        <v>366.44321953999997</v>
      </c>
      <c r="G11" s="3756">
        <v>-31.19</v>
      </c>
      <c r="H11" s="3757">
        <v>-274.93</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11039.525217701892</v>
      </c>
      <c r="D13" s="3762">
        <v>1</v>
      </c>
      <c r="E13" s="3755" t="s">
        <v>2153</v>
      </c>
      <c r="F13" s="3762">
        <v>14.440009440000001</v>
      </c>
      <c r="G13" s="3763"/>
      <c r="H13" s="3764"/>
      <c r="I13" s="44"/>
    </row>
    <row r="14" spans="1:13" ht="18" customHeight="1" x14ac:dyDescent="0.2">
      <c r="B14" s="1751" t="s">
        <v>1398</v>
      </c>
      <c r="C14" s="3762">
        <v>1811.4010142109651</v>
      </c>
      <c r="D14" s="3762">
        <v>1</v>
      </c>
      <c r="E14" s="3755" t="s">
        <v>2153</v>
      </c>
      <c r="F14" s="3762">
        <v>146.29272109999999</v>
      </c>
      <c r="G14" s="3763"/>
      <c r="H14" s="3764"/>
      <c r="I14" s="44"/>
    </row>
    <row r="15" spans="1:13" ht="18" customHeight="1" x14ac:dyDescent="0.2">
      <c r="B15" s="1751" t="s">
        <v>1399</v>
      </c>
      <c r="C15" s="3762">
        <v>5737.1332798817566</v>
      </c>
      <c r="D15" s="3762">
        <v>1</v>
      </c>
      <c r="E15" s="3755" t="s">
        <v>2153</v>
      </c>
      <c r="F15" s="3762">
        <v>205.710489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5534.6532299999999</v>
      </c>
      <c r="D10" s="1913">
        <f>IF(SUM($C10)=0,"NA",F10*1000/$C10)</f>
        <v>0.75</v>
      </c>
      <c r="E10" s="1913">
        <f>IF(SUM($C10)=0,"NA",G10*1000/$C10)</f>
        <v>9.6000000000000016E-2</v>
      </c>
      <c r="F10" s="1909">
        <f>IF(SUM(F11:F12)=0,"NO",SUM(F11:F12))</f>
        <v>4.1509899225</v>
      </c>
      <c r="G10" s="1909">
        <f>IF(SUM(G11:G12)=0,"NO",SUM(G11:G12))</f>
        <v>0.5313267100800001</v>
      </c>
      <c r="H10" s="1910"/>
      <c r="I10" s="1911"/>
    </row>
    <row r="11" spans="1:9" ht="18" customHeight="1" x14ac:dyDescent="0.2">
      <c r="B11" s="1526" t="s">
        <v>1411</v>
      </c>
      <c r="C11" s="1912">
        <v>5534.6532299999999</v>
      </c>
      <c r="D11" s="1913">
        <f>IF(SUM($C11)=0,"NA",F11*1000/$C11)</f>
        <v>0.75</v>
      </c>
      <c r="E11" s="1913">
        <f>IF(SUM($C11)=0,"NA",G11*1000/$C11)</f>
        <v>9.6000000000000016E-2</v>
      </c>
      <c r="F11" s="1912">
        <v>4.1509899225</v>
      </c>
      <c r="G11" s="1912">
        <v>0.5313267100800001</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16.228661373114758</v>
      </c>
      <c r="D10" s="2887">
        <f>IF(SUM(G10)=0,"NA",G10*1000/$C10)</f>
        <v>1940.962329344301</v>
      </c>
      <c r="E10" s="2887" t="str">
        <f t="shared" ref="E10:E20" si="0">IF(SUM(H10)=0,"NA",H10*1000/$C10)</f>
        <v>NA</v>
      </c>
      <c r="F10" s="2887" t="str">
        <f t="shared" ref="F10:F20" si="1">IF(SUM(I10)=0,"NA",I10*1000/$C10)</f>
        <v>NA</v>
      </c>
      <c r="G10" s="2887">
        <f>IF(SUM(G11,G21)=0,"NO",SUM(G11,G21))</f>
        <v>31.499220380900699</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16.228661373114758</v>
      </c>
      <c r="D21" s="116">
        <f>IF(SUM(G21)=0,"NA",G21*1000/$C21)</f>
        <v>1940.962329344301</v>
      </c>
      <c r="E21" s="116" t="str">
        <f t="shared" ref="E21:F21" si="3">IF(SUM(H21)=0,"NA",H21*1000/$C21)</f>
        <v>NA</v>
      </c>
      <c r="F21" s="116" t="str">
        <f t="shared" si="3"/>
        <v>NA</v>
      </c>
      <c r="G21" s="2889">
        <f>IF(SUM(G22:G23)=0,"NO",SUM(G22:G23))</f>
        <v>31.499220380900699</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16.228661373114758</v>
      </c>
      <c r="D23" s="116">
        <f t="shared" si="4"/>
        <v>1940.962329344301</v>
      </c>
      <c r="E23" s="151" t="str">
        <f t="shared" si="5"/>
        <v>NA</v>
      </c>
      <c r="F23" s="151" t="str">
        <f t="shared" si="6"/>
        <v>NA</v>
      </c>
      <c r="G23" s="151">
        <f>IF(SUM(G25:G30)=0,"NO",SUM(G25:G30))</f>
        <v>31.499220380900699</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16.228661373114758</v>
      </c>
      <c r="D27" s="116">
        <f t="shared" si="4"/>
        <v>879.99999999377724</v>
      </c>
      <c r="E27" s="116" t="str">
        <f t="shared" si="5"/>
        <v>NA</v>
      </c>
      <c r="F27" s="116" t="str">
        <f t="shared" si="6"/>
        <v>NA</v>
      </c>
      <c r="G27" s="2897">
        <v>14.28122200824</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23672.620999999999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34.472932286289812</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1283.95141732972</v>
      </c>
      <c r="D10" s="3435">
        <v>845.181879909298</v>
      </c>
      <c r="E10" s="3435">
        <v>125.189473449223</v>
      </c>
      <c r="F10" s="3436">
        <f>(SUM(H10)-SUM(K10:L10))/C10</f>
        <v>7.7677485510106795E-2</v>
      </c>
      <c r="G10" s="3437">
        <f>SUM(I10:J10)/E10/(44/28)</f>
        <v>3.6043836617541715E-3</v>
      </c>
      <c r="H10" s="3434">
        <v>43.974323573611713</v>
      </c>
      <c r="I10" s="3223">
        <v>0.70907711713769395</v>
      </c>
      <c r="J10" s="3223" t="s">
        <v>2153</v>
      </c>
      <c r="K10" s="3438">
        <v>-8.4522685142857128</v>
      </c>
      <c r="L10" s="2911">
        <v>-47.307525527412984</v>
      </c>
      <c r="M10"/>
      <c r="N10" s="1770" t="s">
        <v>1468</v>
      </c>
      <c r="O10" s="3440">
        <v>1</v>
      </c>
    </row>
    <row r="11" spans="1:15" ht="18" customHeight="1" x14ac:dyDescent="0.2">
      <c r="A11"/>
      <c r="B11" s="1749" t="s">
        <v>1383</v>
      </c>
      <c r="C11" s="3435">
        <v>809.08629936275702</v>
      </c>
      <c r="D11" s="3435">
        <v>191.292333633705</v>
      </c>
      <c r="E11" s="691" t="s">
        <v>2153</v>
      </c>
      <c r="F11" s="3162">
        <f>(SUM(H11)-SUM(K11:L11))/C11</f>
        <v>7.0402310199336141E-2</v>
      </c>
      <c r="G11" s="3162" t="s">
        <v>2147</v>
      </c>
      <c r="H11" s="691">
        <v>45.34847044177188</v>
      </c>
      <c r="I11" s="691" t="s">
        <v>2153</v>
      </c>
      <c r="J11" s="691" t="s">
        <v>2153</v>
      </c>
      <c r="K11" s="3147" t="s">
        <v>2153</v>
      </c>
      <c r="L11" s="2911">
        <v>-11.613074183997881</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389471.72227860283</v>
      </c>
      <c r="D10" s="4213">
        <f t="shared" si="0"/>
        <v>4832.0888598800284</v>
      </c>
      <c r="E10" s="4213">
        <f t="shared" si="0"/>
        <v>82.739850358961306</v>
      </c>
      <c r="F10" s="4213">
        <f t="shared" si="0"/>
        <v>8837.371668775806</v>
      </c>
      <c r="G10" s="4213">
        <f t="shared" si="0"/>
        <v>173.10697875319798</v>
      </c>
      <c r="H10" s="4213" t="str">
        <f>IF(SUM(H11,H22,H31,H42,H51)=0,"NO",SUM(H11,H22,H31,H42,H51))</f>
        <v>NO</v>
      </c>
      <c r="I10" s="4213">
        <f t="shared" ref="I10:N10" si="1">IF(SUM(I11,I22,I31,I42,I51)=0,"NO",SUM(I11,I22,I31,I42,I51))</f>
        <v>4.6330322141972143E-3</v>
      </c>
      <c r="J10" s="3834" t="str">
        <f t="shared" si="1"/>
        <v>NO</v>
      </c>
      <c r="K10" s="4213">
        <f t="shared" si="1"/>
        <v>3499.1722379114171</v>
      </c>
      <c r="L10" s="4213">
        <f t="shared" si="1"/>
        <v>28253.492185206429</v>
      </c>
      <c r="M10" s="4213">
        <f t="shared" si="1"/>
        <v>1923.987138086809</v>
      </c>
      <c r="N10" s="4214">
        <f t="shared" si="1"/>
        <v>2499.564894827342</v>
      </c>
      <c r="O10" s="3818">
        <f>IF(SUM(C10:J10)=0,"NO",SUM(C10,F10:H10)+28*SUM(D10)+265*SUM(E10)+23500*SUM(I10)+16100*SUM(J10))</f>
        <v>555815.62560493092</v>
      </c>
    </row>
    <row r="11" spans="1:15" ht="18" customHeight="1" x14ac:dyDescent="0.25">
      <c r="B11" s="1120" t="s">
        <v>1476</v>
      </c>
      <c r="C11" s="2552">
        <f>Table1!C10</f>
        <v>371356.50764914247</v>
      </c>
      <c r="D11" s="3810">
        <f>Table1!D10</f>
        <v>1289.0713477541747</v>
      </c>
      <c r="E11" s="3810">
        <f>Table1!E10</f>
        <v>11.751091743785025</v>
      </c>
      <c r="F11" s="4215"/>
      <c r="G11" s="4215"/>
      <c r="H11" s="4216"/>
      <c r="I11" s="4215"/>
      <c r="J11" s="98"/>
      <c r="K11" s="3810">
        <f>Table1!F10</f>
        <v>2499.7684094686483</v>
      </c>
      <c r="L11" s="3810">
        <f>Table1!G10</f>
        <v>2412.3680436120271</v>
      </c>
      <c r="M11" s="3810">
        <f>Table1!H10</f>
        <v>743.56708674843048</v>
      </c>
      <c r="N11" s="4217">
        <f>Table1!I10</f>
        <v>680.14257134519448</v>
      </c>
      <c r="O11" s="3781">
        <f t="shared" ref="O11:O58" si="2">IF(SUM(C11:J11)=0,"NO",SUM(C11,F11:H11)+28*SUM(D11)+265*SUM(E11)+23500*SUM(I11)+16100*SUM(J11))</f>
        <v>410564.54469836236</v>
      </c>
    </row>
    <row r="12" spans="1:15" ht="18" customHeight="1" x14ac:dyDescent="0.25">
      <c r="B12" s="1370" t="s">
        <v>1477</v>
      </c>
      <c r="C12" s="4218">
        <f>Table1!C11</f>
        <v>362083.79998832318</v>
      </c>
      <c r="D12" s="4219">
        <f>Table1!D11</f>
        <v>82.044489156400047</v>
      </c>
      <c r="E12" s="4219">
        <f>Table1!E11</f>
        <v>11.639601847477296</v>
      </c>
      <c r="F12" s="69"/>
      <c r="G12" s="69"/>
      <c r="H12" s="69"/>
      <c r="I12" s="69"/>
      <c r="J12" s="69"/>
      <c r="K12" s="4219">
        <f>Table1!F11</f>
        <v>2497.964587153368</v>
      </c>
      <c r="L12" s="4219">
        <f>Table1!G11</f>
        <v>2401.9058741834028</v>
      </c>
      <c r="M12" s="4219">
        <f>Table1!H11</f>
        <v>517.54847888724919</v>
      </c>
      <c r="N12" s="4220">
        <f>Table1!I11</f>
        <v>680.14257134519448</v>
      </c>
      <c r="O12" s="3782">
        <f t="shared" si="2"/>
        <v>367465.5401742839</v>
      </c>
    </row>
    <row r="13" spans="1:15" ht="18" customHeight="1" x14ac:dyDescent="0.25">
      <c r="B13" s="1371" t="s">
        <v>1478</v>
      </c>
      <c r="C13" s="4218">
        <f>Table1!C12</f>
        <v>203812.67589945495</v>
      </c>
      <c r="D13" s="4219">
        <f>Table1!D12</f>
        <v>25.930326874531271</v>
      </c>
      <c r="E13" s="4219">
        <f>Table1!E12</f>
        <v>3.9105557082378528</v>
      </c>
      <c r="F13" s="69"/>
      <c r="G13" s="69"/>
      <c r="H13" s="69"/>
      <c r="I13" s="69"/>
      <c r="J13" s="69"/>
      <c r="K13" s="4219">
        <f>Table1!F12</f>
        <v>1057.6134951943609</v>
      </c>
      <c r="L13" s="4219">
        <f>Table1!G12</f>
        <v>237.53060813677052</v>
      </c>
      <c r="M13" s="4219">
        <f>Table1!H12</f>
        <v>66.743594633569856</v>
      </c>
      <c r="N13" s="4220">
        <f>Table1!I12</f>
        <v>560.39735105245222</v>
      </c>
      <c r="O13" s="3783">
        <f t="shared" si="2"/>
        <v>205575.02231462486</v>
      </c>
    </row>
    <row r="14" spans="1:15" ht="18" customHeight="1" x14ac:dyDescent="0.25">
      <c r="B14" s="1371" t="s">
        <v>1479</v>
      </c>
      <c r="C14" s="4218">
        <f>Table1!C16</f>
        <v>45880.881345598224</v>
      </c>
      <c r="D14" s="4221">
        <f>Table1!D16</f>
        <v>2.453644551257713</v>
      </c>
      <c r="E14" s="4221">
        <f>Table1!E16</f>
        <v>1.4779110280187981</v>
      </c>
      <c r="F14" s="3784"/>
      <c r="G14" s="3784"/>
      <c r="H14" s="3784"/>
      <c r="I14" s="3784"/>
      <c r="J14" s="69"/>
      <c r="K14" s="4221">
        <f>Table1!F16</f>
        <v>772.69514058936204</v>
      </c>
      <c r="L14" s="4221">
        <f>Table1!G16</f>
        <v>243.67884880710187</v>
      </c>
      <c r="M14" s="4221">
        <f>Table1!H16</f>
        <v>101.16914342205132</v>
      </c>
      <c r="N14" s="4222">
        <f>Table1!I16</f>
        <v>87.990950292284879</v>
      </c>
      <c r="O14" s="3785">
        <f t="shared" si="2"/>
        <v>46341.22981545842</v>
      </c>
    </row>
    <row r="15" spans="1:15" ht="18" customHeight="1" x14ac:dyDescent="0.25">
      <c r="B15" s="1371" t="s">
        <v>1480</v>
      </c>
      <c r="C15" s="4218">
        <f>Table1!C24</f>
        <v>91221.431392901039</v>
      </c>
      <c r="D15" s="4219">
        <f>Table1!D24</f>
        <v>15.150794815782334</v>
      </c>
      <c r="E15" s="4219">
        <f>Table1!E24</f>
        <v>5.5646353224705187</v>
      </c>
      <c r="F15" s="69"/>
      <c r="G15" s="69"/>
      <c r="H15" s="69"/>
      <c r="I15" s="69"/>
      <c r="J15" s="69"/>
      <c r="K15" s="4219">
        <f>Table1!F24</f>
        <v>300.27576168668253</v>
      </c>
      <c r="L15" s="4219">
        <f>Table1!G24</f>
        <v>1251.4229260175364</v>
      </c>
      <c r="M15" s="4219">
        <f>Table1!H24</f>
        <v>234.66313026993572</v>
      </c>
      <c r="N15" s="4220">
        <f>Table1!I24</f>
        <v>23.443145109960838</v>
      </c>
      <c r="O15" s="3783">
        <f t="shared" si="2"/>
        <v>93120.282008197639</v>
      </c>
    </row>
    <row r="16" spans="1:15" ht="18" customHeight="1" x14ac:dyDescent="0.25">
      <c r="B16" s="1371" t="s">
        <v>1481</v>
      </c>
      <c r="C16" s="4218">
        <f>Table1!C30</f>
        <v>20151.753283622373</v>
      </c>
      <c r="D16" s="4219">
        <f>Table1!D30</f>
        <v>38.476159169123576</v>
      </c>
      <c r="E16" s="4219">
        <f>Table1!E30</f>
        <v>0.6579393987522314</v>
      </c>
      <c r="F16" s="69"/>
      <c r="G16" s="69"/>
      <c r="H16" s="69"/>
      <c r="I16" s="69"/>
      <c r="J16" s="69"/>
      <c r="K16" s="4219">
        <f>Table1!F30</f>
        <v>358.54784167500338</v>
      </c>
      <c r="L16" s="4219">
        <f>Table1!G30</f>
        <v>666.02220803878618</v>
      </c>
      <c r="M16" s="4219">
        <f>Table1!H30</f>
        <v>114.45256622252083</v>
      </c>
      <c r="N16" s="4220">
        <f>Table1!I30</f>
        <v>7.9602584818023585</v>
      </c>
      <c r="O16" s="3783">
        <f t="shared" si="2"/>
        <v>21403.439681027176</v>
      </c>
    </row>
    <row r="17" spans="2:15" ht="18" customHeight="1" x14ac:dyDescent="0.25">
      <c r="B17" s="1371" t="s">
        <v>1482</v>
      </c>
      <c r="C17" s="4218">
        <f>Table1!C34</f>
        <v>1017.0580667465537</v>
      </c>
      <c r="D17" s="4219">
        <f>Table1!D34</f>
        <v>3.3563745705155655E-2</v>
      </c>
      <c r="E17" s="4219">
        <f>Table1!E34</f>
        <v>2.8560389997894974E-2</v>
      </c>
      <c r="F17" s="69"/>
      <c r="G17" s="69"/>
      <c r="H17" s="69"/>
      <c r="I17" s="69"/>
      <c r="J17" s="69"/>
      <c r="K17" s="4219">
        <f>Table1!F34</f>
        <v>8.8323480079595313</v>
      </c>
      <c r="L17" s="4219">
        <f>Table1!G34</f>
        <v>3.251283183207982</v>
      </c>
      <c r="M17" s="4219">
        <f>Table1!H34</f>
        <v>0.52004433917145731</v>
      </c>
      <c r="N17" s="4220">
        <f>Table1!I34</f>
        <v>0.35086640869416202</v>
      </c>
      <c r="O17" s="3783">
        <f t="shared" si="2"/>
        <v>1025.5663549757403</v>
      </c>
    </row>
    <row r="18" spans="2:15" ht="18" customHeight="1" x14ac:dyDescent="0.25">
      <c r="B18" s="1370" t="s">
        <v>99</v>
      </c>
      <c r="C18" s="4223">
        <f>Table1!C37</f>
        <v>9272.7076608192638</v>
      </c>
      <c r="D18" s="4224">
        <f>Table1!D37</f>
        <v>1207.0268585977747</v>
      </c>
      <c r="E18" s="4224">
        <f>Table1!E37</f>
        <v>0.1114898963077284</v>
      </c>
      <c r="F18" s="69"/>
      <c r="G18" s="69"/>
      <c r="H18" s="69"/>
      <c r="I18" s="69"/>
      <c r="J18" s="69"/>
      <c r="K18" s="4224">
        <f>Table1!F37</f>
        <v>1.8038223152800794</v>
      </c>
      <c r="L18" s="4219">
        <f>Table1!G37</f>
        <v>10.462169428624462</v>
      </c>
      <c r="M18" s="4219">
        <f>Table1!H37</f>
        <v>226.01860786118124</v>
      </c>
      <c r="N18" s="4220" t="str">
        <f>Table1!I37</f>
        <v>NO</v>
      </c>
      <c r="O18" s="3783">
        <f t="shared" si="2"/>
        <v>43099.004524078504</v>
      </c>
    </row>
    <row r="19" spans="2:15" ht="18" customHeight="1" x14ac:dyDescent="0.25">
      <c r="B19" s="1371" t="s">
        <v>1483</v>
      </c>
      <c r="C19" s="4225">
        <f>Table1!C38</f>
        <v>1837.8700527484677</v>
      </c>
      <c r="D19" s="4226">
        <f>Table1!D38</f>
        <v>994.09948450951879</v>
      </c>
      <c r="E19" s="4224">
        <f>Table1!E38</f>
        <v>1.4676359872572309E-3</v>
      </c>
      <c r="F19" s="69"/>
      <c r="G19" s="69"/>
      <c r="H19" s="69"/>
      <c r="I19" s="69"/>
      <c r="J19" s="69"/>
      <c r="K19" s="4224" t="str">
        <f>Table1!F38</f>
        <v>NO</v>
      </c>
      <c r="L19" s="4219" t="str">
        <f>Table1!G38</f>
        <v>NO</v>
      </c>
      <c r="M19" s="4219" t="str">
        <f>Table1!H38</f>
        <v>NO</v>
      </c>
      <c r="N19" s="4220" t="str">
        <f>Table1!I38</f>
        <v>NO</v>
      </c>
      <c r="O19" s="3783">
        <f t="shared" si="2"/>
        <v>29673.044542551615</v>
      </c>
    </row>
    <row r="20" spans="2:15" ht="18" customHeight="1" x14ac:dyDescent="0.25">
      <c r="B20" s="1372" t="s">
        <v>1484</v>
      </c>
      <c r="C20" s="4225">
        <f>Table1!C42</f>
        <v>7434.8376080707958</v>
      </c>
      <c r="D20" s="4227">
        <f>Table1!D42</f>
        <v>212.92737408825582</v>
      </c>
      <c r="E20" s="4224">
        <f>Table1!E42</f>
        <v>0.11002226032047117</v>
      </c>
      <c r="F20" s="3784"/>
      <c r="G20" s="3784"/>
      <c r="H20" s="3784"/>
      <c r="I20" s="3784"/>
      <c r="J20" s="69"/>
      <c r="K20" s="4224">
        <f>Table1!F42</f>
        <v>1.8038223152800794</v>
      </c>
      <c r="L20" s="4221">
        <f>Table1!G42</f>
        <v>10.462169428624462</v>
      </c>
      <c r="M20" s="4221">
        <f>Table1!H42</f>
        <v>226.01860786118124</v>
      </c>
      <c r="N20" s="4222" t="str">
        <f>Table1!I42</f>
        <v>NO</v>
      </c>
      <c r="O20" s="3785">
        <f t="shared" si="2"/>
        <v>13425.959981526885</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19170.454777412677</v>
      </c>
      <c r="D22" s="4230">
        <f>'Table2(I)'!D10</f>
        <v>2.6007179785275616</v>
      </c>
      <c r="E22" s="4231">
        <f>'Table2(I)'!E10</f>
        <v>4.7415792911946166</v>
      </c>
      <c r="F22" s="3810">
        <f>'Table2(I)'!F10</f>
        <v>8837.371668775806</v>
      </c>
      <c r="G22" s="3810">
        <f>'Table2(I)'!G10</f>
        <v>173.10697875319798</v>
      </c>
      <c r="H22" s="3810" t="str">
        <f>'Table2(I)'!H10</f>
        <v>NO</v>
      </c>
      <c r="I22" s="3810">
        <f>'Table2(I)'!I10</f>
        <v>4.6330322141972143E-3</v>
      </c>
      <c r="J22" s="3810" t="str">
        <f>'Table2(I)'!J10</f>
        <v>NO</v>
      </c>
      <c r="K22" s="3810">
        <f>'Table2(I)'!K10</f>
        <v>6.161207203309937</v>
      </c>
      <c r="L22" s="3810">
        <f>'Table2(I)'!L10</f>
        <v>15.078320432952427</v>
      </c>
      <c r="M22" s="3810">
        <f>'Table2(I)'!M10</f>
        <v>236.99140404202208</v>
      </c>
      <c r="N22" s="4217">
        <f>'Table2(I)'!N10</f>
        <v>1819.4223234821475</v>
      </c>
      <c r="O22" s="3781">
        <f t="shared" si="2"/>
        <v>29619.148297540662</v>
      </c>
    </row>
    <row r="23" spans="2:15" ht="18" customHeight="1" x14ac:dyDescent="0.25">
      <c r="B23" s="1133" t="s">
        <v>1487</v>
      </c>
      <c r="C23" s="4232">
        <f>'Table2(I)'!C11</f>
        <v>6004.4700119044592</v>
      </c>
      <c r="D23" s="3789"/>
      <c r="E23" s="98"/>
      <c r="F23" s="98"/>
      <c r="G23" s="98"/>
      <c r="H23" s="98"/>
      <c r="I23" s="98"/>
      <c r="J23" s="69"/>
      <c r="K23" s="4233" t="str">
        <f>'Table2(I)'!K11</f>
        <v>NO</v>
      </c>
      <c r="L23" s="4233" t="str">
        <f>'Table2(I)'!L11</f>
        <v>NO</v>
      </c>
      <c r="M23" s="4233" t="str">
        <f>'Table2(I)'!M11</f>
        <v>NO</v>
      </c>
      <c r="N23" s="4234" t="str">
        <f>'Table2(I)'!N11</f>
        <v>NO</v>
      </c>
      <c r="O23" s="3782">
        <f t="shared" si="2"/>
        <v>6004.4700119044592</v>
      </c>
    </row>
    <row r="24" spans="2:15" ht="18" customHeight="1" x14ac:dyDescent="0.25">
      <c r="B24" s="1133" t="s">
        <v>621</v>
      </c>
      <c r="C24" s="4232">
        <f>'Table2(I)'!C16</f>
        <v>3127.3795000171694</v>
      </c>
      <c r="D24" s="4235">
        <f>'Table2(I)'!D16</f>
        <v>0.57776359999999993</v>
      </c>
      <c r="E24" s="4236">
        <f>'Table2(I)'!E16</f>
        <v>4.6936928492164975</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4387.3854858595414</v>
      </c>
    </row>
    <row r="25" spans="2:15" ht="18" customHeight="1" x14ac:dyDescent="0.25">
      <c r="B25" s="1133" t="s">
        <v>459</v>
      </c>
      <c r="C25" s="4232">
        <f>'Table2(I)'!C27</f>
        <v>9608.8558369057628</v>
      </c>
      <c r="D25" s="4235">
        <f>'Table2(I)'!D27</f>
        <v>2.0229543785275617</v>
      </c>
      <c r="E25" s="4236">
        <f>'Table2(I)'!E27</f>
        <v>4.7886441978119261E-2</v>
      </c>
      <c r="F25" s="4219" t="str">
        <f>'Table2(I)'!F27</f>
        <v>NO</v>
      </c>
      <c r="G25" s="4219">
        <f>'Table2(I)'!G27</f>
        <v>173.10697875319798</v>
      </c>
      <c r="H25" s="4219" t="str">
        <f>'Table2(I)'!H27</f>
        <v>NO</v>
      </c>
      <c r="I25" s="4219" t="str">
        <f>'Table2(I)'!I27</f>
        <v>NO</v>
      </c>
      <c r="J25" s="4219" t="str">
        <f>'Table2(I)'!J27</f>
        <v>NO</v>
      </c>
      <c r="K25" s="4219">
        <f>'Table2(I)'!K27</f>
        <v>6.161207203309937</v>
      </c>
      <c r="L25" s="4219">
        <f>'Table2(I)'!L27</f>
        <v>15.078320432952427</v>
      </c>
      <c r="M25" s="4219">
        <f>'Table2(I)'!M27</f>
        <v>5.883074793441697E-2</v>
      </c>
      <c r="N25" s="4220">
        <f>'Table2(I)'!N27</f>
        <v>1819.4223234821475</v>
      </c>
      <c r="O25" s="3783">
        <f t="shared" si="2"/>
        <v>9851.2954453819348</v>
      </c>
    </row>
    <row r="26" spans="2:15" ht="18" customHeight="1" x14ac:dyDescent="0.25">
      <c r="B26" s="1133" t="s">
        <v>1488</v>
      </c>
      <c r="C26" s="4232">
        <f>'Table2(I)'!C35</f>
        <v>228.05065580499999</v>
      </c>
      <c r="D26" s="3790" t="str">
        <f>'Table2(I)'!D35</f>
        <v>NO</v>
      </c>
      <c r="E26" s="616" t="str">
        <f>'Table2(I)'!E35</f>
        <v>NO</v>
      </c>
      <c r="F26" s="69"/>
      <c r="G26" s="69"/>
      <c r="H26" s="69"/>
      <c r="I26" s="69"/>
      <c r="J26" s="69"/>
      <c r="K26" s="616" t="str">
        <f>'Table2(I)'!K35</f>
        <v>NO</v>
      </c>
      <c r="L26" s="4236" t="str">
        <f>'Table2(I)'!L35</f>
        <v>NO</v>
      </c>
      <c r="M26" s="4236">
        <f>'Table2(I)'!M35</f>
        <v>185.8332177792193</v>
      </c>
      <c r="N26" s="4237" t="str">
        <f>'Table2(I)'!N35</f>
        <v>NO</v>
      </c>
      <c r="O26" s="3783">
        <f t="shared" si="2"/>
        <v>228.05065580499999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8837.371668775806</v>
      </c>
      <c r="G28" s="4221" t="str">
        <f>'Table2(I)'!G45</f>
        <v>NO</v>
      </c>
      <c r="H28" s="4221" t="str">
        <f>'Table2(I)'!H45</f>
        <v>NO</v>
      </c>
      <c r="I28" s="4221" t="str">
        <f>'Table2(I)'!I45</f>
        <v>NO</v>
      </c>
      <c r="J28" s="4221" t="str">
        <f>'Table2(I)'!J45</f>
        <v>NO</v>
      </c>
      <c r="K28" s="3784"/>
      <c r="L28" s="3784"/>
      <c r="M28" s="3784"/>
      <c r="N28" s="3793"/>
      <c r="O28" s="3785">
        <f t="shared" si="2"/>
        <v>8837.371668775806</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4.6330322141972143E-3</v>
      </c>
      <c r="J29" s="616" t="str">
        <f>'Table2(I)'!J52</f>
        <v>NO</v>
      </c>
      <c r="K29" s="3796" t="str">
        <f>'Table2(I)'!K52</f>
        <v>NO</v>
      </c>
      <c r="L29" s="3796" t="str">
        <f>'Table2(I)'!L52</f>
        <v>NO</v>
      </c>
      <c r="M29" s="3796" t="str">
        <f>'Table2(I)'!M52</f>
        <v>NO</v>
      </c>
      <c r="N29" s="3797" t="str">
        <f>'Table2(I)'!N52</f>
        <v>NO</v>
      </c>
      <c r="O29" s="3785">
        <f t="shared" si="2"/>
        <v>108.87625703363453</v>
      </c>
    </row>
    <row r="30" spans="2:15" ht="18" customHeight="1" thickBot="1" x14ac:dyDescent="0.3">
      <c r="B30" s="1375" t="s">
        <v>2040</v>
      </c>
      <c r="C30" s="4239">
        <f>'Table2(I)'!C57</f>
        <v>201.69877278028781</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48.256794834168375</v>
      </c>
      <c r="N30" s="4242" t="str">
        <f>'Table2(I)'!N57</f>
        <v>NA</v>
      </c>
      <c r="O30" s="3798">
        <f t="shared" si="2"/>
        <v>201.69877278028781</v>
      </c>
    </row>
    <row r="31" spans="2:15" ht="18" customHeight="1" x14ac:dyDescent="0.25">
      <c r="B31" s="1134" t="s">
        <v>1491</v>
      </c>
      <c r="C31" s="3817">
        <f>Table3!C10</f>
        <v>2490.9097255348615</v>
      </c>
      <c r="D31" s="3799">
        <f>Table3!D10</f>
        <v>2389.9401854800021</v>
      </c>
      <c r="E31" s="3800">
        <f>Table3!E10</f>
        <v>47.618047150109263</v>
      </c>
      <c r="F31" s="3801"/>
      <c r="G31" s="3801"/>
      <c r="H31" s="3801"/>
      <c r="I31" s="3801"/>
      <c r="J31" s="3801"/>
      <c r="K31" s="4243">
        <f>Table3!F10</f>
        <v>21.49924125390076</v>
      </c>
      <c r="L31" s="4243">
        <f>Table3!G10</f>
        <v>345.20827867991829</v>
      </c>
      <c r="M31" s="4243">
        <f>Table3!H10</f>
        <v>20.137149589661902</v>
      </c>
      <c r="N31" s="4244" t="str">
        <f>Table3!I10</f>
        <v>NO</v>
      </c>
      <c r="O31" s="3782">
        <f t="shared" si="2"/>
        <v>82028.017413753871</v>
      </c>
    </row>
    <row r="32" spans="2:15" ht="18" customHeight="1" x14ac:dyDescent="0.25">
      <c r="B32" s="4245" t="s">
        <v>1492</v>
      </c>
      <c r="C32" s="3791"/>
      <c r="D32" s="4246">
        <f>Table3!D11</f>
        <v>2118.3079834701616</v>
      </c>
      <c r="E32" s="98"/>
      <c r="F32" s="3802"/>
      <c r="G32" s="3802"/>
      <c r="H32" s="3789"/>
      <c r="I32" s="3802"/>
      <c r="J32" s="3789"/>
      <c r="K32" s="98"/>
      <c r="L32" s="98"/>
      <c r="M32" s="98"/>
      <c r="N32" s="3803"/>
      <c r="O32" s="3782">
        <f t="shared" si="2"/>
        <v>59312.623537164523</v>
      </c>
    </row>
    <row r="33" spans="2:15" ht="18" customHeight="1" x14ac:dyDescent="0.25">
      <c r="B33" s="4245" t="s">
        <v>1493</v>
      </c>
      <c r="C33" s="3791"/>
      <c r="D33" s="4226">
        <f>Table3!D20</f>
        <v>250.59427579071425</v>
      </c>
      <c r="E33" s="4226">
        <f>Table3!E20</f>
        <v>1.7033373433807621</v>
      </c>
      <c r="F33" s="3802"/>
      <c r="G33" s="3802"/>
      <c r="H33" s="3802"/>
      <c r="I33" s="3802"/>
      <c r="J33" s="3802"/>
      <c r="K33" s="69"/>
      <c r="L33" s="69"/>
      <c r="M33" s="4247" t="str">
        <f>Table3!H20</f>
        <v>NE</v>
      </c>
      <c r="N33" s="3804"/>
      <c r="O33" s="3783">
        <f t="shared" si="2"/>
        <v>7468.0241181359015</v>
      </c>
    </row>
    <row r="34" spans="2:15" ht="18" customHeight="1" x14ac:dyDescent="0.25">
      <c r="B34" s="4245" t="s">
        <v>1494</v>
      </c>
      <c r="C34" s="3791"/>
      <c r="D34" s="4226">
        <f>Table3!D31</f>
        <v>12.186431894</v>
      </c>
      <c r="E34" s="69"/>
      <c r="F34" s="3802"/>
      <c r="G34" s="3802"/>
      <c r="H34" s="3802"/>
      <c r="I34" s="3802"/>
      <c r="J34" s="3802"/>
      <c r="K34" s="69"/>
      <c r="L34" s="69"/>
      <c r="M34" s="4247" t="str">
        <f>Table3!H31</f>
        <v>NE</v>
      </c>
      <c r="N34" s="3804"/>
      <c r="O34" s="3783">
        <f t="shared" si="2"/>
        <v>341.22009303200002</v>
      </c>
    </row>
    <row r="35" spans="2:15" ht="18" customHeight="1" x14ac:dyDescent="0.25">
      <c r="B35" s="4245" t="s">
        <v>1495</v>
      </c>
      <c r="C35" s="4248"/>
      <c r="D35" s="4226" t="str">
        <f>Table3!D32</f>
        <v>NE</v>
      </c>
      <c r="E35" s="4226">
        <f>Table3!E32</f>
        <v>45.542590434300735</v>
      </c>
      <c r="F35" s="3802"/>
      <c r="G35" s="3802"/>
      <c r="H35" s="3802"/>
      <c r="I35" s="3802"/>
      <c r="J35" s="3802"/>
      <c r="K35" s="4247" t="str">
        <f>Table3!F32</f>
        <v>NO</v>
      </c>
      <c r="L35" s="4247" t="str">
        <f>Table3!G32</f>
        <v>NO</v>
      </c>
      <c r="M35" s="4247" t="str">
        <f>Table3!H32</f>
        <v>NO</v>
      </c>
      <c r="N35" s="3804"/>
      <c r="O35" s="3783">
        <f t="shared" si="2"/>
        <v>12068.786465089695</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8.8514943251261098</v>
      </c>
      <c r="E37" s="4226">
        <f>Table3!E43</f>
        <v>0.37211937242776477</v>
      </c>
      <c r="F37" s="3802"/>
      <c r="G37" s="3802"/>
      <c r="H37" s="3802"/>
      <c r="I37" s="3802"/>
      <c r="J37" s="3802"/>
      <c r="K37" s="4247">
        <f>Table3!F43</f>
        <v>21.49924125390076</v>
      </c>
      <c r="L37" s="4247">
        <f>Table3!G43</f>
        <v>345.20827867991829</v>
      </c>
      <c r="M37" s="4247">
        <f>Table3!H43</f>
        <v>20.137149589661902</v>
      </c>
      <c r="N37" s="4247" t="str">
        <f>Table3!I43</f>
        <v>NO</v>
      </c>
      <c r="O37" s="3783">
        <f t="shared" si="2"/>
        <v>346.45347479688871</v>
      </c>
    </row>
    <row r="38" spans="2:15" ht="18" customHeight="1" x14ac:dyDescent="0.25">
      <c r="B38" s="4249" t="s">
        <v>721</v>
      </c>
      <c r="C38" s="3794">
        <f>Table3!C44</f>
        <v>1138.7434395518412</v>
      </c>
      <c r="D38" s="4250"/>
      <c r="E38" s="4250"/>
      <c r="F38" s="3792"/>
      <c r="G38" s="3792"/>
      <c r="H38" s="3792"/>
      <c r="I38" s="3792"/>
      <c r="J38" s="3792"/>
      <c r="K38" s="3805"/>
      <c r="L38" s="3805"/>
      <c r="M38" s="3805"/>
      <c r="N38" s="3793"/>
      <c r="O38" s="3785">
        <f t="shared" si="2"/>
        <v>1138.7434395518412</v>
      </c>
    </row>
    <row r="39" spans="2:15" ht="18" customHeight="1" x14ac:dyDescent="0.25">
      <c r="B39" s="4249" t="s">
        <v>722</v>
      </c>
      <c r="C39" s="3806">
        <f>Table3!C45</f>
        <v>1352.1662859830203</v>
      </c>
      <c r="D39" s="4250"/>
      <c r="E39" s="4250"/>
      <c r="F39" s="3792"/>
      <c r="G39" s="3792"/>
      <c r="H39" s="3792"/>
      <c r="I39" s="3792"/>
      <c r="J39" s="3792"/>
      <c r="K39" s="3805"/>
      <c r="L39" s="3805"/>
      <c r="M39" s="3805"/>
      <c r="N39" s="3793"/>
      <c r="O39" s="3785">
        <f t="shared" si="2"/>
        <v>1352.1662859830203</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-3577.6490938680945</v>
      </c>
      <c r="D42" s="3809">
        <f>Table4!D10</f>
        <v>690.5596051894405</v>
      </c>
      <c r="E42" s="3810">
        <f>Table4!E10</f>
        <v>17.38872834665472</v>
      </c>
      <c r="F42" s="3801"/>
      <c r="G42" s="3801"/>
      <c r="H42" s="3801"/>
      <c r="I42" s="3801"/>
      <c r="J42" s="3801"/>
      <c r="K42" s="4253">
        <f>Table4!F10</f>
        <v>971.74337998555802</v>
      </c>
      <c r="L42" s="4253">
        <f>Table4!G10</f>
        <v>25480.837542481531</v>
      </c>
      <c r="M42" s="4253">
        <f>Table4!H10</f>
        <v>669.78777453313432</v>
      </c>
      <c r="N42" s="4254" t="str">
        <f>N50</f>
        <v>NO</v>
      </c>
      <c r="O42" s="3781">
        <f t="shared" si="2"/>
        <v>20366.032863299741</v>
      </c>
    </row>
    <row r="43" spans="2:15" ht="18" customHeight="1" x14ac:dyDescent="0.25">
      <c r="B43" s="4245" t="s">
        <v>2042</v>
      </c>
      <c r="C43" s="4255">
        <f>Table4!C11</f>
        <v>-56210.407494995394</v>
      </c>
      <c r="D43" s="4256">
        <f>Table4!D11</f>
        <v>298.36848559245396</v>
      </c>
      <c r="E43" s="4257">
        <f>Table4!E11</f>
        <v>5.9163748894072414</v>
      </c>
      <c r="F43" s="3792"/>
      <c r="G43" s="3792"/>
      <c r="H43" s="3792"/>
      <c r="I43" s="3792"/>
      <c r="J43" s="3792"/>
      <c r="K43" s="4247">
        <f>Table4!F11</f>
        <v>309.72216339953297</v>
      </c>
      <c r="L43" s="4247">
        <f>Table4!G11</f>
        <v>8308.6816935746956</v>
      </c>
      <c r="M43" s="4247">
        <f>Table4!H11</f>
        <v>278.7897411110668</v>
      </c>
      <c r="N43" s="3811"/>
      <c r="O43" s="3812">
        <f t="shared" si="2"/>
        <v>-46288.250552713762</v>
      </c>
    </row>
    <row r="44" spans="2:15" ht="18" customHeight="1" x14ac:dyDescent="0.25">
      <c r="B44" s="4245" t="s">
        <v>2043</v>
      </c>
      <c r="C44" s="4255">
        <f>Table4!C14</f>
        <v>5946.5026159676072</v>
      </c>
      <c r="D44" s="4258">
        <f>Table4!D14</f>
        <v>2.0991672000000001</v>
      </c>
      <c r="E44" s="4258">
        <f>Table4!E14</f>
        <v>0.14216134906321654</v>
      </c>
      <c r="F44" s="3802"/>
      <c r="G44" s="3802"/>
      <c r="H44" s="3802"/>
      <c r="I44" s="3802"/>
      <c r="J44" s="3802"/>
      <c r="K44" s="4247">
        <f>Table4!F14</f>
        <v>1.5806229214285714</v>
      </c>
      <c r="L44" s="4247">
        <f>Table4!G14</f>
        <v>61.905995666666662</v>
      </c>
      <c r="M44" s="4247">
        <f>Table4!H14</f>
        <v>7.4831423333333325</v>
      </c>
      <c r="N44" s="4259"/>
      <c r="O44" s="3783">
        <f t="shared" si="2"/>
        <v>6042.9520550693596</v>
      </c>
    </row>
    <row r="45" spans="2:15" ht="18" customHeight="1" x14ac:dyDescent="0.25">
      <c r="B45" s="4245" t="s">
        <v>2044</v>
      </c>
      <c r="C45" s="4255">
        <f>Table4!C17</f>
        <v>46182.290146237399</v>
      </c>
      <c r="D45" s="4258">
        <f>Table4!D17</f>
        <v>295.88133473726276</v>
      </c>
      <c r="E45" s="4258">
        <f>Table4!E17</f>
        <v>10.755586189108106</v>
      </c>
      <c r="F45" s="3802"/>
      <c r="G45" s="3802"/>
      <c r="H45" s="3802"/>
      <c r="I45" s="3802"/>
      <c r="J45" s="3802"/>
      <c r="K45" s="4247">
        <f>Table4!F17</f>
        <v>632.35679940049454</v>
      </c>
      <c r="L45" s="4247">
        <f>Table4!G17</f>
        <v>16420.982052645104</v>
      </c>
      <c r="M45" s="4247">
        <f>Table4!H17</f>
        <v>378.15813282572742</v>
      </c>
      <c r="N45" s="4259"/>
      <c r="O45" s="3783">
        <f t="shared" si="2"/>
        <v>57317.197858994405</v>
      </c>
    </row>
    <row r="46" spans="2:15" ht="18" customHeight="1" x14ac:dyDescent="0.25">
      <c r="B46" s="4245" t="s">
        <v>2045</v>
      </c>
      <c r="C46" s="4255">
        <f>Table4!C20</f>
        <v>315.4268500924573</v>
      </c>
      <c r="D46" s="4258">
        <f>Table4!D20</f>
        <v>92.824653659723879</v>
      </c>
      <c r="E46" s="4258">
        <f>Table4!E20</f>
        <v>0.36277340217249221</v>
      </c>
      <c r="F46" s="3802"/>
      <c r="G46" s="3802"/>
      <c r="H46" s="3802"/>
      <c r="I46" s="3802"/>
      <c r="J46" s="3802"/>
      <c r="K46" s="4247">
        <f>Table4!F20</f>
        <v>27.0401963712448</v>
      </c>
      <c r="L46" s="4247">
        <f>Table4!G20</f>
        <v>648.39469559506654</v>
      </c>
      <c r="M46" s="4247">
        <f>Table4!H20</f>
        <v>0.41605326300683437</v>
      </c>
      <c r="N46" s="4259"/>
      <c r="O46" s="3783">
        <f t="shared" si="2"/>
        <v>3010.6521041404362</v>
      </c>
    </row>
    <row r="47" spans="2:15" ht="18" customHeight="1" x14ac:dyDescent="0.25">
      <c r="B47" s="4245" t="s">
        <v>2046</v>
      </c>
      <c r="C47" s="4255">
        <f>Table4!C23</f>
        <v>4124.2236562394728</v>
      </c>
      <c r="D47" s="4258">
        <f>Table4!D23</f>
        <v>1.385964</v>
      </c>
      <c r="E47" s="4260">
        <f>Table4!E23</f>
        <v>6.1507895850934038E-2</v>
      </c>
      <c r="F47" s="3802"/>
      <c r="G47" s="3802"/>
      <c r="H47" s="3802"/>
      <c r="I47" s="3802"/>
      <c r="J47" s="3802"/>
      <c r="K47" s="4247">
        <f>Table4!F23</f>
        <v>1.043597892857143</v>
      </c>
      <c r="L47" s="4247">
        <f>Table4!G23</f>
        <v>40.873104999999995</v>
      </c>
      <c r="M47" s="4247">
        <f>Table4!H23</f>
        <v>4.9407050000000003</v>
      </c>
      <c r="N47" s="1838"/>
      <c r="O47" s="3783">
        <f t="shared" si="2"/>
        <v>4179.3302406399698</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-3969.4457462444443</v>
      </c>
      <c r="D49" s="3792"/>
      <c r="E49" s="3792"/>
      <c r="F49" s="3792"/>
      <c r="G49" s="3792"/>
      <c r="H49" s="3792"/>
      <c r="I49" s="3792"/>
      <c r="J49" s="3792"/>
      <c r="K49" s="3792"/>
      <c r="L49" s="3792"/>
      <c r="M49" s="3792"/>
      <c r="N49" s="3814"/>
      <c r="O49" s="3785">
        <f t="shared" si="2"/>
        <v>-3969.4457462444443</v>
      </c>
    </row>
    <row r="50" spans="2:15" ht="18" customHeight="1" thickBot="1" x14ac:dyDescent="0.3">
      <c r="B50" s="4251" t="s">
        <v>2049</v>
      </c>
      <c r="C50" s="4264">
        <f>Table4!C30</f>
        <v>33.760878834808885</v>
      </c>
      <c r="D50" s="4265" t="str">
        <f>Table4!D30</f>
        <v>NO</v>
      </c>
      <c r="E50" s="4265">
        <f>Table4!E30</f>
        <v>0.15032462105272859</v>
      </c>
      <c r="F50" s="3807"/>
      <c r="G50" s="3807"/>
      <c r="H50" s="3807"/>
      <c r="I50" s="3807"/>
      <c r="J50" s="3807"/>
      <c r="K50" s="4266" t="str">
        <f>Table4!F30</f>
        <v>NO</v>
      </c>
      <c r="L50" s="4266" t="str">
        <f>Table4!G30</f>
        <v>NO</v>
      </c>
      <c r="M50" s="4266" t="str">
        <f>Table4!H30</f>
        <v>NO</v>
      </c>
      <c r="N50" s="4266" t="s">
        <v>2146</v>
      </c>
      <c r="O50" s="3798">
        <f t="shared" si="2"/>
        <v>73.596903413781959</v>
      </c>
    </row>
    <row r="51" spans="2:15" ht="18" customHeight="1" x14ac:dyDescent="0.25">
      <c r="B51" s="1377" t="s">
        <v>1500</v>
      </c>
      <c r="C51" s="3815">
        <f>Table5!C10</f>
        <v>31.499220380900699</v>
      </c>
      <c r="D51" s="3799">
        <f>Table5!D10</f>
        <v>459.91700347788355</v>
      </c>
      <c r="E51" s="3800">
        <f>Table5!E10</f>
        <v>1.240403827217694</v>
      </c>
      <c r="F51" s="3801"/>
      <c r="G51" s="3801"/>
      <c r="H51" s="3801"/>
      <c r="I51" s="3801"/>
      <c r="J51" s="3801"/>
      <c r="K51" s="4243" t="str">
        <f>Table5!F10</f>
        <v>NO</v>
      </c>
      <c r="L51" s="4243" t="str">
        <f>Table5!G10</f>
        <v>NO</v>
      </c>
      <c r="M51" s="4243">
        <f>Table5!H10</f>
        <v>253.50372317356005</v>
      </c>
      <c r="N51" s="4244" t="str">
        <f>Table5!I10</f>
        <v>NO</v>
      </c>
      <c r="O51" s="4267">
        <f t="shared" si="2"/>
        <v>13237.88233197433</v>
      </c>
    </row>
    <row r="52" spans="2:15" ht="18" customHeight="1" x14ac:dyDescent="0.25">
      <c r="B52" s="4245" t="s">
        <v>2050</v>
      </c>
      <c r="C52" s="4248"/>
      <c r="D52" s="4246">
        <f>Table5!D11</f>
        <v>366.44321953999997</v>
      </c>
      <c r="E52" s="3816"/>
      <c r="F52" s="3801"/>
      <c r="G52" s="3801"/>
      <c r="H52" s="3801"/>
      <c r="I52" s="3801"/>
      <c r="J52" s="3801"/>
      <c r="K52" s="4247" t="str">
        <f>Table5!F11</f>
        <v>NO</v>
      </c>
      <c r="L52" s="4247" t="str">
        <f>Table5!G11</f>
        <v>NO</v>
      </c>
      <c r="M52" s="4247">
        <f>Table5!H11</f>
        <v>2.9891760942856163</v>
      </c>
      <c r="N52" s="3803"/>
      <c r="O52" s="4267">
        <f t="shared" si="2"/>
        <v>10260.410147119999</v>
      </c>
    </row>
    <row r="53" spans="2:15" ht="18" customHeight="1" x14ac:dyDescent="0.25">
      <c r="B53" s="4245" t="s">
        <v>1501</v>
      </c>
      <c r="C53" s="4248"/>
      <c r="D53" s="4246">
        <f>Table5!D15</f>
        <v>4.1509899225</v>
      </c>
      <c r="E53" s="4246">
        <f>Table5!E15</f>
        <v>0.5313267100800001</v>
      </c>
      <c r="F53" s="3802"/>
      <c r="G53" s="3802"/>
      <c r="H53" s="3802"/>
      <c r="I53" s="3802"/>
      <c r="J53" s="3802"/>
      <c r="K53" s="4247" t="str">
        <f>Table5!F15</f>
        <v>NA,NE</v>
      </c>
      <c r="L53" s="4247" t="str">
        <f>Table5!G15</f>
        <v>NA,NE</v>
      </c>
      <c r="M53" s="4247" t="str">
        <f>Table5!H15</f>
        <v>NA,NE</v>
      </c>
      <c r="N53" s="3803"/>
      <c r="O53" s="3782">
        <f t="shared" si="2"/>
        <v>257.02929600120001</v>
      </c>
    </row>
    <row r="54" spans="2:15" ht="18" customHeight="1" x14ac:dyDescent="0.25">
      <c r="B54" s="4245" t="s">
        <v>2051</v>
      </c>
      <c r="C54" s="4268">
        <f>Table5!C18</f>
        <v>31.499220380900699</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31.499220380900699</v>
      </c>
    </row>
    <row r="55" spans="2:15" ht="18" customHeight="1" x14ac:dyDescent="0.25">
      <c r="B55" s="4245" t="s">
        <v>1502</v>
      </c>
      <c r="C55" s="3791"/>
      <c r="D55" s="4226">
        <f>Table5!D21</f>
        <v>89.322794015383593</v>
      </c>
      <c r="E55" s="4226">
        <f>Table5!E21</f>
        <v>0.70907711713769395</v>
      </c>
      <c r="F55" s="3802"/>
      <c r="G55" s="3802"/>
      <c r="H55" s="3802"/>
      <c r="I55" s="3802"/>
      <c r="J55" s="3802"/>
      <c r="K55" s="4247" t="str">
        <f>Table5!F21</f>
        <v>NO</v>
      </c>
      <c r="L55" s="4247" t="str">
        <f>Table5!G21</f>
        <v>NO</v>
      </c>
      <c r="M55" s="4247">
        <f>Table5!H21</f>
        <v>250.51454707927442</v>
      </c>
      <c r="N55" s="3803"/>
      <c r="O55" s="4270">
        <f t="shared" si="2"/>
        <v>2688.9436684722295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14128.3205</v>
      </c>
      <c r="D61" s="3820">
        <f>Table1!D52</f>
        <v>0.23731321000000002</v>
      </c>
      <c r="E61" s="3820">
        <f>Table1!E52</f>
        <v>0.12093147292210527</v>
      </c>
      <c r="F61" s="628"/>
      <c r="G61" s="628"/>
      <c r="H61" s="628"/>
      <c r="I61" s="628"/>
      <c r="J61" s="628"/>
      <c r="K61" s="3820">
        <f>Table1!F52</f>
        <v>121.08885137757896</v>
      </c>
      <c r="L61" s="3820">
        <f>Table1!G52</f>
        <v>20.220152621052634</v>
      </c>
      <c r="M61" s="3820">
        <f>Table1!H52</f>
        <v>10.923580138968422</v>
      </c>
      <c r="N61" s="3821">
        <f>Table1!I52</f>
        <v>38.552840493927128</v>
      </c>
      <c r="O61" s="4267">
        <f t="shared" ref="O61:O67" si="4">IF(SUM(C61:J61)=0,"NO",SUM(C61,F61:H61)+28*SUM(D61)+265*SUM(E61)+23500*SUM(I61)+16100*SUM(J61))</f>
        <v>14167.012110204358</v>
      </c>
    </row>
    <row r="62" spans="2:15" ht="18" customHeight="1" x14ac:dyDescent="0.25">
      <c r="B62" s="1371" t="s">
        <v>111</v>
      </c>
      <c r="C62" s="4279">
        <f>Table1!C53</f>
        <v>11893.248</v>
      </c>
      <c r="D62" s="4233">
        <f>Table1!D53</f>
        <v>2.4198210000000005E-2</v>
      </c>
      <c r="E62" s="4233">
        <f>Table1!E53</f>
        <v>6.0041472922105266E-2</v>
      </c>
      <c r="F62" s="628"/>
      <c r="G62" s="628"/>
      <c r="H62" s="628"/>
      <c r="I62" s="628"/>
      <c r="J62" s="2135"/>
      <c r="K62" s="4233">
        <f>Table1!F53</f>
        <v>60.843551377578954</v>
      </c>
      <c r="L62" s="4233">
        <f>Table1!G53</f>
        <v>18.697907621052632</v>
      </c>
      <c r="M62" s="4233">
        <f>Table1!H53</f>
        <v>9.031640138968422</v>
      </c>
      <c r="N62" s="4234">
        <f>Table1!I53</f>
        <v>1.4012160000000002</v>
      </c>
      <c r="O62" s="3782">
        <f t="shared" si="4"/>
        <v>11909.836540204356</v>
      </c>
    </row>
    <row r="63" spans="2:15" ht="18" customHeight="1" x14ac:dyDescent="0.25">
      <c r="B63" s="1380" t="s">
        <v>1503</v>
      </c>
      <c r="C63" s="4279">
        <f>Table1!C54</f>
        <v>2235.0724999999998</v>
      </c>
      <c r="D63" s="4219">
        <f>Table1!D54</f>
        <v>0.21311500000000003</v>
      </c>
      <c r="E63" s="4219">
        <f>Table1!E54</f>
        <v>6.0890000000000007E-2</v>
      </c>
      <c r="F63" s="628"/>
      <c r="G63" s="628"/>
      <c r="H63" s="628"/>
      <c r="I63" s="628"/>
      <c r="J63" s="628"/>
      <c r="K63" s="4219">
        <f>Table1!F54</f>
        <v>60.245300000000007</v>
      </c>
      <c r="L63" s="4219">
        <f>Table1!G54</f>
        <v>1.5222450000000001</v>
      </c>
      <c r="M63" s="4219">
        <f>Table1!H54</f>
        <v>1.8919400000000002</v>
      </c>
      <c r="N63" s="4220">
        <f>Table1!I54</f>
        <v>37.15162449392713</v>
      </c>
      <c r="O63" s="3783">
        <f t="shared" si="4"/>
        <v>2257.1755699999999</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17928.42126602283</v>
      </c>
      <c r="D65" s="3823"/>
      <c r="E65" s="3823"/>
      <c r="F65" s="3824"/>
      <c r="G65" s="3824"/>
      <c r="H65" s="3824"/>
      <c r="I65" s="3824"/>
      <c r="J65" s="3823"/>
      <c r="K65" s="3823"/>
      <c r="L65" s="3823"/>
      <c r="M65" s="3823"/>
      <c r="N65" s="3825"/>
      <c r="O65" s="3812">
        <f t="shared" si="4"/>
        <v>17928.42126602283</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-295720.46673272207</v>
      </c>
      <c r="D67" s="3824"/>
      <c r="E67" s="3824"/>
      <c r="F67" s="3828"/>
      <c r="G67" s="3824"/>
      <c r="H67" s="3824"/>
      <c r="I67" s="3824"/>
      <c r="J67" s="3824"/>
      <c r="K67" s="3824"/>
      <c r="L67" s="3824"/>
      <c r="M67" s="3824"/>
      <c r="N67" s="3829"/>
      <c r="O67" s="3785">
        <f t="shared" si="4"/>
        <v>-295720.46673272207</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389471.72227860283</v>
      </c>
      <c r="D10" s="4213">
        <f>IFERROR(Summary1!D10*28,Summary1!D10)</f>
        <v>135298.48807664079</v>
      </c>
      <c r="E10" s="4213">
        <f>IFERROR(Summary1!E10*265,Summary1!E10)</f>
        <v>21926.060345124744</v>
      </c>
      <c r="F10" s="4213">
        <f>Summary1!F10</f>
        <v>8837.371668775806</v>
      </c>
      <c r="G10" s="4213">
        <f>Summary1!G10</f>
        <v>173.10697875319798</v>
      </c>
      <c r="H10" s="4213" t="str">
        <f>Summary1!H10</f>
        <v>NO</v>
      </c>
      <c r="I10" s="4288">
        <f>IFERROR(Summary1!I10*23500,Summary1!I10)</f>
        <v>108.87625703363453</v>
      </c>
      <c r="J10" s="4289" t="str">
        <f>IFERROR(Summary1!J10*16100,Summary1!J10)</f>
        <v>NO</v>
      </c>
      <c r="K10" s="4214">
        <f>IF(SUM(C10:J10)=0,"NO",SUM(C10:J10))</f>
        <v>555815.62560493103</v>
      </c>
    </row>
    <row r="11" spans="2:12" ht="18" customHeight="1" x14ac:dyDescent="0.2">
      <c r="B11" s="1550" t="s">
        <v>1476</v>
      </c>
      <c r="C11" s="4253">
        <f>Summary1!C11</f>
        <v>371356.50764914247</v>
      </c>
      <c r="D11" s="4253">
        <f>IFERROR(Summary1!D11*28,Summary1!D11)</f>
        <v>36093.997737116893</v>
      </c>
      <c r="E11" s="4253">
        <f>IFERROR(Summary1!E11*265,Summary1!E11)</f>
        <v>3114.0393121030315</v>
      </c>
      <c r="F11" s="1929"/>
      <c r="G11" s="1929"/>
      <c r="H11" s="1930"/>
      <c r="I11" s="1930"/>
      <c r="J11" s="627"/>
      <c r="K11" s="4290">
        <f t="shared" ref="K11:K55" si="0">IF(SUM(C11:J11)=0,"NO",SUM(C11:J11))</f>
        <v>410564.54469836236</v>
      </c>
      <c r="L11" s="19"/>
    </row>
    <row r="12" spans="2:12" ht="18" customHeight="1" x14ac:dyDescent="0.2">
      <c r="B12" s="620" t="s">
        <v>131</v>
      </c>
      <c r="C12" s="4247">
        <f>Summary1!C12</f>
        <v>362083.79998832318</v>
      </c>
      <c r="D12" s="4247">
        <f>IFERROR(Summary1!D12*28,Summary1!D12)</f>
        <v>2297.2456963792015</v>
      </c>
      <c r="E12" s="4247">
        <f>IFERROR(Summary1!E12*265,Summary1!E12)</f>
        <v>3084.4944895814833</v>
      </c>
      <c r="F12" s="628"/>
      <c r="G12" s="628"/>
      <c r="H12" s="628"/>
      <c r="I12" s="69"/>
      <c r="J12" s="69"/>
      <c r="K12" s="4291">
        <f t="shared" si="0"/>
        <v>367465.5401742839</v>
      </c>
      <c r="L12" s="19"/>
    </row>
    <row r="13" spans="2:12" ht="18" customHeight="1" x14ac:dyDescent="0.2">
      <c r="B13" s="1392" t="s">
        <v>1478</v>
      </c>
      <c r="C13" s="4247">
        <f>Summary1!C13</f>
        <v>203812.67589945495</v>
      </c>
      <c r="D13" s="4247">
        <f>IFERROR(Summary1!D13*28,Summary1!D13)</f>
        <v>726.04915248687564</v>
      </c>
      <c r="E13" s="4247">
        <f>IFERROR(Summary1!E13*265,Summary1!E13)</f>
        <v>1036.297262683031</v>
      </c>
      <c r="F13" s="628"/>
      <c r="G13" s="628"/>
      <c r="H13" s="628"/>
      <c r="I13" s="69"/>
      <c r="J13" s="69"/>
      <c r="K13" s="4291">
        <f t="shared" si="0"/>
        <v>205575.02231462486</v>
      </c>
      <c r="L13" s="19"/>
    </row>
    <row r="14" spans="2:12" ht="18" customHeight="1" x14ac:dyDescent="0.2">
      <c r="B14" s="1392" t="s">
        <v>1517</v>
      </c>
      <c r="C14" s="4247">
        <f>Summary1!C14</f>
        <v>45880.881345598224</v>
      </c>
      <c r="D14" s="4247">
        <f>IFERROR(Summary1!D14*28,Summary1!D14)</f>
        <v>68.70204743521596</v>
      </c>
      <c r="E14" s="4247">
        <f>IFERROR(Summary1!E14*265,Summary1!E14)</f>
        <v>391.64642242498149</v>
      </c>
      <c r="F14" s="628"/>
      <c r="G14" s="628"/>
      <c r="H14" s="628"/>
      <c r="I14" s="69"/>
      <c r="J14" s="69"/>
      <c r="K14" s="4291">
        <f t="shared" si="0"/>
        <v>46341.22981545842</v>
      </c>
      <c r="L14" s="19"/>
    </row>
    <row r="15" spans="2:12" ht="18" customHeight="1" x14ac:dyDescent="0.2">
      <c r="B15" s="1392" t="s">
        <v>1480</v>
      </c>
      <c r="C15" s="4247">
        <f>Summary1!C15</f>
        <v>91221.431392901039</v>
      </c>
      <c r="D15" s="4247">
        <f>IFERROR(Summary1!D15*28,Summary1!D15)</f>
        <v>424.22225484190534</v>
      </c>
      <c r="E15" s="4247">
        <f>IFERROR(Summary1!E15*265,Summary1!E15)</f>
        <v>1474.6283604546875</v>
      </c>
      <c r="F15" s="628"/>
      <c r="G15" s="628"/>
      <c r="H15" s="628"/>
      <c r="I15" s="69"/>
      <c r="J15" s="69"/>
      <c r="K15" s="4291">
        <f t="shared" si="0"/>
        <v>93120.282008197639</v>
      </c>
      <c r="L15" s="19"/>
    </row>
    <row r="16" spans="2:12" ht="18" customHeight="1" x14ac:dyDescent="0.2">
      <c r="B16" s="1392" t="s">
        <v>1481</v>
      </c>
      <c r="C16" s="4247">
        <f>Summary1!C16</f>
        <v>20151.753283622373</v>
      </c>
      <c r="D16" s="4247">
        <f>IFERROR(Summary1!D16*28,Summary1!D16)</f>
        <v>1077.3324567354603</v>
      </c>
      <c r="E16" s="4247">
        <f>IFERROR(Summary1!E16*265,Summary1!E16)</f>
        <v>174.35394066934131</v>
      </c>
      <c r="F16" s="628"/>
      <c r="G16" s="628"/>
      <c r="H16" s="628"/>
      <c r="I16" s="69"/>
      <c r="J16" s="69"/>
      <c r="K16" s="4291">
        <f t="shared" si="0"/>
        <v>21403.439681027176</v>
      </c>
      <c r="L16" s="19"/>
    </row>
    <row r="17" spans="2:12" ht="18" customHeight="1" x14ac:dyDescent="0.2">
      <c r="B17" s="1392" t="s">
        <v>1482</v>
      </c>
      <c r="C17" s="4247">
        <f>Summary1!C17</f>
        <v>1017.0580667465537</v>
      </c>
      <c r="D17" s="4247">
        <f>IFERROR(Summary1!D17*28,Summary1!D17)</f>
        <v>0.93978487974435831</v>
      </c>
      <c r="E17" s="4247">
        <f>IFERROR(Summary1!E17*265,Summary1!E17)</f>
        <v>7.5685033494421683</v>
      </c>
      <c r="F17" s="628"/>
      <c r="G17" s="628"/>
      <c r="H17" s="628"/>
      <c r="I17" s="69"/>
      <c r="J17" s="69"/>
      <c r="K17" s="4291">
        <f t="shared" si="0"/>
        <v>1025.5663549757403</v>
      </c>
      <c r="L17" s="19"/>
    </row>
    <row r="18" spans="2:12" ht="18" customHeight="1" x14ac:dyDescent="0.2">
      <c r="B18" s="620" t="s">
        <v>99</v>
      </c>
      <c r="C18" s="4247">
        <f>Summary1!C18</f>
        <v>9272.7076608192638</v>
      </c>
      <c r="D18" s="4247">
        <f>IFERROR(Summary1!D18*28,Summary1!D18)</f>
        <v>33796.752040737687</v>
      </c>
      <c r="E18" s="4247">
        <f>IFERROR(Summary1!E18*265,Summary1!E18)</f>
        <v>29.544822521548028</v>
      </c>
      <c r="F18" s="628"/>
      <c r="G18" s="628"/>
      <c r="H18" s="628"/>
      <c r="I18" s="69"/>
      <c r="J18" s="69"/>
      <c r="K18" s="4291">
        <f t="shared" si="0"/>
        <v>43099.004524078504</v>
      </c>
      <c r="L18" s="19"/>
    </row>
    <row r="19" spans="2:12" ht="18" customHeight="1" x14ac:dyDescent="0.2">
      <c r="B19" s="1392" t="s">
        <v>1483</v>
      </c>
      <c r="C19" s="4247">
        <f>Summary1!C19</f>
        <v>1837.8700527484677</v>
      </c>
      <c r="D19" s="4247">
        <f>IFERROR(Summary1!D19*28,Summary1!D19)</f>
        <v>27834.785566266524</v>
      </c>
      <c r="E19" s="4247">
        <f>IFERROR(Summary1!E19*265,Summary1!E19)</f>
        <v>0.3889235366231662</v>
      </c>
      <c r="F19" s="628"/>
      <c r="G19" s="628"/>
      <c r="H19" s="628"/>
      <c r="I19" s="69"/>
      <c r="J19" s="69"/>
      <c r="K19" s="4291">
        <f t="shared" si="0"/>
        <v>29673.044542551615</v>
      </c>
      <c r="L19" s="19"/>
    </row>
    <row r="20" spans="2:12" ht="18" customHeight="1" x14ac:dyDescent="0.2">
      <c r="B20" s="1393" t="s">
        <v>1484</v>
      </c>
      <c r="C20" s="4247">
        <f>Summary1!C20</f>
        <v>7434.8376080707958</v>
      </c>
      <c r="D20" s="4247">
        <f>IFERROR(Summary1!D20*28,Summary1!D20)</f>
        <v>5961.9664744711627</v>
      </c>
      <c r="E20" s="4247">
        <f>IFERROR(Summary1!E20*265,Summary1!E20)</f>
        <v>29.15589898492486</v>
      </c>
      <c r="F20" s="628"/>
      <c r="G20" s="628"/>
      <c r="H20" s="628"/>
      <c r="I20" s="69"/>
      <c r="J20" s="69"/>
      <c r="K20" s="4291">
        <f t="shared" si="0"/>
        <v>13425.959981526885</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19170.454777412677</v>
      </c>
      <c r="D22" s="4253">
        <f>IFERROR(Summary1!D22*28,Summary1!D22)</f>
        <v>72.820103398771721</v>
      </c>
      <c r="E22" s="4253">
        <f>IFERROR(Summary1!E22*265,Summary1!E22)</f>
        <v>1256.5185121665734</v>
      </c>
      <c r="F22" s="4253">
        <f>Summary1!F22</f>
        <v>8837.371668775806</v>
      </c>
      <c r="G22" s="4253">
        <f>Summary1!G22</f>
        <v>173.10697875319798</v>
      </c>
      <c r="H22" s="4253" t="str">
        <f>Summary1!H22</f>
        <v>NO</v>
      </c>
      <c r="I22" s="4253">
        <f>IFERROR(Summary1!I22*23500,Summary1!I22)</f>
        <v>108.87625703363453</v>
      </c>
      <c r="J22" s="4293" t="str">
        <f>IFERROR(Summary1!J22*16100,Summary1!J22)</f>
        <v>NO</v>
      </c>
      <c r="K22" s="4290">
        <f t="shared" si="0"/>
        <v>29619.148297540662</v>
      </c>
      <c r="L22" s="19"/>
    </row>
    <row r="23" spans="2:12" ht="18" customHeight="1" x14ac:dyDescent="0.2">
      <c r="B23" s="1394" t="s">
        <v>1487</v>
      </c>
      <c r="C23" s="4247">
        <f>Summary1!C23</f>
        <v>6004.4700119044592</v>
      </c>
      <c r="D23" s="628"/>
      <c r="E23" s="628"/>
      <c r="F23" s="628"/>
      <c r="G23" s="628"/>
      <c r="H23" s="628"/>
      <c r="I23" s="69"/>
      <c r="J23" s="69"/>
      <c r="K23" s="4291">
        <f t="shared" si="0"/>
        <v>6004.4700119044592</v>
      </c>
      <c r="L23" s="19"/>
    </row>
    <row r="24" spans="2:12" ht="18" customHeight="1" x14ac:dyDescent="0.2">
      <c r="B24" s="1394" t="s">
        <v>621</v>
      </c>
      <c r="C24" s="4247">
        <f>Summary1!C24</f>
        <v>3127.3795000171694</v>
      </c>
      <c r="D24" s="4247">
        <f>IFERROR(Summary1!D24*28,Summary1!D24)</f>
        <v>16.177380799999998</v>
      </c>
      <c r="E24" s="4247">
        <f>IFERROR(Summary1!E24*265,Summary1!E24)</f>
        <v>1243.8286050423719</v>
      </c>
      <c r="F24" s="1924" t="str">
        <f>Summary1!F24</f>
        <v>NO</v>
      </c>
      <c r="G24" s="1924" t="str">
        <f>Summary1!G24</f>
        <v>NO</v>
      </c>
      <c r="H24" s="1924" t="str">
        <f>Summary1!H24</f>
        <v>NO</v>
      </c>
      <c r="I24" s="616" t="str">
        <f>IFERROR(Summary1!I24*23500,Summary1!I24)</f>
        <v>NO</v>
      </c>
      <c r="J24" s="616" t="str">
        <f>IFERROR(Summary1!J24*16100,Summary1!J24)</f>
        <v>NO</v>
      </c>
      <c r="K24" s="4291">
        <f t="shared" si="0"/>
        <v>4387.3854858595414</v>
      </c>
      <c r="L24" s="19"/>
    </row>
    <row r="25" spans="2:12" ht="18" customHeight="1" x14ac:dyDescent="0.2">
      <c r="B25" s="1394" t="s">
        <v>459</v>
      </c>
      <c r="C25" s="4247">
        <f>Summary1!C25</f>
        <v>9608.8558369057628</v>
      </c>
      <c r="D25" s="4247">
        <f>IFERROR(Summary1!D25*28,Summary1!D25)</f>
        <v>56.642722598771726</v>
      </c>
      <c r="E25" s="4247">
        <f>IFERROR(Summary1!E25*265,Summary1!E25)</f>
        <v>12.689907124201603</v>
      </c>
      <c r="F25" s="1924" t="str">
        <f>Summary1!F25</f>
        <v>NO</v>
      </c>
      <c r="G25" s="4247">
        <f>Summary1!G25</f>
        <v>173.10697875319798</v>
      </c>
      <c r="H25" s="4247" t="str">
        <f>Summary1!H25</f>
        <v>NO</v>
      </c>
      <c r="I25" s="4247" t="str">
        <f>IFERROR(Summary1!I25*23500,Summary1!I25)</f>
        <v>NO</v>
      </c>
      <c r="J25" s="4247" t="str">
        <f>IFERROR(Summary1!J25*16100,Summary1!J25)</f>
        <v>NO</v>
      </c>
      <c r="K25" s="4291">
        <f t="shared" si="0"/>
        <v>9851.2954453819348</v>
      </c>
      <c r="L25" s="19"/>
    </row>
    <row r="26" spans="2:12" ht="18" customHeight="1" x14ac:dyDescent="0.2">
      <c r="B26" s="1395" t="s">
        <v>1519</v>
      </c>
      <c r="C26" s="4247">
        <f>Summary1!C26</f>
        <v>228.05065580499999</v>
      </c>
      <c r="D26" s="4247" t="str">
        <f>IFERROR(Summary1!D26*28,Summary1!D26)</f>
        <v>NO</v>
      </c>
      <c r="E26" s="4247" t="str">
        <f>IFERROR(Summary1!E26*265,Summary1!E26)</f>
        <v>NO</v>
      </c>
      <c r="F26" s="628"/>
      <c r="G26" s="628"/>
      <c r="H26" s="628"/>
      <c r="I26" s="69"/>
      <c r="J26" s="69"/>
      <c r="K26" s="4291">
        <f t="shared" si="0"/>
        <v>228.05065580499999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8837.371668775806</v>
      </c>
      <c r="G28" s="4247" t="str">
        <f>Summary1!G28</f>
        <v>NO</v>
      </c>
      <c r="H28" s="4247" t="str">
        <f>Summary1!H28</f>
        <v>NO</v>
      </c>
      <c r="I28" s="4247" t="str">
        <f>IFERROR(Summary1!I28*23500,Summary1!I28)</f>
        <v>NO</v>
      </c>
      <c r="J28" s="4247" t="str">
        <f>IFERROR(Summary1!J28*16100,Summary1!J28)</f>
        <v>NO</v>
      </c>
      <c r="K28" s="4291">
        <f t="shared" si="0"/>
        <v>8837.371668775806</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108.87625703363453</v>
      </c>
      <c r="J29" s="4247" t="str">
        <f>IFERROR(Summary1!J29*16100,Summary1!J29)</f>
        <v>NO</v>
      </c>
      <c r="K29" s="4291">
        <f t="shared" si="0"/>
        <v>108.87625703363453</v>
      </c>
      <c r="L29" s="19"/>
    </row>
    <row r="30" spans="2:12" ht="18" customHeight="1" thickBot="1" x14ac:dyDescent="0.25">
      <c r="B30" s="1407" t="s">
        <v>1523</v>
      </c>
      <c r="C30" s="4266">
        <f>Summary1!C30</f>
        <v>201.69877278028781</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201.69877278028781</v>
      </c>
      <c r="L30" s="19"/>
    </row>
    <row r="31" spans="2:12" ht="18" customHeight="1" x14ac:dyDescent="0.2">
      <c r="B31" s="772" t="s">
        <v>1491</v>
      </c>
      <c r="C31" s="4253">
        <f>Summary1!C31</f>
        <v>2490.9097255348615</v>
      </c>
      <c r="D31" s="4253">
        <f>IFERROR(Summary1!D31*28,Summary1!D31)</f>
        <v>66918.325193440061</v>
      </c>
      <c r="E31" s="4253">
        <f>IFERROR(Summary1!E31*265,Summary1!E31)</f>
        <v>12618.782494778954</v>
      </c>
      <c r="F31" s="1929"/>
      <c r="G31" s="1929"/>
      <c r="H31" s="1929"/>
      <c r="I31" s="4215"/>
      <c r="J31" s="627"/>
      <c r="K31" s="4290">
        <f t="shared" si="0"/>
        <v>82028.017413753871</v>
      </c>
      <c r="L31" s="19"/>
    </row>
    <row r="32" spans="2:12" ht="18" customHeight="1" x14ac:dyDescent="0.2">
      <c r="B32" s="620" t="s">
        <v>1492</v>
      </c>
      <c r="C32" s="628"/>
      <c r="D32" s="4247">
        <f>IFERROR(Summary1!D32*28,Summary1!D32)</f>
        <v>59312.623537164523</v>
      </c>
      <c r="E32" s="628"/>
      <c r="F32" s="628"/>
      <c r="G32" s="628"/>
      <c r="H32" s="628"/>
      <c r="I32" s="69"/>
      <c r="J32" s="69"/>
      <c r="K32" s="4291">
        <f t="shared" si="0"/>
        <v>59312.623537164523</v>
      </c>
      <c r="L32" s="19"/>
    </row>
    <row r="33" spans="2:12" ht="18" customHeight="1" x14ac:dyDescent="0.2">
      <c r="B33" s="620" t="s">
        <v>1493</v>
      </c>
      <c r="C33" s="628"/>
      <c r="D33" s="4247">
        <f>IFERROR(Summary1!D33*28,Summary1!D33)</f>
        <v>7016.6397221399993</v>
      </c>
      <c r="E33" s="4247">
        <f>IFERROR(Summary1!E33*265,Summary1!E33)</f>
        <v>451.38439599590197</v>
      </c>
      <c r="F33" s="628"/>
      <c r="G33" s="628"/>
      <c r="H33" s="628"/>
      <c r="I33" s="69"/>
      <c r="J33" s="69"/>
      <c r="K33" s="4291">
        <f t="shared" si="0"/>
        <v>7468.0241181359015</v>
      </c>
      <c r="L33" s="19"/>
    </row>
    <row r="34" spans="2:12" ht="18" customHeight="1" x14ac:dyDescent="0.2">
      <c r="B34" s="620" t="s">
        <v>1494</v>
      </c>
      <c r="C34" s="628"/>
      <c r="D34" s="4247">
        <f>IFERROR(Summary1!D34*28,Summary1!D34)</f>
        <v>341.22009303200002</v>
      </c>
      <c r="E34" s="628"/>
      <c r="F34" s="628"/>
      <c r="G34" s="628"/>
      <c r="H34" s="628"/>
      <c r="I34" s="69"/>
      <c r="J34" s="69"/>
      <c r="K34" s="4291">
        <f t="shared" si="0"/>
        <v>341.22009303200002</v>
      </c>
      <c r="L34" s="19"/>
    </row>
    <row r="35" spans="2:12" ht="18" customHeight="1" x14ac:dyDescent="0.2">
      <c r="B35" s="620" t="s">
        <v>1495</v>
      </c>
      <c r="C35" s="4294"/>
      <c r="D35" s="4247" t="str">
        <f>IFERROR(Summary1!D35*28,Summary1!D35)</f>
        <v>NE</v>
      </c>
      <c r="E35" s="4247">
        <f>IFERROR(Summary1!E35*265,Summary1!E35)</f>
        <v>12068.786465089695</v>
      </c>
      <c r="F35" s="628"/>
      <c r="G35" s="628"/>
      <c r="H35" s="628"/>
      <c r="I35" s="69"/>
      <c r="J35" s="69"/>
      <c r="K35" s="4291">
        <f t="shared" si="0"/>
        <v>12068.786465089695</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247.84184110353107</v>
      </c>
      <c r="E37" s="4247">
        <f>IFERROR(Summary1!E37*265,Summary1!E37)</f>
        <v>98.61163369335766</v>
      </c>
      <c r="F37" s="628"/>
      <c r="G37" s="628"/>
      <c r="H37" s="628"/>
      <c r="I37" s="69"/>
      <c r="J37" s="69"/>
      <c r="K37" s="4291">
        <f t="shared" si="0"/>
        <v>346.45347479688871</v>
      </c>
      <c r="L37" s="19"/>
    </row>
    <row r="38" spans="2:12" ht="18" customHeight="1" x14ac:dyDescent="0.2">
      <c r="B38" s="620" t="s">
        <v>721</v>
      </c>
      <c r="C38" s="1924">
        <f>Summary1!C38</f>
        <v>1138.7434395518412</v>
      </c>
      <c r="D38" s="4295"/>
      <c r="E38" s="4295"/>
      <c r="F38" s="628"/>
      <c r="G38" s="628"/>
      <c r="H38" s="628"/>
      <c r="I38" s="69"/>
      <c r="J38" s="69"/>
      <c r="K38" s="4291">
        <f t="shared" si="0"/>
        <v>1138.7434395518412</v>
      </c>
      <c r="L38" s="19"/>
    </row>
    <row r="39" spans="2:12" ht="18" customHeight="1" x14ac:dyDescent="0.2">
      <c r="B39" s="620" t="s">
        <v>722</v>
      </c>
      <c r="C39" s="1924">
        <f>Summary1!C39</f>
        <v>1352.1662859830203</v>
      </c>
      <c r="D39" s="4295"/>
      <c r="E39" s="4295"/>
      <c r="F39" s="628"/>
      <c r="G39" s="628"/>
      <c r="H39" s="628"/>
      <c r="I39" s="69"/>
      <c r="J39" s="69"/>
      <c r="K39" s="4291">
        <f t="shared" si="0"/>
        <v>1352.1662859830203</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-3577.6490938680945</v>
      </c>
      <c r="D42" s="1927">
        <f>IFERROR(Summary1!D42*28,Summary1!D42)</f>
        <v>19335.668945304333</v>
      </c>
      <c r="E42" s="1927">
        <f>IFERROR(Summary1!E42*265,Summary1!E42)</f>
        <v>4608.0130118635007</v>
      </c>
      <c r="F42" s="1929"/>
      <c r="G42" s="1929"/>
      <c r="H42" s="1929"/>
      <c r="I42" s="4215"/>
      <c r="J42" s="627"/>
      <c r="K42" s="4290">
        <f t="shared" si="0"/>
        <v>20366.032863299741</v>
      </c>
      <c r="L42" s="19"/>
    </row>
    <row r="43" spans="2:12" ht="18" customHeight="1" x14ac:dyDescent="0.2">
      <c r="B43" s="620" t="s">
        <v>981</v>
      </c>
      <c r="C43" s="1924">
        <f>Summary1!C43</f>
        <v>-56210.407494995394</v>
      </c>
      <c r="D43" s="1924">
        <f>IFERROR(Summary1!D43*28,Summary1!D43)</f>
        <v>8354.3175965887112</v>
      </c>
      <c r="E43" s="1924">
        <f>IFERROR(Summary1!E43*265,Summary1!E43)</f>
        <v>1567.8393456929189</v>
      </c>
      <c r="F43" s="1931"/>
      <c r="G43" s="1931"/>
      <c r="H43" s="1931"/>
      <c r="I43" s="3352"/>
      <c r="J43" s="69"/>
      <c r="K43" s="4291">
        <f t="shared" si="0"/>
        <v>-46288.250552713762</v>
      </c>
      <c r="L43" s="19"/>
    </row>
    <row r="44" spans="2:12" ht="18" customHeight="1" x14ac:dyDescent="0.2">
      <c r="B44" s="620" t="s">
        <v>984</v>
      </c>
      <c r="C44" s="1924">
        <f>Summary1!C44</f>
        <v>5946.5026159676072</v>
      </c>
      <c r="D44" s="1924">
        <f>IFERROR(Summary1!D44*28,Summary1!D44)</f>
        <v>58.776681600000003</v>
      </c>
      <c r="E44" s="1924">
        <f>IFERROR(Summary1!E44*265,Summary1!E44)</f>
        <v>37.672757501752379</v>
      </c>
      <c r="F44" s="1931"/>
      <c r="G44" s="1931"/>
      <c r="H44" s="1931"/>
      <c r="I44" s="3352"/>
      <c r="J44" s="69"/>
      <c r="K44" s="4291">
        <f t="shared" si="0"/>
        <v>6042.9520550693596</v>
      </c>
      <c r="L44" s="19"/>
    </row>
    <row r="45" spans="2:12" ht="18" customHeight="1" x14ac:dyDescent="0.2">
      <c r="B45" s="620" t="s">
        <v>987</v>
      </c>
      <c r="C45" s="1924">
        <f>Summary1!C45</f>
        <v>46182.290146237399</v>
      </c>
      <c r="D45" s="1924">
        <f>IFERROR(Summary1!D45*28,Summary1!D45)</f>
        <v>8284.6773726433566</v>
      </c>
      <c r="E45" s="1924">
        <f>IFERROR(Summary1!E45*265,Summary1!E45)</f>
        <v>2850.2303401136483</v>
      </c>
      <c r="F45" s="1931"/>
      <c r="G45" s="1931"/>
      <c r="H45" s="1931"/>
      <c r="I45" s="3352"/>
      <c r="J45" s="69"/>
      <c r="K45" s="4291">
        <f t="shared" si="0"/>
        <v>57317.197858994405</v>
      </c>
      <c r="L45" s="19"/>
    </row>
    <row r="46" spans="2:12" ht="18" customHeight="1" x14ac:dyDescent="0.2">
      <c r="B46" s="620" t="s">
        <v>1525</v>
      </c>
      <c r="C46" s="1924">
        <f>Summary1!C46</f>
        <v>315.4268500924573</v>
      </c>
      <c r="D46" s="1924">
        <f>IFERROR(Summary1!D46*28,Summary1!D46)</f>
        <v>2599.0903024722684</v>
      </c>
      <c r="E46" s="1924">
        <f>IFERROR(Summary1!E46*265,Summary1!E46)</f>
        <v>96.134951575710431</v>
      </c>
      <c r="F46" s="1931"/>
      <c r="G46" s="1931"/>
      <c r="H46" s="1931"/>
      <c r="I46" s="3352"/>
      <c r="J46" s="69"/>
      <c r="K46" s="4291">
        <f t="shared" si="0"/>
        <v>3010.6521041404362</v>
      </c>
      <c r="L46" s="19"/>
    </row>
    <row r="47" spans="2:12" ht="18" customHeight="1" x14ac:dyDescent="0.2">
      <c r="B47" s="620" t="s">
        <v>1526</v>
      </c>
      <c r="C47" s="1924">
        <f>Summary1!C47</f>
        <v>4124.2236562394728</v>
      </c>
      <c r="D47" s="1924">
        <f>IFERROR(Summary1!D47*28,Summary1!D47)</f>
        <v>38.806992000000001</v>
      </c>
      <c r="E47" s="1924">
        <f>IFERROR(Summary1!E47*265,Summary1!E47)</f>
        <v>16.29959240049752</v>
      </c>
      <c r="F47" s="1931"/>
      <c r="G47" s="1931"/>
      <c r="H47" s="1931"/>
      <c r="I47" s="3352"/>
      <c r="J47" s="69"/>
      <c r="K47" s="4291">
        <f t="shared" si="0"/>
        <v>4179.3302406399698</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-3969.4457462444443</v>
      </c>
      <c r="D49" s="3835"/>
      <c r="E49" s="3835"/>
      <c r="F49" s="1931"/>
      <c r="G49" s="1931"/>
      <c r="H49" s="1931"/>
      <c r="I49" s="3352"/>
      <c r="J49" s="69"/>
      <c r="K49" s="4291">
        <f t="shared" si="0"/>
        <v>-3969.4457462444443</v>
      </c>
      <c r="L49" s="19"/>
    </row>
    <row r="50" spans="2:12" ht="18" customHeight="1" thickBot="1" x14ac:dyDescent="0.25">
      <c r="B50" s="1552" t="s">
        <v>1529</v>
      </c>
      <c r="C50" s="1926">
        <f>Summary1!C50</f>
        <v>33.760878834808885</v>
      </c>
      <c r="D50" s="1926" t="str">
        <f>IFERROR(Summary1!D50*28,Summary1!D50)</f>
        <v>NO</v>
      </c>
      <c r="E50" s="1926">
        <f>IFERROR(Summary1!E50*265,Summary1!E50)</f>
        <v>39.836024578973074</v>
      </c>
      <c r="F50" s="3024"/>
      <c r="G50" s="3024"/>
      <c r="H50" s="3024"/>
      <c r="I50" s="3828"/>
      <c r="J50" s="87"/>
      <c r="K50" s="4292">
        <f t="shared" si="0"/>
        <v>73.596903413781959</v>
      </c>
      <c r="L50" s="19"/>
    </row>
    <row r="51" spans="2:12" ht="18" customHeight="1" x14ac:dyDescent="0.2">
      <c r="B51" s="1550" t="s">
        <v>1500</v>
      </c>
      <c r="C51" s="1927">
        <f>Summary1!C51</f>
        <v>31.499220380900699</v>
      </c>
      <c r="D51" s="1927">
        <f>IFERROR(Summary1!D51*28,Summary1!D51)</f>
        <v>12877.67609738074</v>
      </c>
      <c r="E51" s="1927">
        <f>IFERROR(Summary1!E51*265,Summary1!E51)</f>
        <v>328.70701421268893</v>
      </c>
      <c r="F51" s="1929"/>
      <c r="G51" s="1929"/>
      <c r="H51" s="1929"/>
      <c r="I51" s="4215"/>
      <c r="J51" s="627"/>
      <c r="K51" s="4290">
        <f t="shared" si="0"/>
        <v>13237.88233197433</v>
      </c>
      <c r="L51" s="19"/>
    </row>
    <row r="52" spans="2:12" ht="18" customHeight="1" x14ac:dyDescent="0.2">
      <c r="B52" s="620" t="s">
        <v>1530</v>
      </c>
      <c r="C52" s="628"/>
      <c r="D52" s="1924">
        <f>IFERROR(Summary1!D52*28,Summary1!D52)</f>
        <v>10260.410147119999</v>
      </c>
      <c r="E52" s="1931"/>
      <c r="F52" s="628"/>
      <c r="G52" s="628"/>
      <c r="H52" s="628"/>
      <c r="I52" s="69"/>
      <c r="J52" s="69"/>
      <c r="K52" s="4291">
        <f t="shared" si="0"/>
        <v>10260.410147119999</v>
      </c>
      <c r="L52" s="19"/>
    </row>
    <row r="53" spans="2:12" ht="18" customHeight="1" x14ac:dyDescent="0.2">
      <c r="B53" s="1396" t="s">
        <v>1531</v>
      </c>
      <c r="C53" s="628"/>
      <c r="D53" s="1924">
        <f>IFERROR(Summary1!D53*28,Summary1!D53)</f>
        <v>116.22771783</v>
      </c>
      <c r="E53" s="1924">
        <f>IFERROR(Summary1!E53*265,Summary1!E53)</f>
        <v>140.80157817120002</v>
      </c>
      <c r="F53" s="628"/>
      <c r="G53" s="628"/>
      <c r="H53" s="628"/>
      <c r="I53" s="69"/>
      <c r="J53" s="69"/>
      <c r="K53" s="4291">
        <f t="shared" si="0"/>
        <v>257.02929600120001</v>
      </c>
      <c r="L53" s="19"/>
    </row>
    <row r="54" spans="2:12" ht="18" customHeight="1" x14ac:dyDescent="0.2">
      <c r="B54" s="1397" t="s">
        <v>1532</v>
      </c>
      <c r="C54" s="1924">
        <f>Summary1!C54</f>
        <v>31.499220380900699</v>
      </c>
      <c r="D54" s="1924" t="str">
        <f>IFERROR(Summary1!D54*28,Summary1!D54)</f>
        <v>NO,NE</v>
      </c>
      <c r="E54" s="1924" t="str">
        <f>IFERROR(Summary1!E54*265,Summary1!E54)</f>
        <v>NO,NE</v>
      </c>
      <c r="F54" s="628"/>
      <c r="G54" s="628"/>
      <c r="H54" s="628"/>
      <c r="I54" s="69"/>
      <c r="J54" s="69"/>
      <c r="K54" s="4291">
        <f t="shared" si="0"/>
        <v>31.499220380900699</v>
      </c>
      <c r="L54" s="19"/>
    </row>
    <row r="55" spans="2:12" ht="18" customHeight="1" x14ac:dyDescent="0.2">
      <c r="B55" s="620" t="s">
        <v>1533</v>
      </c>
      <c r="C55" s="628"/>
      <c r="D55" s="1924">
        <f>IFERROR(Summary1!D55*28,Summary1!D55)</f>
        <v>2501.0382324307407</v>
      </c>
      <c r="E55" s="1924">
        <f>IFERROR(Summary1!E55*265,Summary1!E55)</f>
        <v>187.90543604148888</v>
      </c>
      <c r="F55" s="628"/>
      <c r="G55" s="628"/>
      <c r="H55" s="628"/>
      <c r="I55" s="69"/>
      <c r="J55" s="69"/>
      <c r="K55" s="4291">
        <f t="shared" si="0"/>
        <v>2688.9436684722295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14128.3205</v>
      </c>
      <c r="D60" s="4219">
        <f>IFERROR(Summary1!D61*28,Summary1!D61)</f>
        <v>6.644769880000001</v>
      </c>
      <c r="E60" s="4219">
        <f>IFERROR(Summary1!E61*265,Summary1!E61)</f>
        <v>32.046840324357895</v>
      </c>
      <c r="F60" s="1931"/>
      <c r="G60" s="1931"/>
      <c r="H60" s="1932"/>
      <c r="I60" s="630"/>
      <c r="J60" s="630"/>
      <c r="K60" s="4220">
        <f t="shared" ref="K60:K66" si="2">IF(SUM(C60:J60)=0,"NO",SUM(C60:J60))</f>
        <v>14167.012110204358</v>
      </c>
    </row>
    <row r="61" spans="2:12" ht="18" customHeight="1" x14ac:dyDescent="0.2">
      <c r="B61" s="1386" t="s">
        <v>111</v>
      </c>
      <c r="C61" s="4219">
        <f>Summary1!C62</f>
        <v>11893.248</v>
      </c>
      <c r="D61" s="4219">
        <f>IFERROR(Summary1!D62*28,Summary1!D62)</f>
        <v>0.67754988000000016</v>
      </c>
      <c r="E61" s="4219">
        <f>IFERROR(Summary1!E62*265,Summary1!E62)</f>
        <v>15.910990324357895</v>
      </c>
      <c r="F61" s="628"/>
      <c r="G61" s="628"/>
      <c r="H61" s="628"/>
      <c r="I61" s="631"/>
      <c r="J61" s="631"/>
      <c r="K61" s="4234">
        <f t="shared" si="2"/>
        <v>11909.836540204356</v>
      </c>
    </row>
    <row r="62" spans="2:12" ht="18" customHeight="1" x14ac:dyDescent="0.2">
      <c r="B62" s="1387" t="s">
        <v>1503</v>
      </c>
      <c r="C62" s="4219">
        <f>Summary1!C63</f>
        <v>2235.0724999999998</v>
      </c>
      <c r="D62" s="4219">
        <f>IFERROR(Summary1!D63*28,Summary1!D63)</f>
        <v>5.9672200000000011</v>
      </c>
      <c r="E62" s="4219">
        <f>IFERROR(Summary1!E63*265,Summary1!E63)</f>
        <v>16.135850000000001</v>
      </c>
      <c r="F62" s="628"/>
      <c r="G62" s="628"/>
      <c r="H62" s="628"/>
      <c r="I62" s="632"/>
      <c r="J62" s="632"/>
      <c r="K62" s="4220">
        <f t="shared" si="2"/>
        <v>2257.1755699999999</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17928.42126602283</v>
      </c>
      <c r="D64" s="1931"/>
      <c r="E64" s="1931"/>
      <c r="F64" s="1931"/>
      <c r="G64" s="1931"/>
      <c r="H64" s="1931"/>
      <c r="I64" s="3352"/>
      <c r="J64" s="3352"/>
      <c r="K64" s="3821">
        <f t="shared" si="2"/>
        <v>17928.42126602283</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-295720.46673272207</v>
      </c>
      <c r="D66" s="4301"/>
      <c r="E66" s="4301"/>
      <c r="F66" s="4301"/>
      <c r="G66" s="4301"/>
      <c r="H66" s="4301"/>
      <c r="I66" s="3824"/>
      <c r="J66" s="3824"/>
      <c r="K66" s="4302">
        <f t="shared" si="2"/>
        <v>-295720.46673272207</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535449.59274163132</v>
      </c>
      <c r="N71" s="1126"/>
    </row>
    <row r="72" spans="2:14" s="634" customFormat="1" ht="18" customHeight="1" x14ac:dyDescent="0.25">
      <c r="B72" s="637"/>
      <c r="C72" s="638"/>
      <c r="D72" s="638"/>
      <c r="E72" s="638"/>
      <c r="F72" s="638"/>
      <c r="G72" s="638"/>
      <c r="H72" s="638"/>
      <c r="I72" s="638"/>
      <c r="J72" s="2553" t="s">
        <v>2122</v>
      </c>
      <c r="K72" s="3821">
        <f>K10</f>
        <v>555815.62560493103</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837621.36376790574</v>
      </c>
      <c r="D10" s="3076" t="s">
        <v>1814</v>
      </c>
      <c r="E10" s="628"/>
      <c r="F10" s="628"/>
      <c r="G10" s="628"/>
      <c r="H10" s="1913">
        <f>IF(SUM(H11:H15)=0,"NO",SUM(H11:H15))</f>
        <v>45880.881345598216</v>
      </c>
      <c r="I10" s="1913">
        <f t="shared" ref="I10:K10" si="0">IF(SUM(I11:I16)=0,"NO",SUM(I11:I16))</f>
        <v>2.453644551257713</v>
      </c>
      <c r="J10" s="1847">
        <f t="shared" si="0"/>
        <v>1.4779110280187984</v>
      </c>
      <c r="K10" s="3065" t="str">
        <f t="shared" si="0"/>
        <v>NO</v>
      </c>
    </row>
    <row r="11" spans="2:11" ht="18" customHeight="1" x14ac:dyDescent="0.2">
      <c r="B11" s="282" t="s">
        <v>132</v>
      </c>
      <c r="C11" s="1913">
        <f>IF(SUM(C18,C25,C32,C39,C46,C53,C62,C69,C76,C83,C90,C97,C114,C104:C107)=0,"NO",SUM(C18,C25,C32,C39,C46,C53,C62,C69,C76,C83,C90,C97,C114,C104:C107))</f>
        <v>254746.96129093147</v>
      </c>
      <c r="D11" s="3077" t="s">
        <v>1814</v>
      </c>
      <c r="E11" s="1913">
        <f>IFERROR(H11*1000/$C11,"NA")</f>
        <v>69.415500887363649</v>
      </c>
      <c r="F11" s="1913">
        <f t="shared" ref="F11:G16" si="1">IFERROR(I11*1000000/$C11,"NA")</f>
        <v>4.0235167883487648</v>
      </c>
      <c r="G11" s="1913">
        <f t="shared" si="1"/>
        <v>2.2838937503672807</v>
      </c>
      <c r="H11" s="1913">
        <f>IF(SUM(H18,H25,H32,H39,H46,H53,H62,H69,H76,H83,H90,H97,H114,H104:H107)=0,"NO",SUM(H18,H25,H32,H39,H46,H53,H62,H69,H76,H83,H90,H97,H114,H104:H107))</f>
        <v>17683.387917543849</v>
      </c>
      <c r="I11" s="1913">
        <f>IF(SUM(I18,I25,I32,I39,I46,I53,I62,I69,I76,I83,I90,I97,I114,I104:I107)=0,"NO",SUM(I18,I25,I32,I39,I46,I53,I62,I69,I76,I83,I90,I97,I114,I104:I107))</f>
        <v>1.0249786755348957</v>
      </c>
      <c r="J11" s="1913">
        <f>IF(SUM(J18,J25,J32,J39,J46,J53,J62,J69,J76,J83,J90,J97,J114,J104:J107)=0,"NO",SUM(J18,J25,J32,J39,J46,J53,J62,J69,J76,J83,J90,J97,J114,J104:J107))</f>
        <v>0.581814992817414</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119635.76340897878</v>
      </c>
      <c r="D12" s="3077" t="s">
        <v>1814</v>
      </c>
      <c r="E12" s="1913">
        <f t="shared" ref="E12:E16" si="2">IFERROR(H12*1000/$C12,"NA")</f>
        <v>82.387336289402128</v>
      </c>
      <c r="F12" s="1913">
        <f t="shared" si="1"/>
        <v>0.94881868427852023</v>
      </c>
      <c r="G12" s="1913">
        <f t="shared" si="1"/>
        <v>0.70166582291396973</v>
      </c>
      <c r="H12" s="1913">
        <f>IF(SUM(H19,H26,H33,H40,H47,H54,H63,H70,H77,H84,H91,H98,H115)=0,"NO",SUM(H19,H26,H33,H40,H47,H54,H63,H70,H77,H84,H91,H98,H115))</f>
        <v>9856.4718722148828</v>
      </c>
      <c r="I12" s="1913">
        <f>IF(SUM(I19,I26,I33,I40,I47,I54,I63,I70,I77,I84,I91,I98,I115)=0,"NO",SUM(I19,I26,I33,I40,I47,I54,I63,I70,I77,I84,I91,I98,I115))</f>
        <v>0.11351264763036358</v>
      </c>
      <c r="J12" s="1913">
        <f>IF(SUM(J19,J26,J33,J40,J47,J54,J63,J70,J77,J84,J91,J98,J115)=0,"NO",SUM(J19,J26,J33,J40,J47,J54,J63,J70,J77,J84,J91,J98,J115))</f>
        <v>8.3944326382302079E-2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356739.33457052911</v>
      </c>
      <c r="D13" s="3077" t="s">
        <v>1814</v>
      </c>
      <c r="E13" s="1913">
        <f t="shared" si="2"/>
        <v>51.412949956639501</v>
      </c>
      <c r="F13" s="1913">
        <f t="shared" si="1"/>
        <v>0.97932433077421877</v>
      </c>
      <c r="G13" s="1913">
        <f t="shared" si="1"/>
        <v>0.550129670821076</v>
      </c>
      <c r="H13" s="1913">
        <f t="shared" ref="H13:K14" si="3">IF(SUM(H20,H27,H34,H41,H48,H55,H64,H71,H78,H85,H92,H99,H116,H109)=0,"NO",SUM(H20,H27,H34,H41,H48,H55,H64,H71,H78,H85,H92,H99,H116,H109))</f>
        <v>18341.021555839488</v>
      </c>
      <c r="I13" s="1913">
        <f t="shared" si="3"/>
        <v>0.34936351008912359</v>
      </c>
      <c r="J13" s="1913">
        <f t="shared" si="3"/>
        <v>0.1962528926962149</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106499.30449746628</v>
      </c>
      <c r="D16" s="3092" t="s">
        <v>1814</v>
      </c>
      <c r="E16" s="1913">
        <f t="shared" si="2"/>
        <v>94.36947772135548</v>
      </c>
      <c r="F16" s="1913">
        <f t="shared" si="1"/>
        <v>9.0685072786208387</v>
      </c>
      <c r="G16" s="1913">
        <f t="shared" si="1"/>
        <v>5.783125242264096</v>
      </c>
      <c r="H16" s="1913">
        <f>IF(SUM(H23,H30,H37,H44,H51,H58,H67,H74,H81,H88,H95,H102,H119,H111)=0,"NO",SUM(H23,H30,H37,H44,H51,H58,H67,H74,H81,H88,H95,H102,H119,H111))</f>
        <v>10050.283743113498</v>
      </c>
      <c r="I16" s="1913">
        <f>IF(SUM(I23,I30,I37,I44,I51,I58,I67,I74,I81,I88,I95,I102,I119,I111)=0,"NO",SUM(I23,I30,I37,I44,I51,I58,I67,I74,I81,I88,I95,I102,I119,I111))</f>
        <v>0.96578971800332991</v>
      </c>
      <c r="J16" s="1913">
        <f>IF(SUM(J23,J30,J37,J44,J51,J58,J67,J74,J81,J88,J95,J102,J119,J111)=0,"NO",SUM(J23,J30,J37,J44,J51,J58,J67,J74,J81,J88,J95,J102,J119,J111))</f>
        <v>0.61589881612286734</v>
      </c>
      <c r="K16" s="3065" t="str">
        <f>IF(SUM(K23,K30,K37,K44,K51,K58,K67,K74,K81,K88,K95,K102,K119,K111)=0,"NO",SUM(K23,K30,K37,K44,K51,K58,K67,K74,K81,K88,K95,K102,K119,K111))</f>
        <v>NO</v>
      </c>
    </row>
    <row r="17" spans="2:11" ht="18" customHeight="1" x14ac:dyDescent="0.2">
      <c r="B17" s="1241" t="s">
        <v>151</v>
      </c>
      <c r="C17" s="1913">
        <f>IF(SUM(C18:C23)=0,"NO",SUM(C18:C23))</f>
        <v>33405.144529189216</v>
      </c>
      <c r="D17" s="3076" t="s">
        <v>1814</v>
      </c>
      <c r="E17" s="628"/>
      <c r="F17" s="628"/>
      <c r="G17" s="628"/>
      <c r="H17" s="1913">
        <f>IF(SUM(H18:H22)=0,"NO",SUM(H18:H22))</f>
        <v>1529.7471033351997</v>
      </c>
      <c r="I17" s="1913">
        <f t="shared" ref="I17:K17" si="4">IF(SUM(I18:I23)=0,"NO",SUM(I18:I23))</f>
        <v>3.4367241003305897E-2</v>
      </c>
      <c r="J17" s="1913">
        <f t="shared" si="4"/>
        <v>1.9623742350736155E-2</v>
      </c>
      <c r="K17" s="3065" t="str">
        <f t="shared" si="4"/>
        <v>NO</v>
      </c>
    </row>
    <row r="18" spans="2:11" ht="18" customHeight="1" x14ac:dyDescent="0.2">
      <c r="B18" s="282" t="s">
        <v>132</v>
      </c>
      <c r="C18" s="691">
        <v>780.37262697777771</v>
      </c>
      <c r="D18" s="3077" t="s">
        <v>1814</v>
      </c>
      <c r="E18" s="1913">
        <f>IFERROR(H18*1000/$C18,"NA")</f>
        <v>71.283069030089095</v>
      </c>
      <c r="F18" s="1913">
        <f t="shared" ref="F18:G23" si="5">IFERROR(I18*1000000/$C18,"NA")</f>
        <v>4.1174177325756691</v>
      </c>
      <c r="G18" s="1913">
        <f t="shared" si="5"/>
        <v>1.4035321522610142</v>
      </c>
      <c r="H18" s="691">
        <v>55.627355838048899</v>
      </c>
      <c r="I18" s="691">
        <v>3.2131200923349599E-3</v>
      </c>
      <c r="J18" s="691">
        <v>1.0952780727077019E-3</v>
      </c>
      <c r="K18" s="3093" t="s">
        <v>2146</v>
      </c>
    </row>
    <row r="19" spans="2:11" ht="18" customHeight="1" x14ac:dyDescent="0.2">
      <c r="B19" s="282" t="s">
        <v>133</v>
      </c>
      <c r="C19" s="691">
        <v>19221.61090221144</v>
      </c>
      <c r="D19" s="3077" t="s">
        <v>1814</v>
      </c>
      <c r="E19" s="1913">
        <f t="shared" ref="E19:E23" si="6">IFERROR(H19*1000/$C19,"NA")</f>
        <v>40.841401517851502</v>
      </c>
      <c r="F19" s="1913">
        <f t="shared" si="5"/>
        <v>0.95512463281253912</v>
      </c>
      <c r="G19" s="1913">
        <f t="shared" si="5"/>
        <v>0.57540320669389833</v>
      </c>
      <c r="H19" s="691">
        <v>785.03752867712933</v>
      </c>
      <c r="I19" s="691">
        <v>1.8359034055040201E-2</v>
      </c>
      <c r="J19" s="691">
        <v>1.1060176550954858E-2</v>
      </c>
      <c r="K19" s="3093" t="s">
        <v>2146</v>
      </c>
    </row>
    <row r="20" spans="2:11" ht="18" customHeight="1" x14ac:dyDescent="0.2">
      <c r="B20" s="282" t="s">
        <v>134</v>
      </c>
      <c r="C20" s="691">
        <v>13403.161</v>
      </c>
      <c r="D20" s="3077" t="s">
        <v>1814</v>
      </c>
      <c r="E20" s="1913">
        <f t="shared" si="6"/>
        <v>51.411918339265007</v>
      </c>
      <c r="F20" s="1913">
        <f t="shared" si="5"/>
        <v>0.95463203463203461</v>
      </c>
      <c r="G20" s="1913">
        <f t="shared" si="5"/>
        <v>0.55720346320346326</v>
      </c>
      <c r="H20" s="691">
        <v>689.08221882002147</v>
      </c>
      <c r="I20" s="691">
        <v>1.2795086855930737E-2</v>
      </c>
      <c r="J20" s="691">
        <v>7.4682877270735937E-3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240648.35906461216</v>
      </c>
      <c r="D24" s="3077" t="s">
        <v>1814</v>
      </c>
      <c r="E24" s="628"/>
      <c r="F24" s="628"/>
      <c r="G24" s="628"/>
      <c r="H24" s="1913">
        <f>IF(SUM(H25:H29)=0,"NO",SUM(H25:H29))</f>
        <v>15220.915894231444</v>
      </c>
      <c r="I24" s="1913">
        <f t="shared" ref="I24:K24" si="7">IF(SUM(I25:I30)=0,"NO",SUM(I25:I30))</f>
        <v>0.27063554227405712</v>
      </c>
      <c r="J24" s="1913">
        <f t="shared" si="7"/>
        <v>0.16784755644431873</v>
      </c>
      <c r="K24" s="3065" t="str">
        <f t="shared" si="7"/>
        <v>NO</v>
      </c>
    </row>
    <row r="25" spans="2:11" ht="18" customHeight="1" x14ac:dyDescent="0.2">
      <c r="B25" s="282" t="s">
        <v>132</v>
      </c>
      <c r="C25" s="691">
        <v>33384.920364399986</v>
      </c>
      <c r="D25" s="3077" t="s">
        <v>1814</v>
      </c>
      <c r="E25" s="1913">
        <f>IFERROR(H25*1000/$C25,"NA")</f>
        <v>73.059492918900403</v>
      </c>
      <c r="F25" s="1913">
        <f t="shared" ref="F25:G30" si="8">IFERROR(I25*1000000/$C25,"NA")</f>
        <v>1.7055364985259647</v>
      </c>
      <c r="G25" s="1913">
        <f t="shared" si="8"/>
        <v>0.95913541984047468</v>
      </c>
      <c r="H25" s="691">
        <v>2439.0853529609349</v>
      </c>
      <c r="I25" s="691">
        <v>5.6939200181866927E-2</v>
      </c>
      <c r="J25" s="691">
        <v>3.2020659610049594E-2</v>
      </c>
      <c r="K25" s="3093" t="s">
        <v>2146</v>
      </c>
    </row>
    <row r="26" spans="2:11" ht="18" customHeight="1" x14ac:dyDescent="0.2">
      <c r="B26" s="282" t="s">
        <v>133</v>
      </c>
      <c r="C26" s="691">
        <v>56250.401247842929</v>
      </c>
      <c r="D26" s="3077" t="s">
        <v>1814</v>
      </c>
      <c r="E26" s="1913">
        <f t="shared" ref="E26:E30" si="9">IFERROR(H26*1000/$C26,"NA")</f>
        <v>90.946907064807888</v>
      </c>
      <c r="F26" s="1913">
        <f t="shared" si="8"/>
        <v>0.95238095238095222</v>
      </c>
      <c r="G26" s="1913">
        <f t="shared" si="8"/>
        <v>0.70609523809523822</v>
      </c>
      <c r="H26" s="691">
        <v>5115.8000146457243</v>
      </c>
      <c r="I26" s="691">
        <v>5.3571810712231355E-2</v>
      </c>
      <c r="J26" s="691">
        <v>3.9718140462048336E-2</v>
      </c>
      <c r="K26" s="3093" t="s">
        <v>2146</v>
      </c>
    </row>
    <row r="27" spans="2:11" ht="18" customHeight="1" x14ac:dyDescent="0.2">
      <c r="B27" s="282" t="s">
        <v>134</v>
      </c>
      <c r="C27" s="691">
        <v>149109.98800000001</v>
      </c>
      <c r="D27" s="3077" t="s">
        <v>1814</v>
      </c>
      <c r="E27" s="1913">
        <f t="shared" si="9"/>
        <v>51.411918339265</v>
      </c>
      <c r="F27" s="1913">
        <f t="shared" si="8"/>
        <v>0.95727272727272716</v>
      </c>
      <c r="G27" s="1913">
        <f t="shared" si="8"/>
        <v>0.57027272727272738</v>
      </c>
      <c r="H27" s="691">
        <v>7666.0305266247851</v>
      </c>
      <c r="I27" s="691">
        <v>0.14273892487636364</v>
      </c>
      <c r="J27" s="691">
        <v>8.5033359520363658E-2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1903.0494523692444</v>
      </c>
      <c r="D30" s="3077" t="s">
        <v>1814</v>
      </c>
      <c r="E30" s="1913">
        <f t="shared" si="9"/>
        <v>93.863490888340195</v>
      </c>
      <c r="F30" s="1913">
        <f t="shared" si="8"/>
        <v>9.1356567124151979</v>
      </c>
      <c r="G30" s="1913">
        <f t="shared" si="8"/>
        <v>5.8198155797100135</v>
      </c>
      <c r="H30" s="691">
        <v>178.62686493252136</v>
      </c>
      <c r="I30" s="691">
        <v>1.7385606503595153E-2</v>
      </c>
      <c r="J30" s="691">
        <v>1.1075396851857138E-2</v>
      </c>
      <c r="K30" s="3093" t="s">
        <v>2146</v>
      </c>
    </row>
    <row r="31" spans="2:11" ht="18" customHeight="1" x14ac:dyDescent="0.2">
      <c r="B31" s="1241" t="s">
        <v>153</v>
      </c>
      <c r="C31" s="1913">
        <f>IF(SUM(C32:C37)=0,"NO",SUM(C32:C37))</f>
        <v>151517.71756134235</v>
      </c>
      <c r="D31" s="3077" t="s">
        <v>1814</v>
      </c>
      <c r="E31" s="628"/>
      <c r="F31" s="628"/>
      <c r="G31" s="628"/>
      <c r="H31" s="1913">
        <f>IF(SUM(H32:H36)=0,"NO",SUM(H32:H36))</f>
        <v>9146.7726074241727</v>
      </c>
      <c r="I31" s="1913">
        <f t="shared" ref="I31:K31" si="10">IF(SUM(I32:I37)=0,"NO",SUM(I32:I37))</f>
        <v>0.27994479685208395</v>
      </c>
      <c r="J31" s="1913">
        <f t="shared" si="10"/>
        <v>0.10485674803689207</v>
      </c>
      <c r="K31" s="3065" t="str">
        <f t="shared" si="10"/>
        <v>NO</v>
      </c>
    </row>
    <row r="32" spans="2:11" ht="18" customHeight="1" x14ac:dyDescent="0.2">
      <c r="B32" s="282" t="s">
        <v>132</v>
      </c>
      <c r="C32" s="691">
        <v>74113.085219646644</v>
      </c>
      <c r="D32" s="3077" t="s">
        <v>1814</v>
      </c>
      <c r="E32" s="1913">
        <f>IFERROR(H32*1000/$C32,"NA")</f>
        <v>68.055611047098878</v>
      </c>
      <c r="F32" s="1913">
        <f t="shared" ref="F32:G37" si="11">IFERROR(I32*1000000/$C32,"NA")</f>
        <v>2.723372697809316</v>
      </c>
      <c r="G32" s="1913">
        <f t="shared" si="11"/>
        <v>0.80098337936296904</v>
      </c>
      <c r="H32" s="691">
        <v>5043.8113012087651</v>
      </c>
      <c r="I32" s="691">
        <v>0.20183755283760083</v>
      </c>
      <c r="J32" s="691">
        <v>5.9363349454248281E-2</v>
      </c>
      <c r="K32" s="3093" t="s">
        <v>2146</v>
      </c>
    </row>
    <row r="33" spans="2:11" ht="18" customHeight="1" x14ac:dyDescent="0.2">
      <c r="B33" s="282" t="s">
        <v>133</v>
      </c>
      <c r="C33" s="691">
        <v>4859.6879999999992</v>
      </c>
      <c r="D33" s="3077" t="s">
        <v>1814</v>
      </c>
      <c r="E33" s="1913">
        <f t="shared" ref="E33:E37" si="12">IFERROR(H33*1000/$C33,"NA")</f>
        <v>84.931529317161704</v>
      </c>
      <c r="F33" s="1913">
        <f t="shared" si="11"/>
        <v>0.88950847011068157</v>
      </c>
      <c r="G33" s="1913">
        <f t="shared" si="11"/>
        <v>0.64082028350477682</v>
      </c>
      <c r="H33" s="691">
        <v>412.7407338442589</v>
      </c>
      <c r="I33" s="691">
        <v>4.3227336380952377E-3</v>
      </c>
      <c r="J33" s="691">
        <v>3.1141866419047617E-3</v>
      </c>
      <c r="K33" s="3093" t="s">
        <v>2146</v>
      </c>
    </row>
    <row r="34" spans="2:11" ht="18" customHeight="1" x14ac:dyDescent="0.2">
      <c r="B34" s="282" t="s">
        <v>134</v>
      </c>
      <c r="C34" s="691">
        <v>71777.507947484977</v>
      </c>
      <c r="D34" s="3077" t="s">
        <v>1814</v>
      </c>
      <c r="E34" s="1913">
        <f t="shared" si="12"/>
        <v>51.411934990429693</v>
      </c>
      <c r="F34" s="1913">
        <f t="shared" si="11"/>
        <v>0.95087863047477728</v>
      </c>
      <c r="G34" s="1913">
        <f t="shared" si="11"/>
        <v>0.53718018877448237</v>
      </c>
      <c r="H34" s="691">
        <v>3690.2205723711481</v>
      </c>
      <c r="I34" s="691">
        <v>6.8251698455996962E-2</v>
      </c>
      <c r="J34" s="691">
        <v>3.8557455268991889E-2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767.43639421073112</v>
      </c>
      <c r="D37" s="3077" t="s">
        <v>1814</v>
      </c>
      <c r="E37" s="1913">
        <f t="shared" si="12"/>
        <v>88.201235418641687</v>
      </c>
      <c r="F37" s="1913">
        <f t="shared" si="11"/>
        <v>7.2094729441142702</v>
      </c>
      <c r="G37" s="1913">
        <f t="shared" si="11"/>
        <v>4.9799002244057178</v>
      </c>
      <c r="H37" s="691">
        <v>67.68883807461421</v>
      </c>
      <c r="I37" s="691">
        <v>5.5328119203908793E-3</v>
      </c>
      <c r="J37" s="691">
        <v>3.8217566717471349E-3</v>
      </c>
      <c r="K37" s="3093" t="s">
        <v>2146</v>
      </c>
    </row>
    <row r="38" spans="2:11" ht="18" customHeight="1" x14ac:dyDescent="0.2">
      <c r="B38" s="1241" t="s">
        <v>154</v>
      </c>
      <c r="C38" s="1913">
        <f>IF(SUM(C39:C44)=0,"NO",SUM(C39:C44))</f>
        <v>36476.757040000004</v>
      </c>
      <c r="D38" s="3077" t="s">
        <v>1814</v>
      </c>
      <c r="E38" s="628"/>
      <c r="F38" s="628"/>
      <c r="G38" s="628"/>
      <c r="H38" s="1913">
        <f>IF(SUM(H39:H43)=0,"NO",SUM(H39:H43))</f>
        <v>957.39519302849635</v>
      </c>
      <c r="I38" s="1913">
        <f t="shared" ref="I38:K38" si="13">IF(SUM(I39:I44)=0,"NO",SUM(I39:I44))</f>
        <v>0.19832977649246755</v>
      </c>
      <c r="J38" s="1913">
        <f t="shared" si="13"/>
        <v>0.13104922699454236</v>
      </c>
      <c r="K38" s="3065" t="str">
        <f t="shared" si="13"/>
        <v>NO</v>
      </c>
    </row>
    <row r="39" spans="2:11" ht="18" customHeight="1" x14ac:dyDescent="0.2">
      <c r="B39" s="282" t="s">
        <v>132</v>
      </c>
      <c r="C39" s="691">
        <v>533.97203999999999</v>
      </c>
      <c r="D39" s="3077" t="s">
        <v>1814</v>
      </c>
      <c r="E39" s="1913">
        <f>IFERROR(H39*1000/$C39,"NA")</f>
        <v>67.173097384339343</v>
      </c>
      <c r="F39" s="1913">
        <f t="shared" ref="F39:G44" si="14">IFERROR(I39*1000000/$C39,"NA")</f>
        <v>0.95979024121486389</v>
      </c>
      <c r="G39" s="1913">
        <f t="shared" si="14"/>
        <v>1.1974200079586439</v>
      </c>
      <c r="H39" s="691">
        <v>35.868555843434343</v>
      </c>
      <c r="I39" s="691">
        <v>5.1250115307359292E-4</v>
      </c>
      <c r="J39" s="691">
        <v>6.3938880438649335E-4</v>
      </c>
      <c r="K39" s="3093" t="s">
        <v>2146</v>
      </c>
    </row>
    <row r="40" spans="2:11" ht="18" customHeight="1" x14ac:dyDescent="0.2">
      <c r="B40" s="282" t="s">
        <v>133</v>
      </c>
      <c r="C40" s="691">
        <v>3373.3309999999997</v>
      </c>
      <c r="D40" s="3077" t="s">
        <v>1814</v>
      </c>
      <c r="E40" s="1913">
        <f t="shared" ref="E40:E44" si="15">IFERROR(H40*1000/$C40,"NA")</f>
        <v>89.806750514550743</v>
      </c>
      <c r="F40" s="1913">
        <f t="shared" si="14"/>
        <v>0.9400538405228428</v>
      </c>
      <c r="G40" s="1913">
        <f t="shared" si="14"/>
        <v>0.65844859209459361</v>
      </c>
      <c r="H40" s="691">
        <v>302.94789551999997</v>
      </c>
      <c r="I40" s="691">
        <v>3.1711127619047617E-3</v>
      </c>
      <c r="J40" s="691">
        <v>2.2211650476190474E-3</v>
      </c>
      <c r="K40" s="3093" t="s">
        <v>2146</v>
      </c>
    </row>
    <row r="41" spans="2:11" ht="18" customHeight="1" x14ac:dyDescent="0.2">
      <c r="B41" s="282" t="s">
        <v>134</v>
      </c>
      <c r="C41" s="691">
        <v>12031.816000000003</v>
      </c>
      <c r="D41" s="3077" t="s">
        <v>1814</v>
      </c>
      <c r="E41" s="1913">
        <f t="shared" si="15"/>
        <v>51.411918339264986</v>
      </c>
      <c r="F41" s="1913">
        <f t="shared" si="14"/>
        <v>0.91363636363636347</v>
      </c>
      <c r="G41" s="1913">
        <f t="shared" si="14"/>
        <v>0.86863636363636365</v>
      </c>
      <c r="H41" s="691">
        <v>618.57874166506201</v>
      </c>
      <c r="I41" s="691">
        <v>1.0992704618181819E-2</v>
      </c>
      <c r="J41" s="691">
        <v>1.045127289818182E-2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20537.638000000003</v>
      </c>
      <c r="D44" s="3076" t="s">
        <v>1814</v>
      </c>
      <c r="E44" s="1913">
        <f t="shared" si="15"/>
        <v>93.391398549852397</v>
      </c>
      <c r="F44" s="1913">
        <f t="shared" si="14"/>
        <v>8.9422872269589799</v>
      </c>
      <c r="G44" s="1913">
        <f t="shared" si="14"/>
        <v>5.7327624649122244</v>
      </c>
      <c r="H44" s="691">
        <v>1918.0387357305938</v>
      </c>
      <c r="I44" s="691">
        <v>0.18365345795930738</v>
      </c>
      <c r="J44" s="691">
        <v>0.11773740024435499</v>
      </c>
      <c r="K44" s="3093" t="s">
        <v>2146</v>
      </c>
    </row>
    <row r="45" spans="2:11" ht="18" customHeight="1" x14ac:dyDescent="0.2">
      <c r="B45" s="1241" t="s">
        <v>155</v>
      </c>
      <c r="C45" s="1913">
        <f>IF(SUM(C46:C51)=0,"NO",SUM(C46:C51))</f>
        <v>128352.15935283867</v>
      </c>
      <c r="D45" s="3076" t="s">
        <v>1814</v>
      </c>
      <c r="E45" s="628"/>
      <c r="F45" s="628"/>
      <c r="G45" s="628"/>
      <c r="H45" s="1913">
        <f>IF(SUM(H46:H50)=0,"NO",SUM(H46:H50))</f>
        <v>2835.1928317492066</v>
      </c>
      <c r="I45" s="1913">
        <f t="shared" ref="I45:K45" si="16">IF(SUM(I46:I51)=0,"NO",SUM(I46:I51))</f>
        <v>0.81342958337079063</v>
      </c>
      <c r="J45" s="1913">
        <f t="shared" si="16"/>
        <v>0.5183074117645875</v>
      </c>
      <c r="K45" s="3065" t="str">
        <f t="shared" si="16"/>
        <v>NO</v>
      </c>
    </row>
    <row r="46" spans="2:11" ht="18" customHeight="1" x14ac:dyDescent="0.2">
      <c r="B46" s="282" t="s">
        <v>132</v>
      </c>
      <c r="C46" s="691">
        <v>4036.861050710419</v>
      </c>
      <c r="D46" s="3076" t="s">
        <v>1814</v>
      </c>
      <c r="E46" s="1913">
        <f>IFERROR(H46*1000/$C46,"NA")</f>
        <v>67.233832519691603</v>
      </c>
      <c r="F46" s="1913">
        <f t="shared" ref="F46:G51" si="17">IFERROR(I46*1000000/$C46,"NA")</f>
        <v>7.7617865979061644</v>
      </c>
      <c r="G46" s="1913">
        <f t="shared" si="17"/>
        <v>2.5469341172816686</v>
      </c>
      <c r="H46" s="691">
        <v>271.41363978873062</v>
      </c>
      <c r="I46" s="691">
        <v>3.1333254001013527E-2</v>
      </c>
      <c r="J46" s="691">
        <v>1.0281619136779892E-2</v>
      </c>
      <c r="K46" s="3093" t="s">
        <v>2146</v>
      </c>
    </row>
    <row r="47" spans="2:11" ht="18" customHeight="1" x14ac:dyDescent="0.2">
      <c r="B47" s="282" t="s">
        <v>133</v>
      </c>
      <c r="C47" s="691">
        <v>9065.2939999999999</v>
      </c>
      <c r="D47" s="3076" t="s">
        <v>1814</v>
      </c>
      <c r="E47" s="1913">
        <f t="shared" ref="E47:E51" si="18">IFERROR(H47*1000/$C47,"NA")</f>
        <v>90.949024901513567</v>
      </c>
      <c r="F47" s="1913">
        <f t="shared" si="17"/>
        <v>0.95238095238095211</v>
      </c>
      <c r="G47" s="1913">
        <f t="shared" si="17"/>
        <v>0.67523809523809519</v>
      </c>
      <c r="H47" s="691">
        <v>824.47964974554156</v>
      </c>
      <c r="I47" s="691">
        <v>8.6336133333333315E-3</v>
      </c>
      <c r="J47" s="691">
        <v>6.1212318533333324E-3</v>
      </c>
      <c r="K47" s="3093" t="s">
        <v>2146</v>
      </c>
    </row>
    <row r="48" spans="2:11" ht="18" customHeight="1" x14ac:dyDescent="0.2">
      <c r="B48" s="282" t="s">
        <v>134</v>
      </c>
      <c r="C48" s="691">
        <v>33830.668031824309</v>
      </c>
      <c r="D48" s="3076" t="s">
        <v>1814</v>
      </c>
      <c r="E48" s="1913">
        <f t="shared" si="18"/>
        <v>51.411918339265</v>
      </c>
      <c r="F48" s="1913">
        <f t="shared" si="17"/>
        <v>0.91409090909090907</v>
      </c>
      <c r="G48" s="1913">
        <f t="shared" si="17"/>
        <v>0.86459090909090885</v>
      </c>
      <c r="H48" s="691">
        <v>1739.2995422149343</v>
      </c>
      <c r="I48" s="691">
        <v>3.0924306096363038E-2</v>
      </c>
      <c r="J48" s="691">
        <v>2.9249688028787729E-2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81419.336270303946</v>
      </c>
      <c r="D51" s="3076" t="s">
        <v>1814</v>
      </c>
      <c r="E51" s="1913">
        <f t="shared" si="18"/>
        <v>94.721056684724701</v>
      </c>
      <c r="F51" s="1913">
        <f t="shared" si="17"/>
        <v>9.1199270831062584</v>
      </c>
      <c r="G51" s="1913">
        <f t="shared" si="17"/>
        <v>5.8051919162853434</v>
      </c>
      <c r="H51" s="691">
        <v>7712.1255660921224</v>
      </c>
      <c r="I51" s="691">
        <v>0.74253840994008069</v>
      </c>
      <c r="J51" s="691">
        <v>0.47265487274568652</v>
      </c>
      <c r="K51" s="3093" t="s">
        <v>2146</v>
      </c>
    </row>
    <row r="52" spans="2:11" ht="18" customHeight="1" x14ac:dyDescent="0.2">
      <c r="B52" s="1241" t="s">
        <v>156</v>
      </c>
      <c r="C52" s="3094">
        <f>IF(SUM(C53:C58)=0,"NO",SUM(C53:C58))</f>
        <v>85970.61519361267</v>
      </c>
      <c r="D52" s="3076" t="s">
        <v>1814</v>
      </c>
      <c r="E52" s="628"/>
      <c r="F52" s="628"/>
      <c r="G52" s="628"/>
      <c r="H52" s="1913">
        <f>IF(SUM(H53:H57)=0,"NO",SUM(H53:H57))</f>
        <v>5283.012068012391</v>
      </c>
      <c r="I52" s="1913">
        <f t="shared" ref="I52:K52" si="19">IF(SUM(I53:I58)=0,"NO",SUM(I53:I58))</f>
        <v>0.28788469904867753</v>
      </c>
      <c r="J52" s="1913">
        <f t="shared" si="19"/>
        <v>4.7727641045816768E-2</v>
      </c>
      <c r="K52" s="3065" t="str">
        <f t="shared" si="19"/>
        <v>NO</v>
      </c>
    </row>
    <row r="53" spans="2:11" ht="18" customHeight="1" x14ac:dyDescent="0.2">
      <c r="B53" s="282" t="s">
        <v>132</v>
      </c>
      <c r="C53" s="2147">
        <v>6748.2549990313109</v>
      </c>
      <c r="D53" s="3076" t="s">
        <v>1814</v>
      </c>
      <c r="E53" s="1913">
        <f>IFERROR(H53*1000/$C53,"NA")</f>
        <v>63.91049202017232</v>
      </c>
      <c r="F53" s="1913">
        <f t="shared" ref="F53:G58" si="20">IFERROR(I53*1000000/$C53,"NA")</f>
        <v>28.928105457326897</v>
      </c>
      <c r="G53" s="1913">
        <f t="shared" si="20"/>
        <v>1.801190572696074</v>
      </c>
      <c r="H53" s="691">
        <v>431.28429726567856</v>
      </c>
      <c r="I53" s="691">
        <v>0.19521423226491116</v>
      </c>
      <c r="J53" s="691">
        <v>1.2154893286404352E-2</v>
      </c>
      <c r="K53" s="3093" t="s">
        <v>2146</v>
      </c>
    </row>
    <row r="54" spans="2:11" ht="18" customHeight="1" x14ac:dyDescent="0.2">
      <c r="B54" s="282" t="s">
        <v>133</v>
      </c>
      <c r="C54" s="691">
        <v>22860.261226236449</v>
      </c>
      <c r="D54" s="3076" t="s">
        <v>1814</v>
      </c>
      <c r="E54" s="1913">
        <f t="shared" ref="E54:E58" si="21">IFERROR(H54*1000/$C54,"NA")</f>
        <v>89.652109600178662</v>
      </c>
      <c r="F54" s="1913">
        <f t="shared" si="20"/>
        <v>0.94651875329127255</v>
      </c>
      <c r="G54" s="1913">
        <f t="shared" si="20"/>
        <v>0.81908682589530324</v>
      </c>
      <c r="H54" s="691">
        <v>2049.4706449432647</v>
      </c>
      <c r="I54" s="691">
        <v>2.1637665955770144E-2</v>
      </c>
      <c r="J54" s="691">
        <v>1.8724538806935486E-2</v>
      </c>
      <c r="K54" s="3093" t="s">
        <v>2146</v>
      </c>
    </row>
    <row r="55" spans="2:11" ht="18" customHeight="1" x14ac:dyDescent="0.2">
      <c r="B55" s="282" t="s">
        <v>134</v>
      </c>
      <c r="C55" s="691">
        <v>54505.982587762534</v>
      </c>
      <c r="D55" s="3076" t="s">
        <v>1814</v>
      </c>
      <c r="E55" s="1913">
        <f t="shared" si="21"/>
        <v>51.411918339265</v>
      </c>
      <c r="F55" s="1913">
        <f t="shared" si="20"/>
        <v>0.99825816843741622</v>
      </c>
      <c r="G55" s="1913">
        <f t="shared" si="20"/>
        <v>0.11550230090699623</v>
      </c>
      <c r="H55" s="691">
        <v>2802.2571258034473</v>
      </c>
      <c r="I55" s="691">
        <v>5.4411042346941524E-2</v>
      </c>
      <c r="J55" s="691">
        <v>6.2955664020832459E-3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1856.1163805823778</v>
      </c>
      <c r="D58" s="3076" t="s">
        <v>1814</v>
      </c>
      <c r="E58" s="3095">
        <f t="shared" si="21"/>
        <v>93.060824456101926</v>
      </c>
      <c r="F58" s="3095">
        <f t="shared" si="20"/>
        <v>8.9551273050235665</v>
      </c>
      <c r="G58" s="3095">
        <f t="shared" si="20"/>
        <v>5.6853345300916258</v>
      </c>
      <c r="H58" s="2190">
        <v>172.73172066347195</v>
      </c>
      <c r="I58" s="691">
        <v>1.6621758481054766E-2</v>
      </c>
      <c r="J58" s="691">
        <v>1.0552642550393683E-2</v>
      </c>
      <c r="K58" s="3093" t="s">
        <v>2146</v>
      </c>
    </row>
    <row r="59" spans="2:11" ht="18" customHeight="1" x14ac:dyDescent="0.2">
      <c r="B59" s="1241" t="s">
        <v>157</v>
      </c>
      <c r="C59" s="3094">
        <f>IF(SUM(C61,C68,C75,C82,C89,C96,C103,C112)=0,"NO",SUM(C61,C68,C75,C82,C89,C96,C103,C112))</f>
        <v>161250.61102631059</v>
      </c>
      <c r="D59" s="3076" t="s">
        <v>1814</v>
      </c>
      <c r="E59" s="1914"/>
      <c r="F59" s="1914"/>
      <c r="G59" s="1914"/>
      <c r="H59" s="1913">
        <f>IF(SUM(H61,H68,H75,H82,H89,H96,H103,H112)=0,"NO",SUM(H61,H68,H75,H82,H89,H96,H103,H112))</f>
        <v>10907.84564781731</v>
      </c>
      <c r="I59" s="1913">
        <f>IF(SUM(I61,I68,I75,I82,I89,I96,I103,I112)=0,"NO",SUM(I61,I68,I75,I82,I89,I96,I103,I112))</f>
        <v>0.56905291221633025</v>
      </c>
      <c r="J59" s="1913">
        <f>IF(SUM(J61,J68,J75,J82,J89,J96,J103,J112)=0,"NO",SUM(J61,J68,J75,J82,J89,J96,J103,J112))</f>
        <v>0.48849870138190477</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4925.725427043817</v>
      </c>
      <c r="D61" s="3076" t="s">
        <v>1814</v>
      </c>
      <c r="E61" s="628"/>
      <c r="F61" s="628"/>
      <c r="G61" s="628"/>
      <c r="H61" s="1913">
        <f>IF(SUM(H62:H66)=0,"NO",SUM(H62:H66))</f>
        <v>272.56066574411807</v>
      </c>
      <c r="I61" s="1913">
        <f t="shared" ref="I61:K61" si="22">IF(SUM(I62:I67)=0,"NO",SUM(I62:I67))</f>
        <v>4.2298568702542068E-2</v>
      </c>
      <c r="J61" s="1913">
        <f t="shared" si="22"/>
        <v>6.586191345309275E-3</v>
      </c>
      <c r="K61" s="3065" t="str">
        <f t="shared" si="22"/>
        <v>NO</v>
      </c>
    </row>
    <row r="62" spans="2:11" ht="18" customHeight="1" x14ac:dyDescent="0.2">
      <c r="B62" s="158" t="s">
        <v>132</v>
      </c>
      <c r="C62" s="691">
        <v>1433.0710685122772</v>
      </c>
      <c r="D62" s="3076" t="s">
        <v>1814</v>
      </c>
      <c r="E62" s="1913">
        <f>IFERROR(H62*1000/$C62,"NA")</f>
        <v>64.904742231914369</v>
      </c>
      <c r="F62" s="1913">
        <f t="shared" ref="F62:G67" si="23">IFERROR(I62*1000000/$C62,"NA")</f>
        <v>27.249019531731655</v>
      </c>
      <c r="G62" s="1913">
        <f t="shared" si="23"/>
        <v>2.6144836627965229</v>
      </c>
      <c r="H62" s="691">
        <v>93.013108301803456</v>
      </c>
      <c r="I62" s="691">
        <v>3.9049781536250591E-2</v>
      </c>
      <c r="J62" s="691">
        <v>3.7467408962517054E-3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3492.3333585315399</v>
      </c>
      <c r="D64" s="3076" t="s">
        <v>1814</v>
      </c>
      <c r="E64" s="1913">
        <f t="shared" si="24"/>
        <v>51.411918339265</v>
      </c>
      <c r="F64" s="1913">
        <f t="shared" si="23"/>
        <v>0.92999999999999994</v>
      </c>
      <c r="G64" s="1913">
        <f t="shared" si="23"/>
        <v>0.81299999999999972</v>
      </c>
      <c r="H64" s="691">
        <v>179.5475574423146</v>
      </c>
      <c r="I64" s="691">
        <v>3.2478700234343321E-3</v>
      </c>
      <c r="J64" s="691">
        <v>2.8392670204861409E-3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v>0.32100000000000001</v>
      </c>
      <c r="D67" s="3076" t="s">
        <v>1814</v>
      </c>
      <c r="E67" s="1913">
        <f t="shared" si="24"/>
        <v>67.260000000000005</v>
      </c>
      <c r="F67" s="1913">
        <f t="shared" si="23"/>
        <v>2.8571428571428568</v>
      </c>
      <c r="G67" s="1913">
        <f t="shared" si="23"/>
        <v>0.5714285714285714</v>
      </c>
      <c r="H67" s="691">
        <v>2.1590460000000002E-2</v>
      </c>
      <c r="I67" s="691">
        <v>9.1714285714285709E-7</v>
      </c>
      <c r="J67" s="691">
        <v>1.8342857142857141E-7</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122464.48356000001</v>
      </c>
      <c r="D75" s="3077" t="s">
        <v>1814</v>
      </c>
      <c r="E75" s="628"/>
      <c r="F75" s="628"/>
      <c r="G75" s="628"/>
      <c r="H75" s="1913">
        <f>IF(SUM(H76:H80)=0,"NO",SUM(H76:H80))</f>
        <v>8452.6327218928236</v>
      </c>
      <c r="I75" s="1913">
        <f t="shared" ref="I75:K75" si="28">IF(SUM(I76:I81)=0,"NO",SUM(I76:I81))</f>
        <v>0.40543606779479835</v>
      </c>
      <c r="J75" s="1913">
        <f t="shared" si="28"/>
        <v>0.39377016869572778</v>
      </c>
      <c r="K75" s="3065" t="str">
        <f t="shared" si="28"/>
        <v>NO</v>
      </c>
    </row>
    <row r="76" spans="2:11" ht="18" customHeight="1" x14ac:dyDescent="0.2">
      <c r="B76" s="158" t="s">
        <v>132</v>
      </c>
      <c r="C76" s="691">
        <v>110551.46600000003</v>
      </c>
      <c r="D76" s="3077" t="s">
        <v>1814</v>
      </c>
      <c r="E76" s="1913">
        <f>IFERROR(H76*1000/$C76,"NA")</f>
        <v>69.692994934671816</v>
      </c>
      <c r="F76" s="1913">
        <f t="shared" ref="F76:G81" si="29">IFERROR(I76*1000000/$C76,"NA")</f>
        <v>3.4858427019812308</v>
      </c>
      <c r="G76" s="1913">
        <f t="shared" si="29"/>
        <v>3.4701310392091838</v>
      </c>
      <c r="H76" s="691">
        <v>7704.6627599585454</v>
      </c>
      <c r="I76" s="691">
        <v>0.38536502094942626</v>
      </c>
      <c r="J76" s="691">
        <v>0.38362807359667883</v>
      </c>
      <c r="K76" s="3093" t="s">
        <v>2146</v>
      </c>
    </row>
    <row r="77" spans="2:11" ht="18" customHeight="1" x14ac:dyDescent="0.2">
      <c r="B77" s="158" t="s">
        <v>133</v>
      </c>
      <c r="C77" s="691">
        <v>3401.4830000000002</v>
      </c>
      <c r="D77" s="3077" t="s">
        <v>1814</v>
      </c>
      <c r="E77" s="1913">
        <f t="shared" ref="E77:E81" si="30">IFERROR(H77*1000/$C77,"NA")</f>
        <v>91.40239536901673</v>
      </c>
      <c r="F77" s="1913">
        <f t="shared" si="29"/>
        <v>0.95238095238095255</v>
      </c>
      <c r="G77" s="1913">
        <f t="shared" si="29"/>
        <v>0.75923809523809527</v>
      </c>
      <c r="H77" s="691">
        <v>310.9036940069891</v>
      </c>
      <c r="I77" s="691">
        <v>3.2395076190476196E-3</v>
      </c>
      <c r="J77" s="691">
        <v>2.5825354739047622E-3</v>
      </c>
      <c r="K77" s="3093" t="s">
        <v>2146</v>
      </c>
    </row>
    <row r="78" spans="2:11" ht="18" customHeight="1" x14ac:dyDescent="0.2">
      <c r="B78" s="158" t="s">
        <v>134</v>
      </c>
      <c r="C78" s="691">
        <v>8501.2635599999994</v>
      </c>
      <c r="D78" s="3077" t="s">
        <v>1814</v>
      </c>
      <c r="E78" s="1913">
        <f t="shared" si="30"/>
        <v>51.411918339265007</v>
      </c>
      <c r="F78" s="1913">
        <f t="shared" si="29"/>
        <v>1.9754545454545458</v>
      </c>
      <c r="G78" s="1913">
        <f t="shared" si="29"/>
        <v>0.88481818181818184</v>
      </c>
      <c r="H78" s="691">
        <v>437.06626792728929</v>
      </c>
      <c r="I78" s="691">
        <v>1.6793859741709095E-2</v>
      </c>
      <c r="J78" s="691">
        <v>7.522072566316363E-3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10.271000000000001</v>
      </c>
      <c r="D81" s="3076" t="s">
        <v>1814</v>
      </c>
      <c r="E81" s="1913">
        <f t="shared" si="30"/>
        <v>68.213017696612283</v>
      </c>
      <c r="F81" s="1913">
        <f t="shared" si="29"/>
        <v>3.6685312642765666</v>
      </c>
      <c r="G81" s="1913">
        <f t="shared" si="29"/>
        <v>3.6497964003348096</v>
      </c>
      <c r="H81" s="691">
        <v>0.70061590476190472</v>
      </c>
      <c r="I81" s="691">
        <v>3.7679484615384615E-5</v>
      </c>
      <c r="J81" s="691">
        <v>3.7487058827838829E-5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24388.33686323477</v>
      </c>
      <c r="D89" s="3077" t="s">
        <v>1814</v>
      </c>
      <c r="E89" s="628"/>
      <c r="F89" s="628"/>
      <c r="G89" s="628"/>
      <c r="H89" s="1913">
        <f>IF(SUM(H90:H94)=0,"NO",SUM(H90:H94))</f>
        <v>1648.6139715412585</v>
      </c>
      <c r="I89" s="1913">
        <f t="shared" ref="I89:K89" si="36">IF(SUM(I90:I95)=0,"NO",SUM(I90:I95))</f>
        <v>8.1554331181962036E-2</v>
      </c>
      <c r="J89" s="1913">
        <f t="shared" si="36"/>
        <v>7.9092952111457754E-2</v>
      </c>
      <c r="K89" s="3065" t="str">
        <f t="shared" si="36"/>
        <v>NO</v>
      </c>
    </row>
    <row r="90" spans="2:11" ht="18" customHeight="1" x14ac:dyDescent="0.2">
      <c r="B90" s="158" t="s">
        <v>132</v>
      </c>
      <c r="C90" s="691">
        <v>21419.731439685002</v>
      </c>
      <c r="D90" s="3077" t="s">
        <v>1814</v>
      </c>
      <c r="E90" s="1913">
        <f>IFERROR(H90*1000/$C90,"NA")</f>
        <v>69.837040062012207</v>
      </c>
      <c r="F90" s="1913">
        <f t="shared" ref="F90:G95" si="37">IFERROR(I90*1000000/$C90,"NA")</f>
        <v>3.6807740433264238</v>
      </c>
      <c r="G90" s="1913">
        <f t="shared" si="37"/>
        <v>3.565862281830479</v>
      </c>
      <c r="H90" s="691">
        <v>1495.890642670824</v>
      </c>
      <c r="I90" s="691">
        <v>7.8841191498215488E-2</v>
      </c>
      <c r="J90" s="691">
        <v>7.6379812427711205E-2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2963.4694235497718</v>
      </c>
      <c r="D92" s="3077" t="s">
        <v>1814</v>
      </c>
      <c r="E92" s="1913">
        <f t="shared" si="38"/>
        <v>51.5353145393671</v>
      </c>
      <c r="F92" s="1913">
        <f t="shared" si="37"/>
        <v>0.90909090909090906</v>
      </c>
      <c r="G92" s="1913">
        <f t="shared" si="37"/>
        <v>0.90909090909090906</v>
      </c>
      <c r="H92" s="691">
        <v>152.72332887043441</v>
      </c>
      <c r="I92" s="691">
        <v>2.6940631123179744E-3</v>
      </c>
      <c r="J92" s="691">
        <v>2.6940631123179744E-3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v>5.1360000000000001</v>
      </c>
      <c r="D95" s="3076" t="s">
        <v>1814</v>
      </c>
      <c r="E95" s="1913">
        <f t="shared" si="38"/>
        <v>68.109668109668092</v>
      </c>
      <c r="F95" s="1913">
        <f t="shared" si="37"/>
        <v>3.714285714285714</v>
      </c>
      <c r="G95" s="1913">
        <f t="shared" si="37"/>
        <v>3.714285714285714</v>
      </c>
      <c r="H95" s="691">
        <v>0.34981125541125535</v>
      </c>
      <c r="I95" s="691">
        <v>1.9076571428571428E-5</v>
      </c>
      <c r="J95" s="691">
        <v>1.9076571428571428E-5</v>
      </c>
      <c r="K95" s="3093" t="s">
        <v>2146</v>
      </c>
    </row>
    <row r="96" spans="2:11" ht="18" customHeight="1" x14ac:dyDescent="0.2">
      <c r="B96" s="1242" t="s">
        <v>165</v>
      </c>
      <c r="C96" s="1913">
        <f>IF(SUM(C97:C102)=0,"NO",SUM(C97:C102))</f>
        <v>6516.7708332169586</v>
      </c>
      <c r="D96" s="3076" t="s">
        <v>1814</v>
      </c>
      <c r="E96" s="628"/>
      <c r="F96" s="628"/>
      <c r="G96" s="628"/>
      <c r="H96" s="1913">
        <f>IF(SUM(H97:H101)=0,"NO",SUM(H97:H101))</f>
        <v>373.34346275612097</v>
      </c>
      <c r="I96" s="1913">
        <f t="shared" ref="I96:K96" si="42">IF(SUM(I97:I102)=0,"NO",SUM(I97:I102))</f>
        <v>5.8955125669174846E-3</v>
      </c>
      <c r="J96" s="1913">
        <f t="shared" si="42"/>
        <v>5.7787169649602234E-3</v>
      </c>
      <c r="K96" s="3065" t="str">
        <f t="shared" si="42"/>
        <v>NO</v>
      </c>
    </row>
    <row r="97" spans="2:11" ht="18" customHeight="1" x14ac:dyDescent="0.2">
      <c r="B97" s="158" t="s">
        <v>132</v>
      </c>
      <c r="C97" s="691">
        <v>907.70046341710133</v>
      </c>
      <c r="D97" s="3076" t="s">
        <v>1814</v>
      </c>
      <c r="E97" s="1913">
        <f>IFERROR(H97*1000/$C97,"NA")</f>
        <v>67.133484084780505</v>
      </c>
      <c r="F97" s="1913">
        <f t="shared" ref="F97:G102" si="43">IFERROR(I97*1000000/$C97,"NA")</f>
        <v>0.80848591496823019</v>
      </c>
      <c r="G97" s="1913">
        <f t="shared" si="43"/>
        <v>1.2665952977897166</v>
      </c>
      <c r="H97" s="691">
        <v>60.937094614559868</v>
      </c>
      <c r="I97" s="691">
        <v>7.3386303968286178E-4</v>
      </c>
      <c r="J97" s="691">
        <v>1.1496891387656472E-3</v>
      </c>
      <c r="K97" s="3093" t="s">
        <v>2146</v>
      </c>
    </row>
    <row r="98" spans="2:11" ht="18" customHeight="1" x14ac:dyDescent="0.2">
      <c r="B98" s="158" t="s">
        <v>133</v>
      </c>
      <c r="C98" s="691">
        <v>602.52703268796824</v>
      </c>
      <c r="D98" s="3076" t="s">
        <v>1814</v>
      </c>
      <c r="E98" s="1913">
        <f t="shared" ref="E98:E102" si="44">IFERROR(H98*1000/$C98,"NA")</f>
        <v>91.299423839231608</v>
      </c>
      <c r="F98" s="1913">
        <f t="shared" si="43"/>
        <v>0.95238095238095222</v>
      </c>
      <c r="G98" s="1913">
        <f t="shared" si="43"/>
        <v>0.66666666666666663</v>
      </c>
      <c r="H98" s="691">
        <v>55.01037093197337</v>
      </c>
      <c r="I98" s="691">
        <v>5.738352692266364E-4</v>
      </c>
      <c r="J98" s="691">
        <v>4.0168468845864548E-4</v>
      </c>
      <c r="K98" s="3093" t="s">
        <v>2146</v>
      </c>
    </row>
    <row r="99" spans="2:11" ht="18" customHeight="1" x14ac:dyDescent="0.2">
      <c r="B99" s="158" t="s">
        <v>134</v>
      </c>
      <c r="C99" s="691">
        <v>5006.5433371118888</v>
      </c>
      <c r="D99" s="3076" t="s">
        <v>1814</v>
      </c>
      <c r="E99" s="1913">
        <f t="shared" si="44"/>
        <v>51.411918339265007</v>
      </c>
      <c r="F99" s="1913">
        <f t="shared" si="43"/>
        <v>0.9163636363636366</v>
      </c>
      <c r="G99" s="1913">
        <f t="shared" si="43"/>
        <v>0.84436363636363676</v>
      </c>
      <c r="H99" s="691">
        <v>257.39599720958773</v>
      </c>
      <c r="I99" s="691">
        <v>4.5878142580079865E-3</v>
      </c>
      <c r="J99" s="691">
        <v>4.2273431377359309E-3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2955.2943428150656</v>
      </c>
      <c r="D112" s="3076" t="s">
        <v>1814</v>
      </c>
      <c r="E112" s="628"/>
      <c r="F112" s="628"/>
      <c r="G112" s="628"/>
      <c r="H112" s="1913">
        <f>H113</f>
        <v>160.6948258829872</v>
      </c>
      <c r="I112" s="1913">
        <f>I113</f>
        <v>3.3868431970110378E-2</v>
      </c>
      <c r="J112" s="1913">
        <f>J113</f>
        <v>3.270672264449668E-3</v>
      </c>
      <c r="K112" s="3065" t="str">
        <f>K113</f>
        <v>NO</v>
      </c>
    </row>
    <row r="113" spans="2:11" ht="18" customHeight="1" x14ac:dyDescent="0.2">
      <c r="B113" s="3090" t="s">
        <v>2259</v>
      </c>
      <c r="C113" s="3099">
        <f>IF(SUM(C114:C119)=0,"NO",SUM(C114:C119))</f>
        <v>2955.2943428150656</v>
      </c>
      <c r="D113" s="3099" t="s">
        <v>1814</v>
      </c>
      <c r="E113" s="628"/>
      <c r="F113" s="628"/>
      <c r="G113" s="628"/>
      <c r="H113" s="3099">
        <f>IF(SUM(H114:H118)=0,"NO",SUM(H114:H118))</f>
        <v>160.6948258829872</v>
      </c>
      <c r="I113" s="3099">
        <f t="shared" ref="I113" si="51">IF(SUM(I114:I119)=0,"NO",SUM(I114:I119))</f>
        <v>3.3868431970110378E-2</v>
      </c>
      <c r="J113" s="3099">
        <f t="shared" ref="J113" si="52">IF(SUM(J114:J119)=0,"NO",SUM(J114:J119))</f>
        <v>3.270672264449668E-3</v>
      </c>
      <c r="K113" s="3100" t="str">
        <f t="shared" ref="K113" si="53">IF(SUM(K114:K119)=0,"NO",SUM(K114:K119))</f>
        <v>NO</v>
      </c>
    </row>
    <row r="114" spans="2:11" ht="18" customHeight="1" x14ac:dyDescent="0.2">
      <c r="B114" s="158" t="s">
        <v>132</v>
      </c>
      <c r="C114" s="691">
        <v>837.52601855091143</v>
      </c>
      <c r="D114" s="3076" t="s">
        <v>1814</v>
      </c>
      <c r="E114" s="1913">
        <f>IFERROR(H114*1000/$C114,"NA")</f>
        <v>61.841432917076602</v>
      </c>
      <c r="F114" s="1913">
        <f t="shared" ref="F114:G119" si="54">IFERROR(I114*1000000/$C114,"NA")</f>
        <v>38.13488449681887</v>
      </c>
      <c r="G114" s="1913">
        <f t="shared" si="54"/>
        <v>1.6184433240361595</v>
      </c>
      <c r="H114" s="691">
        <v>51.793809092522444</v>
      </c>
      <c r="I114" s="691">
        <v>3.1938957980519586E-2</v>
      </c>
      <c r="J114" s="691">
        <v>1.3554883934303072E-3</v>
      </c>
      <c r="K114" s="3093" t="s">
        <v>2146</v>
      </c>
    </row>
    <row r="115" spans="2:11" ht="18" customHeight="1" x14ac:dyDescent="0.2">
      <c r="B115" s="158" t="s">
        <v>133</v>
      </c>
      <c r="C115" s="691">
        <v>1.167</v>
      </c>
      <c r="D115" s="3076" t="s">
        <v>1814</v>
      </c>
      <c r="E115" s="1913">
        <f t="shared" ref="E115:E119" si="55">IFERROR(H115*1000/$C115,"NA")</f>
        <v>69.7</v>
      </c>
      <c r="F115" s="1913">
        <f t="shared" si="54"/>
        <v>2.8571428571428572</v>
      </c>
      <c r="G115" s="1913">
        <f t="shared" si="54"/>
        <v>0.5714285714285714</v>
      </c>
      <c r="H115" s="691">
        <v>8.1339900000000007E-2</v>
      </c>
      <c r="I115" s="691">
        <v>3.3342857142857144E-6</v>
      </c>
      <c r="J115" s="691">
        <v>6.668571428571428E-7</v>
      </c>
      <c r="K115" s="3093" t="s">
        <v>2146</v>
      </c>
    </row>
    <row r="116" spans="2:11" ht="18" customHeight="1" x14ac:dyDescent="0.2">
      <c r="B116" s="158" t="s">
        <v>134</v>
      </c>
      <c r="C116" s="691">
        <v>2116.6013242641543</v>
      </c>
      <c r="D116" s="3076" t="s">
        <v>1814</v>
      </c>
      <c r="E116" s="1913">
        <f t="shared" si="55"/>
        <v>51.412458096375993</v>
      </c>
      <c r="F116" s="1913">
        <f t="shared" si="54"/>
        <v>0.91001535423593971</v>
      </c>
      <c r="G116" s="1913">
        <f t="shared" si="54"/>
        <v>0.90452415007445663</v>
      </c>
      <c r="H116" s="691">
        <v>108.81967689046476</v>
      </c>
      <c r="I116" s="691">
        <v>1.9261397038765034E-3</v>
      </c>
      <c r="J116" s="691">
        <v>1.9145170138765036E-3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4832.0888598800284</v>
      </c>
      <c r="D10" s="4413">
        <f t="shared" ref="D10:F10" si="0">SUM(D11:D16)</f>
        <v>28253.492185206429</v>
      </c>
      <c r="E10" s="4413">
        <f t="shared" si="0"/>
        <v>1923.987138086809</v>
      </c>
      <c r="F10" s="4413">
        <f t="shared" si="0"/>
        <v>3499.1722379114171</v>
      </c>
      <c r="G10" s="4414" t="s">
        <v>2146</v>
      </c>
      <c r="H10" s="4415" t="s">
        <v>2312</v>
      </c>
      <c r="I10" s="4416" t="s">
        <v>2313</v>
      </c>
    </row>
    <row r="11" spans="2:9" ht="18" customHeight="1" x14ac:dyDescent="0.2">
      <c r="B11" s="1558" t="s">
        <v>1476</v>
      </c>
      <c r="C11" s="4417">
        <f>Table1!D10</f>
        <v>1289.0713477541747</v>
      </c>
      <c r="D11" s="4418">
        <f>Table1!G10</f>
        <v>2412.3680436120271</v>
      </c>
      <c r="E11" s="4418">
        <f>Table1!H10</f>
        <v>743.56708674843048</v>
      </c>
      <c r="F11" s="4418">
        <f>Table1!F10</f>
        <v>2499.7684094686483</v>
      </c>
      <c r="G11" s="4419" t="s">
        <v>2146</v>
      </c>
      <c r="H11" s="4420" t="s">
        <v>2154</v>
      </c>
      <c r="I11" s="4421" t="s">
        <v>2154</v>
      </c>
    </row>
    <row r="12" spans="2:9" ht="18" customHeight="1" x14ac:dyDescent="0.2">
      <c r="B12" s="2393" t="s">
        <v>1551</v>
      </c>
      <c r="C12" s="4422">
        <f>'Table2(I)'!D10</f>
        <v>2.6007179785275616</v>
      </c>
      <c r="D12" s="4388">
        <f>'Table2(I)'!L10</f>
        <v>15.078320432952427</v>
      </c>
      <c r="E12" s="4388">
        <f>'Table2(I)'!M10</f>
        <v>236.99140404202208</v>
      </c>
      <c r="F12" s="4388">
        <f>'Table2(I)'!K10</f>
        <v>6.161207203309937</v>
      </c>
      <c r="G12" s="4423" t="s">
        <v>2146</v>
      </c>
      <c r="H12" s="4424" t="s">
        <v>2146</v>
      </c>
      <c r="I12" s="4425" t="s">
        <v>2146</v>
      </c>
    </row>
    <row r="13" spans="2:9" ht="18" customHeight="1" x14ac:dyDescent="0.2">
      <c r="B13" s="2393" t="s">
        <v>1552</v>
      </c>
      <c r="C13" s="4422">
        <f>Table3!D10</f>
        <v>2389.9401854800021</v>
      </c>
      <c r="D13" s="4388">
        <f>Table3!G10</f>
        <v>345.20827867991829</v>
      </c>
      <c r="E13" s="4388">
        <f>Table3!H10</f>
        <v>20.137149589661902</v>
      </c>
      <c r="F13" s="4388">
        <f>Table3!F10</f>
        <v>21.49924125390076</v>
      </c>
      <c r="G13" s="4426"/>
      <c r="H13" s="4424" t="s">
        <v>2154</v>
      </c>
      <c r="I13" s="4425" t="s">
        <v>2153</v>
      </c>
    </row>
    <row r="14" spans="2:9" ht="18" customHeight="1" x14ac:dyDescent="0.2">
      <c r="B14" s="2393" t="s">
        <v>1553</v>
      </c>
      <c r="C14" s="4422">
        <f>Table4!D10</f>
        <v>690.5596051894405</v>
      </c>
      <c r="D14" s="4388">
        <f>Table4!G10</f>
        <v>25480.837542481531</v>
      </c>
      <c r="E14" s="4423">
        <f>Table4!H10</f>
        <v>669.78777453313432</v>
      </c>
      <c r="F14" s="4423">
        <f>Table4!F10</f>
        <v>971.74337998555802</v>
      </c>
      <c r="G14" s="4426"/>
      <c r="H14" s="4427" t="s">
        <v>2154</v>
      </c>
      <c r="I14" s="4425" t="s">
        <v>2154</v>
      </c>
    </row>
    <row r="15" spans="2:9" ht="18" customHeight="1" x14ac:dyDescent="0.2">
      <c r="B15" s="2393" t="s">
        <v>1554</v>
      </c>
      <c r="C15" s="4422">
        <f>Table5!D10</f>
        <v>459.91700347788355</v>
      </c>
      <c r="D15" s="4388" t="str">
        <f>Table5!G10</f>
        <v>NO</v>
      </c>
      <c r="E15" s="4423">
        <f>Table5!H10</f>
        <v>253.50372317356005</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2014</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390891.02279144502</v>
      </c>
      <c r="D10" s="4193">
        <f>SUM(D11,D22,D30,D41,D50,D56)</f>
        <v>389471.72227860283</v>
      </c>
      <c r="E10" s="3840">
        <f>IF(D10="NO",IF(C10="NO","NA",-C10),IF(C10="NO",D10,D10-C10))</f>
        <v>-1419.3005128421937</v>
      </c>
      <c r="F10" s="3838">
        <f>IF(E10="NA","NA",E10/C10*100)</f>
        <v>-0.36309365784525666</v>
      </c>
      <c r="G10" s="3841">
        <f>IF(E10="NA","NA",E10/Table8s2!$G$35*100)</f>
        <v>-0.26506706365673594</v>
      </c>
      <c r="H10" s="3842">
        <f>IF(E10="NA","NA",E10/Table8s2!$G$34*100)</f>
        <v>-0.25535455418286856</v>
      </c>
      <c r="I10" s="4194">
        <f>SUM(I11,I22,I30,I41,I50,I56)</f>
        <v>138437.43377091186</v>
      </c>
      <c r="J10" s="4193">
        <f>SUM(J11,J22,J30,J41,J50,J56)</f>
        <v>135298.48807664082</v>
      </c>
      <c r="K10" s="3840">
        <f t="shared" ref="K10:K12" si="0">IF(J10="NO",IF(I10="NO","NA",-I10),IF(I10="NO",J10,J10-I10))</f>
        <v>-3138.9456942710385</v>
      </c>
      <c r="L10" s="3838">
        <f t="shared" ref="L10:L12" si="1">IF(K10="NA","NA",K10/I10*100)</f>
        <v>-2.2674110670567673</v>
      </c>
      <c r="M10" s="3841">
        <f>IF(K10="NA","NA",K10/Table8s2!$G$35*100)</f>
        <v>-0.58622618017111139</v>
      </c>
      <c r="N10" s="3842">
        <f>IF(K10="NA","NA",K10/Table8s2!$G$34*100)</f>
        <v>-0.56474585270155275</v>
      </c>
      <c r="O10" s="4194">
        <f>SUM(O11,O22,O30,O41,O50,O56)</f>
        <v>22097.155016702742</v>
      </c>
      <c r="P10" s="4193">
        <f>SUM(P11,P22,P30,P41,P50,P56)</f>
        <v>21926.060345124752</v>
      </c>
      <c r="Q10" s="3840">
        <f t="shared" ref="Q10:Q12" si="2">IF(P10="NO",IF(O10="NO","NA",-O10),IF(O10="NO",P10,P10-O10))</f>
        <v>-171.09467157799008</v>
      </c>
      <c r="R10" s="3838">
        <f t="shared" ref="R10:R12" si="3">IF(Q10="NA","NA",Q10/O10*100)</f>
        <v>-0.77428370959367154</v>
      </c>
      <c r="S10" s="3841">
        <f>IF(Q10="NA","NA",Q10/Table8s2!$G$35*100)</f>
        <v>-3.1953460026357287E-2</v>
      </c>
      <c r="T10" s="3842">
        <f>IF(Q10="NA","NA",Q10/Table8s2!$G$34*100)</f>
        <v>-3.0782630731508557E-2</v>
      </c>
    </row>
    <row r="11" spans="2:20" ht="18" customHeight="1" x14ac:dyDescent="0.2">
      <c r="B11" s="1405" t="s">
        <v>1476</v>
      </c>
      <c r="C11" s="3839">
        <f>SUM(C12,C18,C21)</f>
        <v>372355.13971061504</v>
      </c>
      <c r="D11" s="3839">
        <f>Summary2!C11</f>
        <v>371356.50764914247</v>
      </c>
      <c r="E11" s="3843">
        <f t="shared" ref="E11:E38" si="4">IF(D11="NO",IF(C11="NO","NA",-C11),IF(C11="NO",D11,D11-C11))</f>
        <v>-998.63206147257006</v>
      </c>
      <c r="F11" s="3839">
        <f t="shared" ref="F11:F38" si="5">IF(E11="NA","NA",E11/C11*100)</f>
        <v>-0.26819344087708352</v>
      </c>
      <c r="G11" s="3844">
        <f>IF(E11="NA","NA",E11/Table8s2!$G$35*100)</f>
        <v>-0.18650346830209216</v>
      </c>
      <c r="H11" s="3845">
        <f>IF(E11="NA","NA",E11/Table8s2!$G$34*100)</f>
        <v>-0.17966966300842879</v>
      </c>
      <c r="I11" s="3846">
        <f>SUM(I12,I18,I21)</f>
        <v>36093.544155586133</v>
      </c>
      <c r="J11" s="3839">
        <f>Summary2!D11</f>
        <v>36093.997737116893</v>
      </c>
      <c r="K11" s="3843">
        <f t="shared" si="0"/>
        <v>0.45358153076085728</v>
      </c>
      <c r="L11" s="3839">
        <f t="shared" si="1"/>
        <v>1.2566832694667844E-3</v>
      </c>
      <c r="M11" s="3844">
        <f>IF(K11="NA","NA",K11/Table8s2!$G$35*100)</f>
        <v>8.4710407274456992E-5</v>
      </c>
      <c r="N11" s="3845">
        <f>IF(K11="NA","NA",K11/Table8s2!$G$34*100)</f>
        <v>8.1606473417726304E-5</v>
      </c>
      <c r="O11" s="3846">
        <f>SUM(O12,O18,O21)</f>
        <v>3120.605077964472</v>
      </c>
      <c r="P11" s="3839">
        <f>Summary2!E11</f>
        <v>3114.0393121030315</v>
      </c>
      <c r="Q11" s="3843">
        <f t="shared" si="2"/>
        <v>-6.5657658614404681</v>
      </c>
      <c r="R11" s="3839">
        <f t="shared" si="3"/>
        <v>-0.21040040945274713</v>
      </c>
      <c r="S11" s="3844">
        <f>IF(Q11="NA","NA",Q11/Table8s2!$G$35*100)</f>
        <v>-1.2262154926334257E-3</v>
      </c>
      <c r="T11" s="3845">
        <f>IF(Q11="NA","NA",Q11/Table8s2!$G$34*100)</f>
        <v>-1.181284864795679E-3</v>
      </c>
    </row>
    <row r="12" spans="2:20" ht="18" customHeight="1" x14ac:dyDescent="0.2">
      <c r="B12" s="620" t="s">
        <v>131</v>
      </c>
      <c r="C12" s="3839">
        <f>SUM(C13:C17)</f>
        <v>363082.43204979575</v>
      </c>
      <c r="D12" s="3839">
        <f>Summary2!C12</f>
        <v>362083.79998832318</v>
      </c>
      <c r="E12" s="3839">
        <f t="shared" si="4"/>
        <v>-998.63206147257006</v>
      </c>
      <c r="F12" s="3847">
        <f t="shared" si="5"/>
        <v>-0.27504279285416111</v>
      </c>
      <c r="G12" s="3844">
        <f>IF(E12="NA","NA",E12/Table8s2!$G$35*100)</f>
        <v>-0.18650346830209216</v>
      </c>
      <c r="H12" s="3845">
        <f>IF(E12="NA","NA",E12/Table8s2!$G$34*100)</f>
        <v>-0.17966966300842879</v>
      </c>
      <c r="I12" s="3846">
        <f>SUM(I13:I17)</f>
        <v>2297.1459646440399</v>
      </c>
      <c r="J12" s="3839">
        <f>Summary2!D12</f>
        <v>2297.2456963792015</v>
      </c>
      <c r="K12" s="3839">
        <f t="shared" si="0"/>
        <v>9.9731735161640245E-2</v>
      </c>
      <c r="L12" s="3847">
        <f t="shared" si="1"/>
        <v>4.3415497620367558E-3</v>
      </c>
      <c r="M12" s="3844">
        <f>IF(K12="NA","NA",K12/Table8s2!$G$35*100)</f>
        <v>1.8625793447892945E-5</v>
      </c>
      <c r="N12" s="3845">
        <f>IF(K12="NA","NA",K12/Table8s2!$G$34*100)</f>
        <v>1.7943312596348035E-5</v>
      </c>
      <c r="O12" s="3848">
        <f>SUM(O13:O17)</f>
        <v>3089.2120941526014</v>
      </c>
      <c r="P12" s="3847">
        <f>Summary2!E12</f>
        <v>3084.4944895814833</v>
      </c>
      <c r="Q12" s="3839">
        <f t="shared" si="2"/>
        <v>-4.717604571118045</v>
      </c>
      <c r="R12" s="3847">
        <f t="shared" si="3"/>
        <v>-0.15271222652687841</v>
      </c>
      <c r="S12" s="3844">
        <f>IF(Q12="NA","NA",Q12/Table8s2!$G$35*100)</f>
        <v>-8.8105484345646216E-4</v>
      </c>
      <c r="T12" s="3845">
        <f>IF(Q12="NA","NA",Q12/Table8s2!$G$34*100)</f>
        <v>-8.4877149072294644E-4</v>
      </c>
    </row>
    <row r="13" spans="2:20" ht="18" customHeight="1" x14ac:dyDescent="0.2">
      <c r="B13" s="1392" t="s">
        <v>1478</v>
      </c>
      <c r="C13" s="3847">
        <v>203485.1785326291</v>
      </c>
      <c r="D13" s="3839">
        <f>Summary2!C13</f>
        <v>203812.67589945495</v>
      </c>
      <c r="E13" s="3839">
        <f t="shared" si="4"/>
        <v>327.49736682584626</v>
      </c>
      <c r="F13" s="3847">
        <f t="shared" si="5"/>
        <v>0.16094408899335716</v>
      </c>
      <c r="G13" s="3844">
        <f>IF(E13="NA","NA",E13/Table8s2!$G$35*100)</f>
        <v>6.1163062081900282E-2</v>
      </c>
      <c r="H13" s="3845">
        <f>IF(E13="NA","NA",E13/Table8s2!$G$34*100)</f>
        <v>5.8921943129865963E-2</v>
      </c>
      <c r="I13" s="3846">
        <v>725.65763077737802</v>
      </c>
      <c r="J13" s="3839">
        <f>Summary2!D13</f>
        <v>726.04915248687564</v>
      </c>
      <c r="K13" s="3839">
        <f t="shared" ref="K13" si="6">IF(J13="NO",IF(I13="NO","NA",-I13),IF(I13="NO",J13,J13-I13))</f>
        <v>0.39152170949762422</v>
      </c>
      <c r="L13" s="3847">
        <f t="shared" ref="L13" si="7">IF(K13="NA","NA",K13/I13*100)</f>
        <v>5.3954053935627633E-2</v>
      </c>
      <c r="M13" s="3844">
        <f>IF(K13="NA","NA",K13/Table8s2!$G$35*100)</f>
        <v>7.3120180649113647E-5</v>
      </c>
      <c r="N13" s="3845">
        <f>IF(K13="NA","NA",K13/Table8s2!$G$34*100)</f>
        <v>7.0440932471357761E-5</v>
      </c>
      <c r="O13" s="3848">
        <v>1035.1526586280841</v>
      </c>
      <c r="P13" s="3847">
        <f>Summary2!E13</f>
        <v>1036.297262683031</v>
      </c>
      <c r="Q13" s="3839">
        <f t="shared" ref="Q13" si="8">IF(P13="NO",IF(O13="NO","NA",-O13),IF(O13="NO",P13,P13-O13))</f>
        <v>1.1446040549469672</v>
      </c>
      <c r="R13" s="3847">
        <f t="shared" ref="R13" si="9">IF(Q13="NA","NA",Q13/O13*100)</f>
        <v>0.11057345459209293</v>
      </c>
      <c r="S13" s="3844">
        <f>IF(Q13="NA","NA",Q13/Table8s2!$G$35*100)</f>
        <v>2.1376504351909532E-4</v>
      </c>
      <c r="T13" s="3845">
        <f>IF(Q13="NA","NA",Q13/Table8s2!$G$34*100)</f>
        <v>2.0593232759536374E-4</v>
      </c>
    </row>
    <row r="14" spans="2:20" ht="18" customHeight="1" x14ac:dyDescent="0.2">
      <c r="B14" s="1392" t="s">
        <v>1517</v>
      </c>
      <c r="C14" s="3847">
        <v>45880.881345598209</v>
      </c>
      <c r="D14" s="3839">
        <f>Summary2!C14</f>
        <v>45880.881345598224</v>
      </c>
      <c r="E14" s="3839">
        <f t="shared" si="4"/>
        <v>1.4551915228366852E-11</v>
      </c>
      <c r="F14" s="3847">
        <f t="shared" si="5"/>
        <v>3.1716729935404685E-14</v>
      </c>
      <c r="G14" s="3844">
        <f>IF(E14="NA","NA",E14/Table8s2!$G$35*100)</f>
        <v>2.717700307485066E-15</v>
      </c>
      <c r="H14" s="3845">
        <f>IF(E14="NA","NA",E14/Table8s2!$G$34*100)</f>
        <v>2.6181191312369155E-15</v>
      </c>
      <c r="I14" s="3846">
        <v>68.70204743521596</v>
      </c>
      <c r="J14" s="3839">
        <f>Summary2!D14</f>
        <v>68.70204743521596</v>
      </c>
      <c r="K14" s="3839">
        <f t="shared" ref="K14:K20" si="10">IF(J14="NO",IF(I14="NO","NA",-I14),IF(I14="NO",J14,J14-I14))</f>
        <v>0</v>
      </c>
      <c r="L14" s="3847">
        <f t="shared" ref="L14:L20" si="11">IF(K14="NA","NA",K14/I14*100)</f>
        <v>0</v>
      </c>
      <c r="M14" s="3844">
        <f>IF(K14="NA","NA",K14/Table8s2!$G$35*100)</f>
        <v>0</v>
      </c>
      <c r="N14" s="3845">
        <f>IF(K14="NA","NA",K14/Table8s2!$G$34*100)</f>
        <v>0</v>
      </c>
      <c r="O14" s="3848">
        <v>391.64642242498144</v>
      </c>
      <c r="P14" s="3847">
        <f>Summary2!E14</f>
        <v>391.64642242498149</v>
      </c>
      <c r="Q14" s="3839">
        <f t="shared" ref="Q14:Q20" si="12">IF(P14="NO",IF(O14="NO","NA",-O14),IF(O14="NO",P14,P14-O14))</f>
        <v>5.6843418860808015E-14</v>
      </c>
      <c r="R14" s="3847">
        <f t="shared" ref="R14:R20" si="13">IF(Q14="NA","NA",Q14/O14*100)</f>
        <v>1.451396351557282E-14</v>
      </c>
      <c r="S14" s="3844">
        <f>IF(Q14="NA","NA",Q14/Table8s2!$G$35*100)</f>
        <v>1.0616016826113539E-17</v>
      </c>
      <c r="T14" s="3845">
        <f>IF(Q14="NA","NA",Q14/Table8s2!$G$34*100)</f>
        <v>1.0227027856394201E-17</v>
      </c>
    </row>
    <row r="15" spans="2:20" ht="18" customHeight="1" x14ac:dyDescent="0.2">
      <c r="B15" s="1392" t="s">
        <v>1480</v>
      </c>
      <c r="C15" s="3847">
        <v>91219.812131142156</v>
      </c>
      <c r="D15" s="3839">
        <f>Summary2!C15</f>
        <v>91221.431392901039</v>
      </c>
      <c r="E15" s="3839">
        <f t="shared" si="4"/>
        <v>1.6192617588822031</v>
      </c>
      <c r="F15" s="3847">
        <f t="shared" si="5"/>
        <v>1.775120690398125E-3</v>
      </c>
      <c r="G15" s="3844">
        <f>IF(E15="NA","NA",E15/Table8s2!$G$35*100)</f>
        <v>3.024116146192569E-4</v>
      </c>
      <c r="H15" s="3845">
        <f>IF(E15="NA","NA",E15/Table8s2!$G$34*100)</f>
        <v>2.913307370802778E-4</v>
      </c>
      <c r="I15" s="3846">
        <v>423.84883144120886</v>
      </c>
      <c r="J15" s="3839">
        <f>Summary2!D15</f>
        <v>424.22225484190534</v>
      </c>
      <c r="K15" s="3839">
        <f t="shared" si="10"/>
        <v>0.37342340069648117</v>
      </c>
      <c r="L15" s="3847">
        <f t="shared" si="11"/>
        <v>8.8102968085752034E-2</v>
      </c>
      <c r="M15" s="3844">
        <f>IF(K15="NA","NA",K15/Table8s2!$G$35*100)</f>
        <v>6.9740159626317582E-5</v>
      </c>
      <c r="N15" s="3845">
        <f>IF(K15="NA","NA",K15/Table8s2!$G$34*100)</f>
        <v>6.7184761185880602E-5</v>
      </c>
      <c r="O15" s="3848">
        <v>1474.753259931817</v>
      </c>
      <c r="P15" s="3847">
        <f>Summary2!E15</f>
        <v>1474.6283604546875</v>
      </c>
      <c r="Q15" s="3839">
        <f t="shared" si="12"/>
        <v>-0.12489947712947469</v>
      </c>
      <c r="R15" s="3847">
        <f t="shared" si="13"/>
        <v>-8.4691778972741001E-3</v>
      </c>
      <c r="S15" s="3844">
        <f>IF(Q15="NA","NA",Q15/Table8s2!$G$35*100)</f>
        <v>-2.3326094336902778E-5</v>
      </c>
      <c r="T15" s="3845">
        <f>IF(Q15="NA","NA",Q15/Table8s2!$G$34*100)</f>
        <v>-2.2471386441059171E-5</v>
      </c>
    </row>
    <row r="16" spans="2:20" ht="18" customHeight="1" x14ac:dyDescent="0.2">
      <c r="B16" s="1392" t="s">
        <v>1481</v>
      </c>
      <c r="C16" s="3847">
        <v>21479.501973679759</v>
      </c>
      <c r="D16" s="3839">
        <f>Summary2!C16</f>
        <v>20151.753283622373</v>
      </c>
      <c r="E16" s="3839">
        <f t="shared" si="4"/>
        <v>-1327.7486900573858</v>
      </c>
      <c r="F16" s="3847">
        <f t="shared" si="5"/>
        <v>-6.1814686936613485</v>
      </c>
      <c r="G16" s="3844">
        <f>IF(E16="NA","NA",E16/Table8s2!$G$35*100)</f>
        <v>-0.24796894199862798</v>
      </c>
      <c r="H16" s="3845">
        <f>IF(E16="NA","NA",E16/Table8s2!$G$34*100)</f>
        <v>-0.23888293687539075</v>
      </c>
      <c r="I16" s="3846">
        <v>1077.9976701104924</v>
      </c>
      <c r="J16" s="3839">
        <f>Summary2!D16</f>
        <v>1077.3324567354603</v>
      </c>
      <c r="K16" s="3839">
        <f t="shared" si="10"/>
        <v>-0.66521337503218092</v>
      </c>
      <c r="L16" s="3847">
        <f t="shared" si="11"/>
        <v>-6.1708238661035142E-2</v>
      </c>
      <c r="M16" s="3844">
        <f>IF(K16="NA","NA",K16/Table8s2!$G$35*100)</f>
        <v>-1.2423454682748521E-4</v>
      </c>
      <c r="N16" s="3845">
        <f>IF(K16="NA","NA",K16/Table8s2!$G$34*100)</f>
        <v>-1.1968238106083918E-4</v>
      </c>
      <c r="O16" s="3848">
        <v>180.09124981827637</v>
      </c>
      <c r="P16" s="3847">
        <f>Summary2!E16</f>
        <v>174.35394066934131</v>
      </c>
      <c r="Q16" s="3839">
        <f t="shared" si="12"/>
        <v>-5.7373091489350543</v>
      </c>
      <c r="R16" s="3847">
        <f t="shared" si="13"/>
        <v>-3.1857789619009069</v>
      </c>
      <c r="S16" s="3844">
        <f>IF(Q16="NA","NA",Q16/Table8s2!$G$35*100)</f>
        <v>-1.0714937926385643E-3</v>
      </c>
      <c r="T16" s="3845">
        <f>IF(Q16="NA","NA",Q16/Table8s2!$G$34*100)</f>
        <v>-1.0322324318771641E-3</v>
      </c>
    </row>
    <row r="17" spans="2:20" ht="18" customHeight="1" x14ac:dyDescent="0.2">
      <c r="B17" s="1392" t="s">
        <v>1482</v>
      </c>
      <c r="C17" s="3847">
        <v>1017.0580667465537</v>
      </c>
      <c r="D17" s="3839">
        <f>Summary2!C17</f>
        <v>1017.0580667465537</v>
      </c>
      <c r="E17" s="3839">
        <f t="shared" si="4"/>
        <v>0</v>
      </c>
      <c r="F17" s="3847">
        <f t="shared" si="5"/>
        <v>0</v>
      </c>
      <c r="G17" s="3844">
        <f>IF(E17="NA","NA",E17/Table8s2!$G$35*100)</f>
        <v>0</v>
      </c>
      <c r="H17" s="3845">
        <f>IF(E17="NA","NA",E17/Table8s2!$G$34*100)</f>
        <v>0</v>
      </c>
      <c r="I17" s="3846">
        <v>0.93978487974435854</v>
      </c>
      <c r="J17" s="3839">
        <f>Summary2!D17</f>
        <v>0.93978487974435831</v>
      </c>
      <c r="K17" s="3839">
        <f t="shared" si="10"/>
        <v>-2.2204460492503131E-16</v>
      </c>
      <c r="L17" s="3847">
        <f t="shared" si="11"/>
        <v>-2.3627173591623667E-14</v>
      </c>
      <c r="M17" s="3844">
        <f>IF(K17="NA","NA",K17/Table8s2!$G$35*100)</f>
        <v>-4.1468815727006012E-20</v>
      </c>
      <c r="N17" s="3845">
        <f>IF(K17="NA","NA",K17/Table8s2!$G$34*100)</f>
        <v>-3.9949327564039849E-20</v>
      </c>
      <c r="O17" s="3848">
        <v>7.5685033494421674</v>
      </c>
      <c r="P17" s="3847">
        <f>Summary2!E17</f>
        <v>7.5685033494421683</v>
      </c>
      <c r="Q17" s="3839">
        <f t="shared" si="12"/>
        <v>8.8817841970012523E-16</v>
      </c>
      <c r="R17" s="3847">
        <f t="shared" si="13"/>
        <v>1.1735192265794373E-14</v>
      </c>
      <c r="S17" s="3844">
        <f>IF(Q17="NA","NA",Q17/Table8s2!$G$35*100)</f>
        <v>1.6587526290802405E-19</v>
      </c>
      <c r="T17" s="3845">
        <f>IF(Q17="NA","NA",Q17/Table8s2!$G$34*100)</f>
        <v>1.597973102561594E-19</v>
      </c>
    </row>
    <row r="18" spans="2:20" ht="18" customHeight="1" x14ac:dyDescent="0.2">
      <c r="B18" s="620" t="s">
        <v>99</v>
      </c>
      <c r="C18" s="3847">
        <f>SUM(C19:C20)</f>
        <v>9272.7076608192638</v>
      </c>
      <c r="D18" s="3839">
        <f>Summary2!C18</f>
        <v>9272.7076608192638</v>
      </c>
      <c r="E18" s="3839">
        <f t="shared" si="4"/>
        <v>0</v>
      </c>
      <c r="F18" s="3847">
        <f t="shared" si="5"/>
        <v>0</v>
      </c>
      <c r="G18" s="3844">
        <f>IF(E18="NA","NA",E18/Table8s2!$G$35*100)</f>
        <v>0</v>
      </c>
      <c r="H18" s="3845">
        <f>IF(E18="NA","NA",E18/Table8s2!$G$34*100)</f>
        <v>0</v>
      </c>
      <c r="I18" s="3846">
        <f>SUM(I19:I20)</f>
        <v>33796.398190942091</v>
      </c>
      <c r="J18" s="3839">
        <f>Summary2!D18</f>
        <v>33796.752040737687</v>
      </c>
      <c r="K18" s="3839">
        <f t="shared" si="10"/>
        <v>0.3538497955960338</v>
      </c>
      <c r="L18" s="3847">
        <f t="shared" si="11"/>
        <v>1.0470044576846964E-3</v>
      </c>
      <c r="M18" s="3844">
        <f>IF(K18="NA","NA",K18/Table8s2!$G$35*100)</f>
        <v>6.6084613825969545E-5</v>
      </c>
      <c r="N18" s="3845">
        <f>IF(K18="NA","NA",K18/Table8s2!$G$34*100)</f>
        <v>6.3663160820805556E-5</v>
      </c>
      <c r="O18" s="3848">
        <f>SUM(O19:O20)</f>
        <v>31.392983811870611</v>
      </c>
      <c r="P18" s="3847">
        <f>Summary2!E18</f>
        <v>29.544822521548028</v>
      </c>
      <c r="Q18" s="3839">
        <f t="shared" si="12"/>
        <v>-1.848161290322583</v>
      </c>
      <c r="R18" s="3847">
        <f t="shared" si="13"/>
        <v>-5.8871794455668747</v>
      </c>
      <c r="S18" s="3844">
        <f>IF(Q18="NA","NA",Q18/Table8s2!$G$35*100)</f>
        <v>-3.4516064917699353E-4</v>
      </c>
      <c r="T18" s="3845">
        <f>IF(Q18="NA","NA",Q18/Table8s2!$G$34*100)</f>
        <v>-3.3251337407276131E-4</v>
      </c>
    </row>
    <row r="19" spans="2:20" ht="18" customHeight="1" x14ac:dyDescent="0.2">
      <c r="B19" s="1392" t="s">
        <v>1483</v>
      </c>
      <c r="C19" s="3847">
        <v>1837.8700527484675</v>
      </c>
      <c r="D19" s="3839">
        <f>Summary2!C19</f>
        <v>1837.8700527484677</v>
      </c>
      <c r="E19" s="3839">
        <f t="shared" si="4"/>
        <v>2.2737367544323206E-13</v>
      </c>
      <c r="F19" s="3847">
        <f t="shared" si="5"/>
        <v>1.2371586070691072E-14</v>
      </c>
      <c r="G19" s="3844">
        <f>IF(E19="NA","NA",E19/Table8s2!$G$35*100)</f>
        <v>4.2464067304454156E-17</v>
      </c>
      <c r="H19" s="3845">
        <f>IF(E19="NA","NA",E19/Table8s2!$G$34*100)</f>
        <v>4.0908111425576805E-17</v>
      </c>
      <c r="I19" s="3846">
        <v>27834.785566266528</v>
      </c>
      <c r="J19" s="3839">
        <f>Summary2!D19</f>
        <v>27834.785566266524</v>
      </c>
      <c r="K19" s="3839">
        <f t="shared" si="10"/>
        <v>-3.637978807091713E-12</v>
      </c>
      <c r="L19" s="3847">
        <f t="shared" si="11"/>
        <v>-1.3069900604877101E-14</v>
      </c>
      <c r="M19" s="3844">
        <f>IF(K19="NA","NA",K19/Table8s2!$G$35*100)</f>
        <v>-6.794250768712665E-16</v>
      </c>
      <c r="N19" s="3845">
        <f>IF(K19="NA","NA",K19/Table8s2!$G$34*100)</f>
        <v>-6.5452978280922889E-16</v>
      </c>
      <c r="O19" s="3848">
        <v>0.3889235366231662</v>
      </c>
      <c r="P19" s="3847">
        <f>Summary2!E19</f>
        <v>0.3889235366231662</v>
      </c>
      <c r="Q19" s="3839">
        <f t="shared" si="12"/>
        <v>0</v>
      </c>
      <c r="R19" s="3847">
        <f t="shared" si="13"/>
        <v>0</v>
      </c>
      <c r="S19" s="3844">
        <f>IF(Q19="NA","NA",Q19/Table8s2!$G$35*100)</f>
        <v>0</v>
      </c>
      <c r="T19" s="3845">
        <f>IF(Q19="NA","NA",Q19/Table8s2!$G$34*100)</f>
        <v>0</v>
      </c>
    </row>
    <row r="20" spans="2:20" ht="18" customHeight="1" x14ac:dyDescent="0.2">
      <c r="B20" s="1393" t="s">
        <v>1484</v>
      </c>
      <c r="C20" s="3849">
        <v>7434.8376080707958</v>
      </c>
      <c r="D20" s="3850">
        <f>Summary2!C20</f>
        <v>7434.8376080707958</v>
      </c>
      <c r="E20" s="3850">
        <f t="shared" si="4"/>
        <v>0</v>
      </c>
      <c r="F20" s="3849">
        <f t="shared" si="5"/>
        <v>0</v>
      </c>
      <c r="G20" s="3851">
        <f>IF(E20="NA","NA",E20/Table8s2!$G$35*100)</f>
        <v>0</v>
      </c>
      <c r="H20" s="3852">
        <f>IF(E20="NA","NA",E20/Table8s2!$G$34*100)</f>
        <v>0</v>
      </c>
      <c r="I20" s="3853">
        <v>5961.612624675563</v>
      </c>
      <c r="J20" s="3850">
        <f>Summary2!D20</f>
        <v>5961.9664744711627</v>
      </c>
      <c r="K20" s="3839">
        <f t="shared" si="10"/>
        <v>0.35384979559967178</v>
      </c>
      <c r="L20" s="3847">
        <f t="shared" si="11"/>
        <v>5.9354711195937302E-3</v>
      </c>
      <c r="M20" s="3844">
        <f>IF(K20="NA","NA",K20/Table8s2!$G$35*100)</f>
        <v>6.6084613826648974E-5</v>
      </c>
      <c r="N20" s="3845">
        <f>IF(K20="NA","NA",K20/Table8s2!$G$34*100)</f>
        <v>6.3663160821460089E-5</v>
      </c>
      <c r="O20" s="3854">
        <v>31.004060275247443</v>
      </c>
      <c r="P20" s="3849">
        <f>Summary2!E20</f>
        <v>29.15589898492486</v>
      </c>
      <c r="Q20" s="3839">
        <f t="shared" si="12"/>
        <v>-1.848161290322583</v>
      </c>
      <c r="R20" s="3847">
        <f t="shared" si="13"/>
        <v>-5.9610298583959676</v>
      </c>
      <c r="S20" s="3844">
        <f>IF(Q20="NA","NA",Q20/Table8s2!$G$35*100)</f>
        <v>-3.4516064917699353E-4</v>
      </c>
      <c r="T20" s="3845">
        <f>IF(Q20="NA","NA",Q20/Table8s2!$G$34*100)</f>
        <v>-3.3251337407276131E-4</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19075.326956392666</v>
      </c>
      <c r="D22" s="3839">
        <f>Summary2!C22</f>
        <v>19170.454777412677</v>
      </c>
      <c r="E22" s="3861">
        <f t="shared" si="4"/>
        <v>95.127821020010742</v>
      </c>
      <c r="F22" s="3861">
        <f t="shared" si="5"/>
        <v>0.49869562517842347</v>
      </c>
      <c r="G22" s="3862">
        <f>IF(E22="NA","NA",E22/Table8s2!$G$35*100)</f>
        <v>1.7765971308883303E-2</v>
      </c>
      <c r="H22" s="3863">
        <f>IF(E22="NA","NA",E22/Table8s2!$G$34*100)</f>
        <v>1.7114995807553414E-2</v>
      </c>
      <c r="I22" s="3839">
        <f>SUM(I23:I29)</f>
        <v>72.820103398771707</v>
      </c>
      <c r="J22" s="3839">
        <f>Summary2!D22</f>
        <v>72.820103398771721</v>
      </c>
      <c r="K22" s="3861">
        <f t="shared" ref="K22" si="14">IF(J22="NO",IF(I22="NO","NA",-I22),IF(I22="NO",J22,J22-I22))</f>
        <v>1.4210854715202004E-14</v>
      </c>
      <c r="L22" s="3861">
        <f t="shared" ref="L22" si="15">IF(K22="NA","NA",K22/I22*100)</f>
        <v>1.9515015843058669E-14</v>
      </c>
      <c r="M22" s="3862">
        <f>IF(K22="NA","NA",K22/Table8s2!$G$35*100)</f>
        <v>2.6540042065283847E-18</v>
      </c>
      <c r="N22" s="3863">
        <f>IF(K22="NA","NA",K22/Table8s2!$G$34*100)</f>
        <v>2.5567569640985503E-18</v>
      </c>
      <c r="O22" s="3839">
        <f>SUM(O23:O29)</f>
        <v>1256.5185121665736</v>
      </c>
      <c r="P22" s="3839">
        <f>Summary2!E22</f>
        <v>1256.5185121665734</v>
      </c>
      <c r="Q22" s="3861">
        <f t="shared" ref="Q22" si="16">IF(P22="NO",IF(O22="NO","NA",-O22),IF(O22="NO",P22,P22-O22))</f>
        <v>-2.2737367544323206E-13</v>
      </c>
      <c r="R22" s="3864">
        <f t="shared" ref="R22" si="17">IF(Q22="NA","NA",Q22/O22*100)</f>
        <v>-1.8095529293172059E-14</v>
      </c>
      <c r="S22" s="3865">
        <f>IF(Q22="NA","NA",Q22/Table8s2!$G$35*100)</f>
        <v>-4.2464067304454156E-17</v>
      </c>
      <c r="T22" s="3866">
        <f>IF(Q22="NA","NA",Q22/Table8s2!$G$34*100)</f>
        <v>-4.0908111425576805E-17</v>
      </c>
    </row>
    <row r="23" spans="2:20" ht="18" customHeight="1" x14ac:dyDescent="0.2">
      <c r="B23" s="1394" t="s">
        <v>1487</v>
      </c>
      <c r="C23" s="3839">
        <v>6004.4596405194497</v>
      </c>
      <c r="D23" s="3839">
        <f>Summary2!C23</f>
        <v>6004.4700119044592</v>
      </c>
      <c r="E23" s="3839">
        <f t="shared" si="4"/>
        <v>1.0371385009420919E-2</v>
      </c>
      <c r="F23" s="3847">
        <f t="shared" si="5"/>
        <v>1.727280326681267E-4</v>
      </c>
      <c r="G23" s="3844">
        <f>IF(E23="NA","NA",E23/Table8s2!$G$35*100)</f>
        <v>1.9369489023825605E-6</v>
      </c>
      <c r="H23" s="3845">
        <f>IF(E23="NA","NA",E23/Table8s2!$G$34*100)</f>
        <v>1.8659757897473733E-6</v>
      </c>
      <c r="I23" s="1925"/>
      <c r="J23" s="1925"/>
      <c r="K23" s="1925"/>
      <c r="L23" s="1925"/>
      <c r="M23" s="1925"/>
      <c r="N23" s="1925"/>
      <c r="O23" s="1925"/>
      <c r="P23" s="1925"/>
      <c r="Q23" s="1925"/>
      <c r="R23" s="1925"/>
      <c r="S23" s="1925"/>
      <c r="T23" s="1925"/>
    </row>
    <row r="24" spans="2:20" ht="18" customHeight="1" x14ac:dyDescent="0.2">
      <c r="B24" s="1394" t="s">
        <v>621</v>
      </c>
      <c r="C24" s="3839">
        <v>3079.0846940171691</v>
      </c>
      <c r="D24" s="3839">
        <f>Summary2!C24</f>
        <v>3127.3795000171694</v>
      </c>
      <c r="E24" s="3839">
        <f t="shared" si="4"/>
        <v>48.294806000000335</v>
      </c>
      <c r="F24" s="3847">
        <f t="shared" si="5"/>
        <v>1.5684792982096205</v>
      </c>
      <c r="G24" s="3844">
        <f>IF(E24="NA","NA",E24/Table8s2!$G$35*100)</f>
        <v>9.019486923637245E-3</v>
      </c>
      <c r="H24" s="3845">
        <f>IF(E24="NA","NA",E24/Table8s2!$G$34*100)</f>
        <v>8.6889975335684173E-3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1243.8286050423719</v>
      </c>
      <c r="P24" s="3847">
        <f>Summary2!E24</f>
        <v>1243.8286050423719</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9608.8558369057628</v>
      </c>
      <c r="D25" s="3839">
        <f>Summary2!C25</f>
        <v>9608.8558369057628</v>
      </c>
      <c r="E25" s="3839">
        <f t="shared" si="4"/>
        <v>0</v>
      </c>
      <c r="F25" s="3847">
        <f t="shared" si="5"/>
        <v>0</v>
      </c>
      <c r="G25" s="3844">
        <f>IF(E25="NA","NA",E25/Table8s2!$G$35*100)</f>
        <v>0</v>
      </c>
      <c r="H25" s="3845">
        <f>IF(E25="NA","NA",E25/Table8s2!$G$34*100)</f>
        <v>0</v>
      </c>
      <c r="I25" s="3846">
        <v>56.642722598771712</v>
      </c>
      <c r="J25" s="3839">
        <f>Summary2!D25</f>
        <v>56.642722598771726</v>
      </c>
      <c r="K25" s="3839">
        <f t="shared" ref="K25:K26" si="22">IF(J25="NO",IF(I25="NO","NA",-I25),IF(I25="NO",J25,J25-I25))</f>
        <v>1.4210854715202004E-14</v>
      </c>
      <c r="L25" s="3847">
        <f t="shared" ref="L25:L26" si="23">IF(K25="NA","NA",K25/I25*100)</f>
        <v>2.508857989730558E-14</v>
      </c>
      <c r="M25" s="3844">
        <f>IF(K25="NA","NA",K25/Table8s2!$G$35*100)</f>
        <v>2.6540042065283847E-18</v>
      </c>
      <c r="N25" s="3845">
        <f>IF(K25="NA","NA",K25/Table8s2!$G$34*100)</f>
        <v>2.5567569640985503E-18</v>
      </c>
      <c r="O25" s="3848">
        <v>12.689907124201603</v>
      </c>
      <c r="P25" s="3847">
        <f>Summary2!E25</f>
        <v>12.689907124201603</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181.22801217</v>
      </c>
      <c r="D26" s="3839">
        <f>Summary2!C26</f>
        <v>228.05065580499999</v>
      </c>
      <c r="E26" s="3839">
        <f t="shared" si="4"/>
        <v>46.822643634999991</v>
      </c>
      <c r="F26" s="3847">
        <f t="shared" si="5"/>
        <v>25.836316954731174</v>
      </c>
      <c r="G26" s="3844">
        <f>IF(E26="NA","NA",E26/Table8s2!$G$35*100)</f>
        <v>8.7445474363434892E-3</v>
      </c>
      <c r="H26" s="3845">
        <f>IF(E26="NA","NA",E26/Table8s2!$G$34*100)</f>
        <v>8.4241322981950702E-3</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201.69877278028781</v>
      </c>
      <c r="D29" s="3855">
        <f>Summary2!C30</f>
        <v>201.69877278028781</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2490.9097255348615</v>
      </c>
      <c r="D30" s="3875">
        <f>Summary2!C31</f>
        <v>2490.9097255348615</v>
      </c>
      <c r="E30" s="3861">
        <f t="shared" si="4"/>
        <v>0</v>
      </c>
      <c r="F30" s="3876">
        <f t="shared" si="5"/>
        <v>0</v>
      </c>
      <c r="G30" s="3877">
        <f>IF(E30="NA","NA",E30/Table8s2!$G$35*100)</f>
        <v>0</v>
      </c>
      <c r="H30" s="3878">
        <f>IF(E30="NA","NA",E30/Table8s2!$G$34*100)</f>
        <v>0</v>
      </c>
      <c r="I30" s="3874">
        <f>SUM(I31:I40)</f>
        <v>66918.325193440047</v>
      </c>
      <c r="J30" s="3875">
        <f>Summary2!D31</f>
        <v>66918.325193440061</v>
      </c>
      <c r="K30" s="3861">
        <f t="shared" ref="K30" si="28">IF(J30="NO",IF(I30="NO","NA",-I30),IF(I30="NO",J30,J30-I30))</f>
        <v>1.4551915228366852E-11</v>
      </c>
      <c r="L30" s="3876">
        <f t="shared" ref="L30" si="29">IF(K30="NA","NA",K30/I30*100)</f>
        <v>2.1745785158701737E-14</v>
      </c>
      <c r="M30" s="3877">
        <f>IF(K30="NA","NA",K30/Table8s2!$G$35*100)</f>
        <v>2.717700307485066E-15</v>
      </c>
      <c r="N30" s="3878">
        <f>IF(K30="NA","NA",K30/Table8s2!$G$34*100)</f>
        <v>2.6181191312369155E-15</v>
      </c>
      <c r="O30" s="3874">
        <f>SUM(O31:O40)</f>
        <v>12618.803524538531</v>
      </c>
      <c r="P30" s="3875">
        <f>Summary2!E31</f>
        <v>12618.782494778954</v>
      </c>
      <c r="Q30" s="3861">
        <f t="shared" ref="Q30" si="30">IF(P30="NO",IF(O30="NO","NA",-O30),IF(O30="NO",P30,P30-O30))</f>
        <v>-2.1029759576776996E-2</v>
      </c>
      <c r="R30" s="3880">
        <f t="shared" ref="R30" si="31">IF(Q30="NA","NA",Q30/O30*100)</f>
        <v>-1.6665414859564552E-4</v>
      </c>
      <c r="S30" s="3881">
        <f>IF(Q30="NA","NA",Q30/Table8s2!$G$35*100)</f>
        <v>-3.9274956712730963E-6</v>
      </c>
      <c r="T30" s="3882">
        <f>IF(Q30="NA","NA",Q30/Table8s2!$G$34*100)</f>
        <v>-3.7835855287243695E-6</v>
      </c>
    </row>
    <row r="31" spans="2:20" ht="18" customHeight="1" x14ac:dyDescent="0.2">
      <c r="B31" s="620" t="s">
        <v>1492</v>
      </c>
      <c r="C31" s="3867"/>
      <c r="D31" s="3867"/>
      <c r="E31" s="3868"/>
      <c r="F31" s="3868"/>
      <c r="G31" s="3869"/>
      <c r="H31" s="3870"/>
      <c r="I31" s="3846">
        <v>59312.623537164516</v>
      </c>
      <c r="J31" s="3839">
        <f>Summary2!D32</f>
        <v>59312.623537164523</v>
      </c>
      <c r="K31" s="3883">
        <f t="shared" ref="K31:K33" si="32">IF(J31="NO",IF(I31="NO","NA",-I31),IF(I31="NO",J31,J31-I31))</f>
        <v>7.2759576141834259E-12</v>
      </c>
      <c r="L31" s="3883">
        <f t="shared" ref="L31:L33" si="33">IF(K31="NA","NA",K31/I31*100)</f>
        <v>1.2267131649680622E-14</v>
      </c>
      <c r="M31" s="3884">
        <f>IF(K31="NA","NA",K31/Table8s2!$G$35*100)</f>
        <v>1.358850153742533E-15</v>
      </c>
      <c r="N31" s="3885">
        <f>IF(K31="NA","NA",K31/Table8s2!$G$34*100)</f>
        <v>1.3090595656184578E-15</v>
      </c>
      <c r="O31" s="3886"/>
      <c r="P31" s="3887"/>
      <c r="Q31" s="3868"/>
      <c r="R31" s="3888"/>
      <c r="S31" s="3889"/>
      <c r="T31" s="3890"/>
    </row>
    <row r="32" spans="2:20" ht="18" customHeight="1" x14ac:dyDescent="0.2">
      <c r="B32" s="620" t="s">
        <v>1493</v>
      </c>
      <c r="C32" s="3891"/>
      <c r="D32" s="3891"/>
      <c r="E32" s="3892"/>
      <c r="F32" s="3892"/>
      <c r="G32" s="3869"/>
      <c r="H32" s="3870"/>
      <c r="I32" s="3846">
        <v>7016.6397221399984</v>
      </c>
      <c r="J32" s="3847">
        <f>Summary2!D33</f>
        <v>7016.6397221399993</v>
      </c>
      <c r="K32" s="3893">
        <f t="shared" si="32"/>
        <v>9.0949470177292824E-13</v>
      </c>
      <c r="L32" s="3893">
        <f t="shared" si="33"/>
        <v>1.2961969515167614E-14</v>
      </c>
      <c r="M32" s="3884">
        <f>IF(K32="NA","NA",K32/Table8s2!$G$35*100)</f>
        <v>1.6985626921781662E-16</v>
      </c>
      <c r="N32" s="3885">
        <f>IF(K32="NA","NA",K32/Table8s2!$G$34*100)</f>
        <v>1.6363244570230722E-16</v>
      </c>
      <c r="O32" s="3848">
        <v>451.38439599590191</v>
      </c>
      <c r="P32" s="3847">
        <f>Summary2!E33</f>
        <v>451.38439599590197</v>
      </c>
      <c r="Q32" s="3893">
        <f t="shared" ref="Q32" si="34">IF(P32="NO",IF(O32="NO","NA",-O32),IF(O32="NO",P32,P32-O32))</f>
        <v>5.6843418860808015E-14</v>
      </c>
      <c r="R32" s="3894">
        <f t="shared" ref="R32" si="35">IF(Q32="NA","NA",Q32/O32*100)</f>
        <v>1.2593128908542087E-14</v>
      </c>
      <c r="S32" s="3895">
        <f>IF(Q32="NA","NA",Q32/Table8s2!$G$35*100)</f>
        <v>1.0616016826113539E-17</v>
      </c>
      <c r="T32" s="3896">
        <f>IF(Q32="NA","NA",Q32/Table8s2!$G$34*100)</f>
        <v>1.0227027856394201E-17</v>
      </c>
    </row>
    <row r="33" spans="2:21" ht="18" customHeight="1" x14ac:dyDescent="0.2">
      <c r="B33" s="620" t="s">
        <v>1494</v>
      </c>
      <c r="C33" s="3891"/>
      <c r="D33" s="3891"/>
      <c r="E33" s="3892"/>
      <c r="F33" s="3892"/>
      <c r="G33" s="3897"/>
      <c r="H33" s="3898"/>
      <c r="I33" s="3848">
        <v>341.22009303200002</v>
      </c>
      <c r="J33" s="3847">
        <f>Summary2!D34</f>
        <v>341.22009303200002</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12068.807494849272</v>
      </c>
      <c r="P34" s="3847">
        <f>Summary2!E35</f>
        <v>12068.786465089695</v>
      </c>
      <c r="Q34" s="3893">
        <f t="shared" ref="Q34" si="36">IF(P34="NO",IF(O34="NO","NA",-O34),IF(O34="NO",P34,P34-O34))</f>
        <v>-2.1029759576776996E-2</v>
      </c>
      <c r="R34" s="3894">
        <f t="shared" ref="R34" si="37">IF(Q34="NA","NA",Q34/O34*100)</f>
        <v>-1.7424886084024525E-4</v>
      </c>
      <c r="S34" s="3895">
        <f>IF(Q34="NA","NA",Q34/Table8s2!$G$35*100)</f>
        <v>-3.9274956712730963E-6</v>
      </c>
      <c r="T34" s="3896">
        <f>IF(Q34="NA","NA",Q34/Table8s2!$G$34*100)</f>
        <v>-3.7835855287243695E-6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247.84184110353104</v>
      </c>
      <c r="J36" s="3847">
        <f>Summary2!D37</f>
        <v>247.84184110353107</v>
      </c>
      <c r="K36" s="3893">
        <f t="shared" ref="K36" si="38">IF(J36="NO",IF(I36="NO","NA",-I36),IF(I36="NO",J36,J36-I36))</f>
        <v>2.8421709430404007E-14</v>
      </c>
      <c r="L36" s="3893">
        <f t="shared" ref="L36" si="39">IF(K36="NA","NA",K36/I36*100)</f>
        <v>1.1467680075266791E-14</v>
      </c>
      <c r="M36" s="3884">
        <f>IF(K36="NA","NA",K36/Table8s2!$G$35*100)</f>
        <v>5.3080084130567695E-18</v>
      </c>
      <c r="N36" s="3885">
        <f>IF(K36="NA","NA",K36/Table8s2!$G$34*100)</f>
        <v>5.1135139281971007E-18</v>
      </c>
      <c r="O36" s="3848">
        <v>98.611633693357646</v>
      </c>
      <c r="P36" s="3847">
        <f>Summary2!E37</f>
        <v>98.61163369335766</v>
      </c>
      <c r="Q36" s="3893">
        <f t="shared" ref="Q36" si="40">IF(P36="NO",IF(O36="NO","NA",-O36),IF(O36="NO",P36,P36-O36))</f>
        <v>1.4210854715202004E-14</v>
      </c>
      <c r="R36" s="3894">
        <f t="shared" ref="R36" si="41">IF(Q36="NA","NA",Q36/O36*100)</f>
        <v>1.4410931228856852E-14</v>
      </c>
      <c r="S36" s="3895">
        <f>IF(Q36="NA","NA",Q36/Table8s2!$G$35*100)</f>
        <v>2.6540042065283847E-18</v>
      </c>
      <c r="T36" s="3896">
        <f>IF(Q36="NA","NA",Q36/Table8s2!$G$34*100)</f>
        <v>2.5567569640985503E-18</v>
      </c>
    </row>
    <row r="37" spans="2:21" ht="18" customHeight="1" x14ac:dyDescent="0.2">
      <c r="B37" s="620" t="s">
        <v>721</v>
      </c>
      <c r="C37" s="3847">
        <v>1138.7434395518412</v>
      </c>
      <c r="D37" s="3847">
        <f>Summary2!C38</f>
        <v>1138.7434395518412</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1352.1662859830203</v>
      </c>
      <c r="D38" s="3847">
        <f>Summary2!C39</f>
        <v>1352.1662859830203</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-3061.8528214784701</v>
      </c>
      <c r="D41" s="3839">
        <f>Summary2!C42</f>
        <v>-3577.6490938680945</v>
      </c>
      <c r="E41" s="3929">
        <f t="shared" ref="E41" si="42">IF(D41="NO",IF(C41="NO","NA",-C41),IF(C41="NO",D41,D41-C41))</f>
        <v>-515.79627238962439</v>
      </c>
      <c r="F41" s="3929">
        <f t="shared" ref="F41" si="43">IF(E41="NA","NA",E41/C41*100)</f>
        <v>16.845887195210217</v>
      </c>
      <c r="G41" s="3869"/>
      <c r="H41" s="3929">
        <f>IF(E41="NA","NA",E41/Table8s2!$G$34*100)</f>
        <v>-9.2799886981991361E-2</v>
      </c>
      <c r="I41" s="3846">
        <f>SUM(I42:I49)</f>
        <v>22523.487006669719</v>
      </c>
      <c r="J41" s="3839">
        <f>Summary2!D42</f>
        <v>19335.668945304333</v>
      </c>
      <c r="K41" s="3929">
        <f t="shared" ref="K41:K46" si="44">IF(J41="NO",IF(I41="NO","NA",-I41),IF(I41="NO",J41,J41-I41))</f>
        <v>-3187.8180613653858</v>
      </c>
      <c r="L41" s="3929">
        <f t="shared" ref="L41:L46" si="45">IF(K41="NA","NA",K41/I41*100)</f>
        <v>-14.153306104074383</v>
      </c>
      <c r="M41" s="3889"/>
      <c r="N41" s="3930">
        <f>IF(K41="NA","NA",K41/Table8s2!$G$34*100)</f>
        <v>-0.57353876258802039</v>
      </c>
      <c r="O41" s="3846">
        <f>SUM(O42:O49)</f>
        <v>4602.5851558454215</v>
      </c>
      <c r="P41" s="3839">
        <f>Summary2!E42</f>
        <v>4608.0130118635007</v>
      </c>
      <c r="Q41" s="3929">
        <f t="shared" ref="Q41" si="46">IF(P41="NO",IF(O41="NO","NA",-O41),IF(O41="NO",P41,P41-O41))</f>
        <v>5.4278560180791828</v>
      </c>
      <c r="R41" s="3929">
        <f t="shared" ref="R41" si="47">IF(Q41="NA","NA",Q41/O41*100)</f>
        <v>0.11793059409635567</v>
      </c>
      <c r="S41" s="3889"/>
      <c r="T41" s="3930">
        <f>IF(Q41="NA","NA",Q41/Table8s2!$G$34*100)</f>
        <v>9.7655693147735559E-4</v>
      </c>
      <c r="U41" s="713"/>
    </row>
    <row r="42" spans="2:21" ht="18" customHeight="1" x14ac:dyDescent="0.2">
      <c r="B42" s="620" t="s">
        <v>981</v>
      </c>
      <c r="C42" s="3847">
        <v>-55545.106915690478</v>
      </c>
      <c r="D42" s="3847">
        <f>Summary2!C43</f>
        <v>-56210.407494995394</v>
      </c>
      <c r="E42" s="3931">
        <f t="shared" ref="E42:E50" si="48">IF(D42="NO",IF(C42="NO","NA",-C42),IF(C42="NO",D42,D42-C42))</f>
        <v>-665.30057930491603</v>
      </c>
      <c r="F42" s="3931">
        <f t="shared" ref="F42:F50" si="49">IF(E42="NA","NA",E42/C42*100)</f>
        <v>1.1977663132681464</v>
      </c>
      <c r="G42" s="3889"/>
      <c r="H42" s="3931">
        <f>IF(E42="NA","NA",E42/Table8s2!$G$34*100)</f>
        <v>-0.11969807048530258</v>
      </c>
      <c r="I42" s="3848">
        <v>8738.0025156841111</v>
      </c>
      <c r="J42" s="3847">
        <f>Summary2!D43</f>
        <v>8354.3175965887112</v>
      </c>
      <c r="K42" s="3931">
        <f t="shared" si="44"/>
        <v>-383.68491909539989</v>
      </c>
      <c r="L42" s="3931">
        <f t="shared" si="45"/>
        <v>-4.3909911722583272</v>
      </c>
      <c r="M42" s="3889"/>
      <c r="N42" s="3932">
        <f>IF(K42="NA","NA",K42/Table8s2!$G$34*100)</f>
        <v>-6.9030970239062656E-2</v>
      </c>
      <c r="O42" s="3848">
        <v>1602.5913757733283</v>
      </c>
      <c r="P42" s="3847">
        <f>Summary2!E43</f>
        <v>1567.8393456929189</v>
      </c>
      <c r="Q42" s="3931">
        <f t="shared" ref="Q42:Q46" si="50">IF(P42="NO",IF(O42="NO","NA",-O42),IF(O42="NO",P42,P42-O42))</f>
        <v>-34.75203008040944</v>
      </c>
      <c r="R42" s="3931">
        <f t="shared" ref="R42:R46" si="51">IF(Q42="NA","NA",Q42/O42*100)</f>
        <v>-2.1684897726121792</v>
      </c>
      <c r="S42" s="3889"/>
      <c r="T42" s="3932">
        <f>IF(Q42="NA","NA",Q42/Table8s2!$G$34*100)</f>
        <v>-6.2524384848998251E-3</v>
      </c>
      <c r="U42" s="713"/>
    </row>
    <row r="43" spans="2:21" ht="18" customHeight="1" x14ac:dyDescent="0.2">
      <c r="B43" s="620" t="s">
        <v>984</v>
      </c>
      <c r="C43" s="3847">
        <v>5964.5642391820893</v>
      </c>
      <c r="D43" s="3847">
        <f>Summary2!C44</f>
        <v>5946.5026159676072</v>
      </c>
      <c r="E43" s="3931">
        <f t="shared" si="48"/>
        <v>-18.061623214482097</v>
      </c>
      <c r="F43" s="3931">
        <f t="shared" si="49"/>
        <v>-0.30281546966721673</v>
      </c>
      <c r="G43" s="3889"/>
      <c r="H43" s="3931">
        <f>IF(E43="NA","NA",E43/Table8s2!$G$34*100)</f>
        <v>-3.2495709696582263E-3</v>
      </c>
      <c r="I43" s="3848">
        <v>58.841715683925571</v>
      </c>
      <c r="J43" s="3847">
        <f>Summary2!D44</f>
        <v>58.776681600000003</v>
      </c>
      <c r="K43" s="3931">
        <f t="shared" si="44"/>
        <v>-6.5034083925567643E-2</v>
      </c>
      <c r="L43" s="3931">
        <f t="shared" si="45"/>
        <v>-0.1105237724115745</v>
      </c>
      <c r="M43" s="3889"/>
      <c r="N43" s="3932">
        <f>IF(K43="NA","NA",K43/Table8s2!$G$34*100)</f>
        <v>-1.1700657723464812E-5</v>
      </c>
      <c r="O43" s="3848">
        <v>37.916048133820254</v>
      </c>
      <c r="P43" s="3847">
        <f>Summary2!E44</f>
        <v>37.672757501752379</v>
      </c>
      <c r="Q43" s="3931">
        <f t="shared" si="50"/>
        <v>-0.24329063206787538</v>
      </c>
      <c r="R43" s="3931">
        <f t="shared" si="51"/>
        <v>-0.64165609034256299</v>
      </c>
      <c r="S43" s="3889"/>
      <c r="T43" s="3932">
        <f>IF(Q43="NA","NA",Q43/Table8s2!$G$34*100)</f>
        <v>-4.3771823039894923E-5</v>
      </c>
      <c r="U43" s="713"/>
    </row>
    <row r="44" spans="2:21" ht="18" customHeight="1" x14ac:dyDescent="0.2">
      <c r="B44" s="620" t="s">
        <v>987</v>
      </c>
      <c r="C44" s="3847">
        <v>46039.126704013113</v>
      </c>
      <c r="D44" s="3847">
        <f>Summary2!C45</f>
        <v>46182.290146237399</v>
      </c>
      <c r="E44" s="3931">
        <f t="shared" si="48"/>
        <v>143.16344222428597</v>
      </c>
      <c r="F44" s="3931">
        <f t="shared" si="49"/>
        <v>0.31096037756034756</v>
      </c>
      <c r="G44" s="3889"/>
      <c r="H44" s="3931">
        <f>IF(E44="NA","NA",E44/Table8s2!$G$34*100)</f>
        <v>2.5757361907282054E-2</v>
      </c>
      <c r="I44" s="3848">
        <v>8190.9882882830052</v>
      </c>
      <c r="J44" s="3847">
        <f>Summary2!D45</f>
        <v>8284.6773726433566</v>
      </c>
      <c r="K44" s="3931">
        <f t="shared" si="44"/>
        <v>93.689084360351444</v>
      </c>
      <c r="L44" s="3931">
        <f t="shared" si="45"/>
        <v>1.1438068406760051</v>
      </c>
      <c r="M44" s="3889"/>
      <c r="N44" s="3932">
        <f>IF(K44="NA","NA",K44/Table8s2!$G$34*100)</f>
        <v>1.6856144383919285E-2</v>
      </c>
      <c r="O44" s="3848">
        <v>2810.5971626894066</v>
      </c>
      <c r="P44" s="3847">
        <f>Summary2!E45</f>
        <v>2850.2303401136483</v>
      </c>
      <c r="Q44" s="3931">
        <f t="shared" si="50"/>
        <v>39.633177424241694</v>
      </c>
      <c r="R44" s="3931">
        <f t="shared" si="51"/>
        <v>1.4101336879710455</v>
      </c>
      <c r="S44" s="3889"/>
      <c r="T44" s="3932">
        <f>IF(Q44="NA","NA",Q44/Table8s2!$G$34*100)</f>
        <v>7.130633900604407E-3</v>
      </c>
      <c r="U44" s="713"/>
    </row>
    <row r="45" spans="2:21" ht="18" customHeight="1" x14ac:dyDescent="0.2">
      <c r="B45" s="620" t="s">
        <v>1525</v>
      </c>
      <c r="C45" s="3847">
        <v>326.84671490073839</v>
      </c>
      <c r="D45" s="3847">
        <f>Summary2!C46</f>
        <v>315.4268500924573</v>
      </c>
      <c r="E45" s="3931">
        <f t="shared" si="48"/>
        <v>-11.419864808281091</v>
      </c>
      <c r="F45" s="3931">
        <f t="shared" si="49"/>
        <v>-3.4939512277947302</v>
      </c>
      <c r="G45" s="3889"/>
      <c r="H45" s="3931">
        <f>IF(E45="NA","NA",E45/Table8s2!$G$34*100)</f>
        <v>-2.0546138471461812E-3</v>
      </c>
      <c r="I45" s="3848">
        <v>5497.2560021869795</v>
      </c>
      <c r="J45" s="3847">
        <f>Summary2!D46</f>
        <v>2599.0903024722684</v>
      </c>
      <c r="K45" s="3931">
        <f t="shared" si="44"/>
        <v>-2898.1656997147111</v>
      </c>
      <c r="L45" s="3931">
        <f t="shared" si="45"/>
        <v>-52.72022439125503</v>
      </c>
      <c r="M45" s="3889"/>
      <c r="N45" s="3932">
        <f>IF(K45="NA","NA",K45/Table8s2!$G$34*100)</f>
        <v>-0.52142573295963823</v>
      </c>
      <c r="O45" s="3848">
        <v>95.516041842889933</v>
      </c>
      <c r="P45" s="3847">
        <f>Summary2!E46</f>
        <v>96.134951575710431</v>
      </c>
      <c r="Q45" s="3931">
        <f t="shared" si="50"/>
        <v>0.61890973282049799</v>
      </c>
      <c r="R45" s="3931">
        <f t="shared" si="51"/>
        <v>0.64796417531467121</v>
      </c>
      <c r="S45" s="3889"/>
      <c r="T45" s="3932">
        <f>IF(Q45="NA","NA",Q45/Table8s2!$G$34*100)</f>
        <v>1.1135162530684474E-4</v>
      </c>
      <c r="U45" s="713"/>
    </row>
    <row r="46" spans="2:21" ht="18" customHeight="1" x14ac:dyDescent="0.2">
      <c r="B46" s="620" t="s">
        <v>1526</v>
      </c>
      <c r="C46" s="3847">
        <v>4103.3858410021694</v>
      </c>
      <c r="D46" s="3847">
        <f>Summary2!C47</f>
        <v>4124.2236562394728</v>
      </c>
      <c r="E46" s="3931">
        <f t="shared" si="48"/>
        <v>20.837815237303403</v>
      </c>
      <c r="F46" s="3931">
        <f t="shared" si="49"/>
        <v>0.50782003069480264</v>
      </c>
      <c r="G46" s="3889"/>
      <c r="H46" s="3931">
        <f>IF(E46="NA","NA",E46/Table8s2!$G$34*100)</f>
        <v>3.749051713798838E-3</v>
      </c>
      <c r="I46" s="3848">
        <v>38.39848483169672</v>
      </c>
      <c r="J46" s="3847">
        <f>Summary2!D47</f>
        <v>38.806992000000001</v>
      </c>
      <c r="K46" s="3931">
        <f t="shared" si="44"/>
        <v>0.40850716830328082</v>
      </c>
      <c r="L46" s="3931">
        <f t="shared" si="45"/>
        <v>1.0638627281617925</v>
      </c>
      <c r="M46" s="3889"/>
      <c r="N46" s="3932">
        <f>IF(K46="NA","NA",K46/Table8s2!$G$34*100)</f>
        <v>7.3496884485511771E-5</v>
      </c>
      <c r="O46" s="3848">
        <v>16.128502827003658</v>
      </c>
      <c r="P46" s="3847">
        <f>Summary2!E47</f>
        <v>16.29959240049752</v>
      </c>
      <c r="Q46" s="3931">
        <f t="shared" si="50"/>
        <v>0.17108957349386245</v>
      </c>
      <c r="R46" s="3931">
        <f t="shared" si="51"/>
        <v>1.0607901758085709</v>
      </c>
      <c r="S46" s="3889"/>
      <c r="T46" s="3932">
        <f>IF(Q46="NA","NA",Q46/Table8s2!$G$34*100)</f>
        <v>3.0781713505742894E-5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-3984.4302837209098</v>
      </c>
      <c r="D48" s="3847">
        <f>Summary2!C49</f>
        <v>-3969.4457462444443</v>
      </c>
      <c r="E48" s="3931">
        <f t="shared" si="48"/>
        <v>14.984537476465448</v>
      </c>
      <c r="F48" s="3931">
        <f t="shared" si="49"/>
        <v>-0.37607729109196386</v>
      </c>
      <c r="G48" s="3889"/>
      <c r="H48" s="3931">
        <f>IF(E48="NA","NA",E48/Table8s2!$G$34*100)</f>
        <v>2.6959546990347346E-3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33.760878834808885</v>
      </c>
      <c r="D49" s="3855">
        <f>Summary2!C50</f>
        <v>33.760878834808885</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39.836024578973074</v>
      </c>
      <c r="P49" s="3855">
        <f>Summary2!E50</f>
        <v>39.836024578973074</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31.499220380900699</v>
      </c>
      <c r="D50" s="3839">
        <f>Summary2!C51</f>
        <v>31.499220380900699</v>
      </c>
      <c r="E50" s="3839">
        <f t="shared" si="48"/>
        <v>0</v>
      </c>
      <c r="F50" s="3839">
        <f t="shared" si="49"/>
        <v>0</v>
      </c>
      <c r="G50" s="3844">
        <f>IF(E50="NA","NA",E50/Table8s2!$G$35*100)</f>
        <v>0</v>
      </c>
      <c r="H50" s="3845">
        <f>IF(E50="NA","NA",E50/Table8s2!$G$34*100)</f>
        <v>0</v>
      </c>
      <c r="I50" s="3839">
        <f>SUM(I51:I55)</f>
        <v>12829.257311817197</v>
      </c>
      <c r="J50" s="3839">
        <f>Summary2!D51</f>
        <v>12877.67609738074</v>
      </c>
      <c r="K50" s="3839">
        <f t="shared" ref="K50" si="54">IF(J50="NO",IF(I50="NO","NA",-I50),IF(I50="NO",J50,J50-I50))</f>
        <v>48.41878556354277</v>
      </c>
      <c r="L50" s="3839">
        <f t="shared" ref="L50" si="55">IF(K50="NA","NA",K50/I50*100)</f>
        <v>0.37740910784401832</v>
      </c>
      <c r="M50" s="3844">
        <f>IF(K50="NA","NA",K50/Table8s2!$G$35*100)</f>
        <v>9.0426412158849303E-3</v>
      </c>
      <c r="N50" s="3845">
        <f>IF(K50="NA","NA",K50/Table8s2!$G$34*100)</f>
        <v>8.7113034130419393E-3</v>
      </c>
      <c r="O50" s="3839">
        <f>SUM(O51:O55)</f>
        <v>498.64274618774175</v>
      </c>
      <c r="P50" s="3839">
        <f>Summary2!E51</f>
        <v>328.70701421268893</v>
      </c>
      <c r="Q50" s="3839">
        <f t="shared" si="52"/>
        <v>-169.93573197505282</v>
      </c>
      <c r="R50" s="3839">
        <f t="shared" si="53"/>
        <v>-34.079655880739729</v>
      </c>
      <c r="S50" s="3844">
        <f>IF(Q50="NA","NA",Q50/Table8s2!$G$35*100)</f>
        <v>-3.1737017691047399E-2</v>
      </c>
      <c r="T50" s="3845">
        <f>IF(Q50="NA","NA",Q50/Table8s2!$G$34*100)</f>
        <v>-3.0574119212661652E-2</v>
      </c>
    </row>
    <row r="51" spans="2:21" ht="18" customHeight="1" x14ac:dyDescent="0.2">
      <c r="B51" s="620" t="s">
        <v>1530</v>
      </c>
      <c r="C51" s="3918"/>
      <c r="D51" s="3918"/>
      <c r="E51" s="3888"/>
      <c r="F51" s="3903"/>
      <c r="G51" s="3904"/>
      <c r="H51" s="3905"/>
      <c r="I51" s="3839">
        <v>10211.991361556456</v>
      </c>
      <c r="J51" s="3839">
        <f>Summary2!D52</f>
        <v>10260.410147119999</v>
      </c>
      <c r="K51" s="3839">
        <f t="shared" ref="K51:K52" si="56">IF(J51="NO",IF(I51="NO","NA",-I51),IF(I51="NO",J51,J51-I51))</f>
        <v>48.41878556354277</v>
      </c>
      <c r="L51" s="3839">
        <f t="shared" ref="L51:L52" si="57">IF(K51="NA","NA",K51/I51*100)</f>
        <v>0.47413656993304626</v>
      </c>
      <c r="M51" s="3844">
        <f>IF(K51="NA","NA",K51/Table8s2!$G$35*100)</f>
        <v>9.0426412158849303E-3</v>
      </c>
      <c r="N51" s="3845">
        <f>IF(K51="NA","NA",K51/Table8s2!$G$34*100)</f>
        <v>8.7113034130419393E-3</v>
      </c>
      <c r="O51" s="3886"/>
      <c r="P51" s="3887"/>
      <c r="Q51" s="3940"/>
      <c r="R51" s="3941"/>
      <c r="S51" s="3942"/>
      <c r="T51" s="3943"/>
    </row>
    <row r="52" spans="2:21" ht="18" customHeight="1" x14ac:dyDescent="0.2">
      <c r="B52" s="1396" t="s">
        <v>1531</v>
      </c>
      <c r="C52" s="3918"/>
      <c r="D52" s="3918"/>
      <c r="E52" s="3888"/>
      <c r="F52" s="3903"/>
      <c r="G52" s="3904"/>
      <c r="H52" s="3905"/>
      <c r="I52" s="3849">
        <v>116.22771783</v>
      </c>
      <c r="J52" s="3847">
        <f>Summary2!D53</f>
        <v>116.22771783</v>
      </c>
      <c r="K52" s="3839">
        <f t="shared" si="56"/>
        <v>0</v>
      </c>
      <c r="L52" s="3839">
        <f t="shared" si="57"/>
        <v>0</v>
      </c>
      <c r="M52" s="3844">
        <f>IF(K52="NA","NA",K52/Table8s2!$G$35*100)</f>
        <v>0</v>
      </c>
      <c r="N52" s="3845">
        <f>IF(K52="NA","NA",K52/Table8s2!$G$34*100)</f>
        <v>0</v>
      </c>
      <c r="O52" s="3839">
        <v>140.80157817120002</v>
      </c>
      <c r="P52" s="3839">
        <f>Summary2!E53</f>
        <v>140.80157817120002</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31.499220380900699</v>
      </c>
      <c r="D53" s="3839">
        <f>Summary2!C54</f>
        <v>31.499220380900699</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2501.0382324307411</v>
      </c>
      <c r="J54" s="3847">
        <f>Summary2!D55</f>
        <v>2501.0382324307407</v>
      </c>
      <c r="K54" s="3839">
        <f t="shared" ref="K54" si="62">IF(J54="NO",IF(I54="NO","NA",-I54),IF(I54="NO",J54,J54-I54))</f>
        <v>-4.5474735088646412E-13</v>
      </c>
      <c r="L54" s="3839">
        <f t="shared" ref="L54" si="63">IF(K54="NA","NA",K54/I54*100)</f>
        <v>-1.8182343036175756E-14</v>
      </c>
      <c r="M54" s="3844">
        <f>IF(K54="NA","NA",K54/Table8s2!$G$35*100)</f>
        <v>-8.4928134608908312E-17</v>
      </c>
      <c r="N54" s="3845">
        <f>IF(K54="NA","NA",K54/Table8s2!$G$34*100)</f>
        <v>-8.1816222851153611E-17</v>
      </c>
      <c r="O54" s="3839">
        <v>357.8411680165417</v>
      </c>
      <c r="P54" s="3839">
        <f>Summary2!E55</f>
        <v>187.90543604148888</v>
      </c>
      <c r="Q54" s="3839">
        <f t="shared" ref="Q54" si="64">IF(P54="NO",IF(O54="NO","NA",-O54),IF(O54="NO",P54,P54-O54))</f>
        <v>-169.93573197505282</v>
      </c>
      <c r="R54" s="3839">
        <f t="shared" ref="R54" si="65">IF(Q54="NA","NA",Q54/O54*100)</f>
        <v>-47.489150819895961</v>
      </c>
      <c r="S54" s="3844">
        <f>IF(Q54="NA","NA",Q54/Table8s2!$G$35*100)</f>
        <v>-3.1737017691047399E-2</v>
      </c>
      <c r="T54" s="3845">
        <f>IF(Q54="NA","NA",Q54/Table8s2!$G$34*100)</f>
        <v>-3.0574119212661652E-2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14128.3205</v>
      </c>
      <c r="D59" s="3847">
        <f>Summary2!C60</f>
        <v>14128.3205</v>
      </c>
      <c r="E59" s="3861">
        <f t="shared" ref="E59" si="66">IF(D59="NO",IF(C59="NO","NA",-C59),IF(C59="NO",D59,D59-C59))</f>
        <v>0</v>
      </c>
      <c r="F59" s="3861">
        <f t="shared" ref="F59" si="67">IF(E59="NA","NA",E59/C59*100)</f>
        <v>0</v>
      </c>
      <c r="G59" s="3862">
        <f>IF(E59="NA","NA",E59/Table8s2!$G$35*100)</f>
        <v>0</v>
      </c>
      <c r="H59" s="3863">
        <f>IF(E59="NA","NA",E59/Table8s2!$G$34*100)</f>
        <v>0</v>
      </c>
      <c r="I59" s="3847">
        <v>6.6447698800000001</v>
      </c>
      <c r="J59" s="3847">
        <f>Summary2!D60</f>
        <v>6.644769880000001</v>
      </c>
      <c r="K59" s="3861">
        <f t="shared" ref="K59:K61" si="68">IF(J59="NO",IF(I59="NO","NA",-I59),IF(I59="NO",J59,J59-I59))</f>
        <v>8.8817841970012523E-16</v>
      </c>
      <c r="L59" s="3861">
        <f t="shared" ref="L59:L61" si="69">IF(K59="NA","NA",K59/I59*100)</f>
        <v>1.3366579065039423E-14</v>
      </c>
      <c r="M59" s="3862">
        <f>IF(K59="NA","NA",K59/Table8s2!$G$35*100)</f>
        <v>1.6587526290802405E-19</v>
      </c>
      <c r="N59" s="3863">
        <f>IF(K59="NA","NA",K59/Table8s2!$G$34*100)</f>
        <v>1.597973102561594E-19</v>
      </c>
      <c r="O59" s="3848">
        <v>32.046840324359152</v>
      </c>
      <c r="P59" s="3847">
        <f>Summary2!E60</f>
        <v>32.046840324357895</v>
      </c>
      <c r="Q59" s="3861">
        <f t="shared" ref="Q59" si="70">IF(P59="NO",IF(O59="NO","NA",-O59),IF(O59="NO",P59,P59-O59))</f>
        <v>-1.2576606422953773E-12</v>
      </c>
      <c r="R59" s="3966">
        <f t="shared" ref="R59" si="71">IF(Q59="NA","NA",Q59/O59*100)</f>
        <v>-3.9244450609360562E-12</v>
      </c>
      <c r="S59" s="3967">
        <f>IF(Q59="NA","NA",Q59/Table8s2!$G$35*100)</f>
        <v>-2.3487937227776205E-16</v>
      </c>
      <c r="T59" s="3968">
        <f>IF(Q59="NA","NA",Q59/Table8s2!$G$34*100)</f>
        <v>-2.2627299132272171E-16</v>
      </c>
    </row>
    <row r="60" spans="2:21" ht="18" customHeight="1" x14ac:dyDescent="0.2">
      <c r="B60" s="1410" t="s">
        <v>111</v>
      </c>
      <c r="C60" s="3847">
        <v>11893.248</v>
      </c>
      <c r="D60" s="3847">
        <f>Summary2!C61</f>
        <v>11893.248</v>
      </c>
      <c r="E60" s="3861">
        <f t="shared" ref="E60:E61" si="72">IF(D60="NO",IF(C60="NO","NA",-C60),IF(C60="NO",D60,D60-C60))</f>
        <v>0</v>
      </c>
      <c r="F60" s="3861">
        <f t="shared" ref="F60:F61" si="73">IF(E60="NA","NA",E60/C60*100)</f>
        <v>0</v>
      </c>
      <c r="G60" s="3862">
        <f>IF(E60="NA","NA",E60/Table8s2!$G$35*100)</f>
        <v>0</v>
      </c>
      <c r="H60" s="3863">
        <f>IF(E60="NA","NA",E60/Table8s2!$G$34*100)</f>
        <v>0</v>
      </c>
      <c r="I60" s="3847">
        <v>0.67754988000000005</v>
      </c>
      <c r="J60" s="3847">
        <f>Summary2!D61</f>
        <v>0.67754988000000016</v>
      </c>
      <c r="K60" s="3861">
        <f t="shared" si="68"/>
        <v>1.1102230246251565E-16</v>
      </c>
      <c r="L60" s="3861">
        <f t="shared" si="69"/>
        <v>1.6385849328541782E-14</v>
      </c>
      <c r="M60" s="3862">
        <f>IF(K60="NA","NA",K60/Table8s2!$G$35*100)</f>
        <v>2.0734407863503006E-20</v>
      </c>
      <c r="N60" s="3863">
        <f>IF(K60="NA","NA",K60/Table8s2!$G$34*100)</f>
        <v>1.9974663782019925E-20</v>
      </c>
      <c r="O60" s="3848">
        <v>15.910990324359149</v>
      </c>
      <c r="P60" s="3847">
        <f>Summary2!E61</f>
        <v>15.910990324357895</v>
      </c>
      <c r="Q60" s="3861">
        <f t="shared" ref="Q60:Q61" si="74">IF(P60="NO",IF(O60="NO","NA",-O60),IF(O60="NO",P60,P60-O60))</f>
        <v>-1.2541079286165768E-12</v>
      </c>
      <c r="R60" s="3966">
        <f t="shared" ref="R60:R61" si="75">IF(Q60="NA","NA",Q60/O60*100)</f>
        <v>-7.8820230736774643E-12</v>
      </c>
      <c r="S60" s="3967">
        <f>IF(Q60="NA","NA",Q60/Table8s2!$G$35*100)</f>
        <v>-2.3421587122613E-16</v>
      </c>
      <c r="T60" s="3968">
        <f>IF(Q60="NA","NA",Q60/Table8s2!$G$34*100)</f>
        <v>-2.2563380208169707E-16</v>
      </c>
    </row>
    <row r="61" spans="2:21" ht="18" customHeight="1" x14ac:dyDescent="0.2">
      <c r="B61" s="1411" t="s">
        <v>1503</v>
      </c>
      <c r="C61" s="3847">
        <v>2235.0724999999998</v>
      </c>
      <c r="D61" s="3847">
        <f>Summary2!C62</f>
        <v>2235.0724999999998</v>
      </c>
      <c r="E61" s="3861">
        <f t="shared" si="72"/>
        <v>0</v>
      </c>
      <c r="F61" s="3861">
        <f t="shared" si="73"/>
        <v>0</v>
      </c>
      <c r="G61" s="3862">
        <f>IF(E61="NA","NA",E61/Table8s2!$G$35*100)</f>
        <v>0</v>
      </c>
      <c r="H61" s="3863">
        <f>IF(E61="NA","NA",E61/Table8s2!$G$34*100)</f>
        <v>0</v>
      </c>
      <c r="I61" s="3847">
        <v>5.9672200000000002</v>
      </c>
      <c r="J61" s="3847">
        <f>Summary2!D62</f>
        <v>5.9672200000000011</v>
      </c>
      <c r="K61" s="3861">
        <f t="shared" si="68"/>
        <v>8.8817841970012523E-16</v>
      </c>
      <c r="L61" s="3861">
        <f t="shared" si="69"/>
        <v>1.4884291507605303E-14</v>
      </c>
      <c r="M61" s="3862">
        <f>IF(K61="NA","NA",K61/Table8s2!$G$35*100)</f>
        <v>1.6587526290802405E-19</v>
      </c>
      <c r="N61" s="3863">
        <f>IF(K61="NA","NA",K61/Table8s2!$G$34*100)</f>
        <v>1.597973102561594E-19</v>
      </c>
      <c r="O61" s="3848">
        <v>16.135850000000001</v>
      </c>
      <c r="P61" s="3847">
        <f>Summary2!E62</f>
        <v>16.135850000000001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17928.421266022815</v>
      </c>
      <c r="D63" s="3847">
        <f>Summary2!C64</f>
        <v>17928.42126602283</v>
      </c>
      <c r="E63" s="3861">
        <f t="shared" ref="E63:E65" si="76">IF(D63="NO",IF(C63="NO","NA",-C63),IF(C63="NO",D63,D63-C63))</f>
        <v>1.4551915228366852E-11</v>
      </c>
      <c r="F63" s="3861">
        <f t="shared" ref="F63:F65" si="77">IF(E63="NA","NA",E63/C63*100)</f>
        <v>8.1166740854896278E-14</v>
      </c>
      <c r="G63" s="3862">
        <f>IF(E63="NA","NA",E63/Table8s2!$G$35*100)</f>
        <v>2.717700307485066E-15</v>
      </c>
      <c r="H63" s="3863">
        <f>IF(E63="NA","NA",E63/Table8s2!$G$34*100)</f>
        <v>2.6181191312369155E-15</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-295299.78759895614</v>
      </c>
      <c r="D65" s="3849">
        <f>Summary2!C66</f>
        <v>-295720.46673272207</v>
      </c>
      <c r="E65" s="3977">
        <f t="shared" si="76"/>
        <v>-420.67913376592332</v>
      </c>
      <c r="F65" s="3984">
        <f t="shared" si="77"/>
        <v>0.14245832588855217</v>
      </c>
      <c r="G65" s="3985">
        <f>IF(E65="NA","NA",E65/Table8s2!$G$35*100)</f>
        <v>-7.8565590387686055E-2</v>
      </c>
      <c r="H65" s="3986">
        <f>IF(E65="NA","NA",E65/Table8s2!$G$34*100)</f>
        <v>-7.5686813106067369E-2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8837.371668775806</v>
      </c>
      <c r="D10" s="4019">
        <f>IF(SUM(D11:D30)=0,"NO",SUM(D11:D30))</f>
        <v>8837.371668775806</v>
      </c>
      <c r="E10" s="4019">
        <f>IF(D10="NO",IF(C10="NO","NA",-C10),IF(C10="NO",D10,D10-C10))</f>
        <v>0</v>
      </c>
      <c r="F10" s="4019">
        <f>IF(E10="NA","NA",E10/C10*100)</f>
        <v>0</v>
      </c>
      <c r="G10" s="4020">
        <f>IF(E10="NA","NA",E10/$G$35*100)</f>
        <v>0</v>
      </c>
      <c r="H10" s="4021">
        <f>IF(E10="NA","NA",E10/$G$34*100)</f>
        <v>0</v>
      </c>
      <c r="I10" s="4022">
        <f>IF(SUM(I11:I30)=0,"NO",SUM(I11:I30))</f>
        <v>173.10697875319798</v>
      </c>
      <c r="J10" s="4022">
        <f>IF(SUM(J11:J30)=0,"NO",SUM(J11:J30))</f>
        <v>173.10697875319798</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108.87625703363453</v>
      </c>
      <c r="V10" s="4019">
        <f>IF(SUM(V11:V30)=0,"NO",SUM(V11:V30))</f>
        <v>108.87625703363454</v>
      </c>
      <c r="W10" s="4019">
        <f>IF(V10="NO",IF(U10="NO","NA",-U10),IF(U10="NO",V10,V10-U10))</f>
        <v>1.4210854715202004E-14</v>
      </c>
      <c r="X10" s="4023">
        <f>IF(W10="NA","NA",W10/U10*100)</f>
        <v>1.3052299098426874E-14</v>
      </c>
      <c r="Y10" s="4024">
        <f>IF(W10="NA","NA",W10/$G$35*100)</f>
        <v>2.6540042065283847E-18</v>
      </c>
      <c r="Z10" s="4021">
        <f>IF(W10="NA","NA",W10/$G$34*100)</f>
        <v>2.5567569640985503E-18</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173.10697875319798</v>
      </c>
      <c r="J13" s="3839">
        <f>'Table2(II)'!AH41</f>
        <v>173.10697875319798</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8462.9838296511753</v>
      </c>
      <c r="D21" s="3847">
        <f>'Table2(I)'!F46</f>
        <v>8462.9838296511753</v>
      </c>
      <c r="E21" s="3847">
        <f>IF(D21="NO",IF(C21="NO","NA",-C21),IF(C21="NO",D21,D21-C21))</f>
        <v>0</v>
      </c>
      <c r="F21" s="4016">
        <f>IF(E21="NA","NA",E21/C21*100)</f>
        <v>0</v>
      </c>
      <c r="G21" s="3871">
        <f>IF(E21="NA","NA",E21/$G$35*100)</f>
        <v>0</v>
      </c>
      <c r="H21" s="3872">
        <f>IF(E21="NA","NA",E21/$G$34*100)</f>
        <v>0</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70.641113130876192</v>
      </c>
      <c r="D22" s="3847">
        <f>'Table2(I)'!F47</f>
        <v>70.641113130876164</v>
      </c>
      <c r="E22" s="3847">
        <f t="shared" ref="E22:E25" si="0">IF(D22="NO",IF(C22="NO","NA",-C22),IF(C22="NO",D22,D22-C22))</f>
        <v>-2.8421709430404007E-14</v>
      </c>
      <c r="F22" s="4016">
        <f t="shared" ref="F22:F25" si="1">IF(E22="NA","NA",E22/C22*100)</f>
        <v>-4.0233949000417571E-14</v>
      </c>
      <c r="G22" s="3871">
        <f t="shared" ref="G22:G25" si="2">IF(E22="NA","NA",E22/$G$35*100)</f>
        <v>-5.3080084130567695E-18</v>
      </c>
      <c r="H22" s="3872">
        <f t="shared" ref="H22:H25" si="3">IF(E22="NA","NA",E22/$G$34*100)</f>
        <v>-5.1135139281971007E-18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72.969348919314001</v>
      </c>
      <c r="D23" s="3847">
        <f>'Table2(I)'!F48</f>
        <v>72.969348919314001</v>
      </c>
      <c r="E23" s="3847">
        <f t="shared" si="0"/>
        <v>0</v>
      </c>
      <c r="F23" s="4016">
        <f t="shared" si="1"/>
        <v>0</v>
      </c>
      <c r="G23" s="3871">
        <f t="shared" si="2"/>
        <v>0</v>
      </c>
      <c r="H23" s="3872">
        <f t="shared" si="3"/>
        <v>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135.59134443225329</v>
      </c>
      <c r="D24" s="3847">
        <f>'Table2(I)'!F49</f>
        <v>135.59134443225327</v>
      </c>
      <c r="E24" s="3847">
        <f t="shared" si="0"/>
        <v>-2.8421709430404007E-14</v>
      </c>
      <c r="F24" s="4016">
        <f t="shared" si="1"/>
        <v>-2.0961300700580187E-14</v>
      </c>
      <c r="G24" s="3871">
        <f t="shared" si="2"/>
        <v>-5.3080084130567695E-18</v>
      </c>
      <c r="H24" s="3872">
        <f t="shared" si="3"/>
        <v>-5.1135139281971007E-18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95.186032642186646</v>
      </c>
      <c r="D25" s="3847">
        <f>'Table2(I)'!F50</f>
        <v>95.186032642186618</v>
      </c>
      <c r="E25" s="3847">
        <f t="shared" si="0"/>
        <v>-2.8421709430404007E-14</v>
      </c>
      <c r="F25" s="4016">
        <f t="shared" si="1"/>
        <v>-2.9859117605251933E-14</v>
      </c>
      <c r="G25" s="3871">
        <f t="shared" si="2"/>
        <v>-5.3080084130567695E-18</v>
      </c>
      <c r="H25" s="3872">
        <f t="shared" si="3"/>
        <v>-5.1135139281971007E-18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89.783968701172569</v>
      </c>
      <c r="V27" s="3847">
        <f>IFERROR('Table2(I)'!I53*23500,'Table2(I)'!I53)</f>
        <v>89.783968701172554</v>
      </c>
      <c r="W27" s="3847">
        <f>IF(V27="NO",IF(U27="NO","NA",-U27),IF(U27="NO",V27,V27-U27))</f>
        <v>-1.4210854715202004E-14</v>
      </c>
      <c r="X27" s="4016">
        <f>IF(W27="NA","NA",W27/U27*100)</f>
        <v>-1.5827830870898463E-14</v>
      </c>
      <c r="Y27" s="3871">
        <f>IF(W27="NA","NA",W27/$G$35*100)</f>
        <v>-2.6540042065283847E-18</v>
      </c>
      <c r="Z27" s="3872">
        <f>IF(W27="NA","NA",W27/$G$34*100)</f>
        <v>-2.5567569640985503E-18</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19.092288332461962</v>
      </c>
      <c r="V28" s="3847">
        <f>IFERROR('Table2(I)'!I54*23500,'Table2(I)'!I54)</f>
        <v>19.092288332461994</v>
      </c>
      <c r="W28" s="3847">
        <f>IF(V28="NO",IF(U28="NO","NA",-U28),IF(U28="NO",V28,V28-U28))</f>
        <v>3.1974423109204508E-14</v>
      </c>
      <c r="X28" s="4016">
        <f>IF(W28="NA","NA",W28/U28*100)</f>
        <v>1.6747297417900135E-13</v>
      </c>
      <c r="Y28" s="3871">
        <f>IF(W28="NA","NA",W28/$G$35*100)</f>
        <v>5.9715094646888658E-18</v>
      </c>
      <c r="Z28" s="3872">
        <f>IF(W28="NA","NA",W28/$G$34*100)</f>
        <v>5.7527031692217386E-18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560544.96648362232</v>
      </c>
      <c r="F34" s="4523"/>
      <c r="G34" s="4522">
        <f>SUM(Table8s1!D10,Table8s1!J10,Table8s1!P10,D10,J10,P10,V10,AB10)</f>
        <v>555815.62560493115</v>
      </c>
      <c r="H34" s="4523"/>
      <c r="I34" s="3839">
        <f>G34-E34</f>
        <v>-4729.340878691175</v>
      </c>
      <c r="J34" s="4045">
        <f>IF(I34="NA","NA",I34/E34*100)</f>
        <v>-0.8437041025199099</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536480.74714258569</v>
      </c>
      <c r="F35" s="4525"/>
      <c r="G35" s="4526">
        <f>G34-SUM(Table8s1!D41,Table8s1!J41,Table8s1!P41)</f>
        <v>535449.59274163144</v>
      </c>
      <c r="H35" s="4527"/>
      <c r="I35" s="3855">
        <f>G35-E35</f>
        <v>-1031.1544009542558</v>
      </c>
      <c r="J35" s="4046">
        <f>IF(I35="NA","NA",I35/E35*100)</f>
        <v>-0.19220715868116622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1344962.8767325706</v>
      </c>
      <c r="D10" s="1913" t="s">
        <v>1814</v>
      </c>
      <c r="E10" s="628"/>
      <c r="F10" s="628"/>
      <c r="G10" s="628"/>
      <c r="H10" s="1847">
        <f>IF(SUM(H11:H14)=0,"NO",SUM(H11:H14))</f>
        <v>91221.431392901039</v>
      </c>
      <c r="I10" s="1847">
        <f>IF(SUM(I11:I15)=0,"NO",SUM(I11:I15))</f>
        <v>15.150794815782332</v>
      </c>
      <c r="J10" s="2192">
        <f>IF(SUM(J11:J15)=0,"NO",SUM(J11:J15))</f>
        <v>5.5646353224705187</v>
      </c>
    </row>
    <row r="11" spans="2:11" ht="18" customHeight="1" x14ac:dyDescent="0.2">
      <c r="B11" s="282" t="s">
        <v>132</v>
      </c>
      <c r="C11" s="1913">
        <f>IF(SUM(C17:C18,C21:C24,C82,C89:C92,C100)=0,"NO",SUM(C17:C18,C21:C24,C82,C89:C92,C100))</f>
        <v>1324516.9082144536</v>
      </c>
      <c r="D11" s="1909" t="s">
        <v>1814</v>
      </c>
      <c r="E11" s="1913">
        <f>IFERROR(H11*1000/$C11,"NA")</f>
        <v>68.332769939164649</v>
      </c>
      <c r="F11" s="1913">
        <f t="shared" ref="F11:G15" si="0">IFERROR(I11*1000000/$C11,"NA")</f>
        <v>10.935912290786433</v>
      </c>
      <c r="G11" s="1913">
        <f t="shared" si="0"/>
        <v>4.1617839126558902</v>
      </c>
      <c r="H11" s="1913">
        <f>IF(SUM(H17:H18,H21:H24,H82,H89:H92,H100)=0,"NO",SUM(H17:H18,H21:H24,H82,H89:H92,H100))</f>
        <v>90507.909169551931</v>
      </c>
      <c r="I11" s="1913">
        <f>IF(SUM(I17:I18,I21:I24,I82,I89:I92,I100)=0,"NO",SUM(I17:I18,I21:I24,I82,I89:I92,I100))</f>
        <v>14.484800735896888</v>
      </c>
      <c r="J11" s="3085">
        <f>IF(SUM(J17:J18,J21:J24,J82,J89:J92,J100)=0,"NO",SUM(J17:J18,J21:J24,J82,J89:J92,J100))</f>
        <v>5.5123531606476313</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13853.211051799502</v>
      </c>
      <c r="D13" s="1909" t="s">
        <v>1814</v>
      </c>
      <c r="E13" s="1913">
        <f t="shared" si="1"/>
        <v>51.411918339264993</v>
      </c>
      <c r="F13" s="1913">
        <f t="shared" si="0"/>
        <v>32.415463497389162</v>
      </c>
      <c r="G13" s="1913">
        <f t="shared" si="0"/>
        <v>0.31513999429268819</v>
      </c>
      <c r="H13" s="1913">
        <f>IF(SUM(H26,H84,H94,H102)=0,"NO",SUM(H26,H84,H94,H102))</f>
        <v>712.2201553317193</v>
      </c>
      <c r="I13" s="1913">
        <f>IF(SUM(I26,I84,I94,I102)=0,"NO",SUM(I26,I84,I94,I102))</f>
        <v>0.44905825717123493</v>
      </c>
      <c r="J13" s="3085">
        <f>IF(SUM(J26,J84,J94,J102)=0,"NO",SUM(J26,J84,J94,J102))</f>
        <v>4.3657008517995E-3</v>
      </c>
    </row>
    <row r="14" spans="2:11" ht="18" customHeight="1" x14ac:dyDescent="0.2">
      <c r="B14" s="282" t="s">
        <v>175</v>
      </c>
      <c r="C14" s="1913">
        <f>IF(SUM(C28,C86,C96,C103)=0,"NO",SUM(C28,C86,C96,C103))</f>
        <v>17.763547304139571</v>
      </c>
      <c r="D14" s="1909" t="s">
        <v>1814</v>
      </c>
      <c r="E14" s="1913">
        <f t="shared" si="1"/>
        <v>73.300000000000125</v>
      </c>
      <c r="F14" s="1913" t="str">
        <f t="shared" si="0"/>
        <v>NA</v>
      </c>
      <c r="G14" s="1913" t="str">
        <f t="shared" si="0"/>
        <v>NA</v>
      </c>
      <c r="H14" s="1913">
        <f>IF(SUM(H28,H86,H96,H103)=0,"NO",SUM(H28,H86,H96,H103))</f>
        <v>1.3020680173934329</v>
      </c>
      <c r="I14" s="1913" t="str">
        <f>IF(SUM(I28,I86,I96,I103)=0,"NO",SUM(I28,I86,I96,I103))</f>
        <v>NO</v>
      </c>
      <c r="J14" s="3085" t="str">
        <f>IF(SUM(J28,J86,J96,J103)=0,"NO",SUM(J28,J86,J96,J103))</f>
        <v>NO</v>
      </c>
    </row>
    <row r="15" spans="2:11" ht="18" customHeight="1" x14ac:dyDescent="0.2">
      <c r="B15" s="282" t="s">
        <v>137</v>
      </c>
      <c r="C15" s="1913">
        <f>IF(SUM(C19,C27,C85,C95,C104)=0,"NO",SUM(C19,C27,C85,C95,C104))</f>
        <v>6574.99391901335</v>
      </c>
      <c r="D15" s="1913" t="s">
        <v>1814</v>
      </c>
      <c r="E15" s="1913">
        <f t="shared" si="1"/>
        <v>67.259999999999962</v>
      </c>
      <c r="F15" s="1913">
        <f t="shared" si="0"/>
        <v>32.994071992505098</v>
      </c>
      <c r="G15" s="1913">
        <f t="shared" si="0"/>
        <v>7.2876814125294933</v>
      </c>
      <c r="H15" s="1913">
        <f>IF(SUM(H19,H27,H85,H95,H104)=0,"NO",SUM(H19,H27,H85,H95,H104))</f>
        <v>442.23409099283771</v>
      </c>
      <c r="I15" s="1913">
        <f>IF(SUM(I19,I27,I85,I95,I104)=0,"NO",SUM(I19,I27,I85,I95,I104))</f>
        <v>0.21693582271420969</v>
      </c>
      <c r="J15" s="3085">
        <f>IF(SUM(J19,J27,J85,J95,J104)=0,"NO",SUM(J19,J27,J85,J95,J104))</f>
        <v>4.7916460971088037E-2</v>
      </c>
    </row>
    <row r="16" spans="2:11" ht="18" customHeight="1" x14ac:dyDescent="0.2">
      <c r="B16" s="1241" t="s">
        <v>176</v>
      </c>
      <c r="C16" s="1913">
        <f>IF(SUM(C17:C19)=0,"NO",SUM(C17:C19))</f>
        <v>122291.442691522</v>
      </c>
      <c r="D16" s="1909" t="s">
        <v>1814</v>
      </c>
      <c r="E16" s="628"/>
      <c r="F16" s="628"/>
      <c r="G16" s="628"/>
      <c r="H16" s="1913">
        <f>IF(SUM(H17:H18)=0,"NO",SUM(H17:H18))</f>
        <v>8505.1102057951139</v>
      </c>
      <c r="I16" s="1913">
        <f>IF(SUM(I17:I19)=0,"NO",SUM(I17:I19))</f>
        <v>3.6908683739032166E-2</v>
      </c>
      <c r="J16" s="3085">
        <f>IF(SUM(J17:J19)=0,"NO",SUM(J17:J19))</f>
        <v>6.2576058857170311E-2</v>
      </c>
    </row>
    <row r="17" spans="2:10" ht="18" customHeight="1" x14ac:dyDescent="0.2">
      <c r="B17" s="282" t="s">
        <v>177</v>
      </c>
      <c r="C17" s="691">
        <v>2451.6175134</v>
      </c>
      <c r="D17" s="1909" t="s">
        <v>1814</v>
      </c>
      <c r="E17" s="1913">
        <f t="shared" ref="E17:E19" si="2">IFERROR(H17*1000/$C17,"NA")</f>
        <v>66.999999999999986</v>
      </c>
      <c r="F17" s="1913">
        <f t="shared" ref="F17:G19" si="3">IFERROR(I17*1000000/$C17,"NA")</f>
        <v>0.5</v>
      </c>
      <c r="G17" s="1913">
        <f t="shared" si="3"/>
        <v>1.9999999999999996</v>
      </c>
      <c r="H17" s="691">
        <v>164.25837339779997</v>
      </c>
      <c r="I17" s="691">
        <v>1.2258087567000001E-3</v>
      </c>
      <c r="J17" s="2911">
        <v>4.9032350267999994E-3</v>
      </c>
    </row>
    <row r="18" spans="2:10" ht="18" customHeight="1" x14ac:dyDescent="0.2">
      <c r="B18" s="282" t="s">
        <v>178</v>
      </c>
      <c r="C18" s="691">
        <v>119839.825178122</v>
      </c>
      <c r="D18" s="1909" t="s">
        <v>1814</v>
      </c>
      <c r="E18" s="1913">
        <f t="shared" si="2"/>
        <v>69.600000000000179</v>
      </c>
      <c r="F18" s="1913">
        <f t="shared" si="3"/>
        <v>0.29775473161192861</v>
      </c>
      <c r="G18" s="1913">
        <f t="shared" si="3"/>
        <v>0.48124923200321124</v>
      </c>
      <c r="H18" s="691">
        <v>8340.851832397313</v>
      </c>
      <c r="I18" s="691">
        <v>3.5682874982332163E-2</v>
      </c>
      <c r="J18" s="2911">
        <v>5.7672823830370312E-2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1149043.6034501216</v>
      </c>
      <c r="D20" s="1909" t="s">
        <v>1814</v>
      </c>
      <c r="E20" s="628"/>
      <c r="F20" s="628"/>
      <c r="G20" s="628"/>
      <c r="H20" s="1913">
        <f>IF(SUM(H21:H24,H26,H28)=0,"NO",SUM(H21:H24,H26,H28))</f>
        <v>77800.937495533915</v>
      </c>
      <c r="I20" s="1913">
        <f>IF(SUM(I21:I24,I26:I28)=0,"NO",SUM(I21:I24,I26:I28))</f>
        <v>10.380544080212344</v>
      </c>
      <c r="J20" s="3085">
        <f>IF(SUM(J21:J24,J26:J28)=0,"NO",SUM(J21:J24,J26:J28))</f>
        <v>4.1889424597687048</v>
      </c>
    </row>
    <row r="21" spans="2:10" ht="18" customHeight="1" x14ac:dyDescent="0.2">
      <c r="B21" s="282" t="s">
        <v>167</v>
      </c>
      <c r="C21" s="1913">
        <f>IF(SUM(C31,C41,C51,C61,C72)=0,"NO",SUM(C31,C41,C51,C61,C72))</f>
        <v>600608.94662811141</v>
      </c>
      <c r="D21" s="1909" t="s">
        <v>1814</v>
      </c>
      <c r="E21" s="1913">
        <f t="shared" ref="E21:E23" si="4">IFERROR(H21*1000/$C21,"NA")</f>
        <v>67.40000000000002</v>
      </c>
      <c r="F21" s="1913">
        <f t="shared" ref="F21:G23" si="5">IFERROR(I21*1000000/$C21,"NA")</f>
        <v>9.8047556079692662</v>
      </c>
      <c r="G21" s="1913">
        <f t="shared" si="5"/>
        <v>5.2864884516688777</v>
      </c>
      <c r="H21" s="1913">
        <f>IF(SUM(H31,H41,H51,H61,H72)=0,"NO",SUM(H31,H41,H51,H61,H72))</f>
        <v>40481.043002734717</v>
      </c>
      <c r="I21" s="1913">
        <f>IF(SUM(I31,I41,I51,I61,I72)=0,"NO",SUM(I31,I41,I51,I61,I72))</f>
        <v>5.888823937648489</v>
      </c>
      <c r="J21" s="3085">
        <f>IF(SUM(J31,J41,J51,J61,J72)=0,"NO",SUM(J31,J41,J51,J61,J72))</f>
        <v>3.1751122603185205</v>
      </c>
    </row>
    <row r="22" spans="2:10" ht="18" customHeight="1" x14ac:dyDescent="0.2">
      <c r="B22" s="282" t="s">
        <v>168</v>
      </c>
      <c r="C22" s="1913">
        <f t="shared" ref="C22:C29" si="6">IF(SUM(C32,C42,C52,C62,C73)=0,"NO",SUM(C32,C42,C52,C62,C73))</f>
        <v>486593.57122877089</v>
      </c>
      <c r="D22" s="1909" t="s">
        <v>1814</v>
      </c>
      <c r="E22" s="1913">
        <f t="shared" si="4"/>
        <v>69.899999999999949</v>
      </c>
      <c r="F22" s="1913">
        <f t="shared" si="5"/>
        <v>5.3046648540507562</v>
      </c>
      <c r="G22" s="1913">
        <f t="shared" si="5"/>
        <v>1.6946811944409255</v>
      </c>
      <c r="H22" s="1913">
        <f t="shared" ref="H22:J29" si="7">IF(SUM(H32,H42,H52,H62,H73)=0,"NO",SUM(H32,H42,H52,H62,H73))</f>
        <v>34012.890628891058</v>
      </c>
      <c r="I22" s="1913">
        <f t="shared" si="7"/>
        <v>2.5812158155043039</v>
      </c>
      <c r="J22" s="3085">
        <f t="shared" si="7"/>
        <v>0.82462097449724903</v>
      </c>
    </row>
    <row r="23" spans="2:10" ht="18" customHeight="1" x14ac:dyDescent="0.2">
      <c r="B23" s="282" t="s">
        <v>169</v>
      </c>
      <c r="C23" s="1913">
        <f t="shared" si="6"/>
        <v>52186</v>
      </c>
      <c r="D23" s="1909" t="s">
        <v>1814</v>
      </c>
      <c r="E23" s="1913">
        <f t="shared" si="4"/>
        <v>60.200000000000024</v>
      </c>
      <c r="F23" s="1913">
        <f t="shared" si="5"/>
        <v>26.832439586151541</v>
      </c>
      <c r="G23" s="1913">
        <f t="shared" si="5"/>
        <v>2.6482803338362499</v>
      </c>
      <c r="H23" s="1913">
        <f t="shared" si="7"/>
        <v>3141.5972000000011</v>
      </c>
      <c r="I23" s="1913">
        <f t="shared" si="7"/>
        <v>1.4002776922429043</v>
      </c>
      <c r="J23" s="3085">
        <f t="shared" si="7"/>
        <v>0.13820315750157852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3211.5330517995026</v>
      </c>
      <c r="D26" s="1909" t="s">
        <v>1814</v>
      </c>
      <c r="E26" s="1913">
        <f t="shared" si="8"/>
        <v>51.41191833926495</v>
      </c>
      <c r="F26" s="1913">
        <f t="shared" si="9"/>
        <v>106.5103286179628</v>
      </c>
      <c r="G26" s="1913">
        <f t="shared" si="9"/>
        <v>0.99999999999999911</v>
      </c>
      <c r="H26" s="1913">
        <f t="shared" si="7"/>
        <v>165.1110750029664</v>
      </c>
      <c r="I26" s="1913">
        <f t="shared" si="7"/>
        <v>0.34206144071461392</v>
      </c>
      <c r="J26" s="3085">
        <f t="shared" si="7"/>
        <v>3.2115330517994999E-3</v>
      </c>
    </row>
    <row r="27" spans="2:10" ht="18" customHeight="1" x14ac:dyDescent="0.2">
      <c r="B27" s="282" t="s">
        <v>137</v>
      </c>
      <c r="C27" s="1913">
        <f t="shared" si="6"/>
        <v>6439.5199506461913</v>
      </c>
      <c r="D27" s="1909" t="s">
        <v>1814</v>
      </c>
      <c r="E27" s="1913">
        <f t="shared" si="8"/>
        <v>67.259999999999962</v>
      </c>
      <c r="F27" s="1913">
        <f t="shared" si="9"/>
        <v>26.114554406366508</v>
      </c>
      <c r="G27" s="1913">
        <f t="shared" si="9"/>
        <v>7.422064806983248</v>
      </c>
      <c r="H27" s="1913">
        <f t="shared" si="7"/>
        <v>433.12211188046257</v>
      </c>
      <c r="I27" s="1913">
        <f t="shared" si="7"/>
        <v>0.16816519410203254</v>
      </c>
      <c r="J27" s="3085">
        <f t="shared" si="7"/>
        <v>4.7794534399557595E-2</v>
      </c>
    </row>
    <row r="28" spans="2:10" ht="18" customHeight="1" x14ac:dyDescent="0.2">
      <c r="B28" s="282" t="s">
        <v>181</v>
      </c>
      <c r="C28" s="1913">
        <f>C29</f>
        <v>4.0325907934912699</v>
      </c>
      <c r="D28" s="1909" t="s">
        <v>1814</v>
      </c>
      <c r="E28" s="628"/>
      <c r="F28" s="628"/>
      <c r="G28" s="628"/>
      <c r="H28" s="1913">
        <f>H29</f>
        <v>0.29558890516291042</v>
      </c>
      <c r="I28" s="1913" t="str">
        <f>I29</f>
        <v>NE</v>
      </c>
      <c r="J28" s="3085" t="str">
        <f>J29</f>
        <v>NE</v>
      </c>
    </row>
    <row r="29" spans="2:10" ht="18" customHeight="1" x14ac:dyDescent="0.2">
      <c r="B29" s="3105" t="s">
        <v>252</v>
      </c>
      <c r="C29" s="1913">
        <f t="shared" si="6"/>
        <v>4.0325907934912699</v>
      </c>
      <c r="D29" s="1909" t="s">
        <v>1814</v>
      </c>
      <c r="E29" s="3103">
        <f t="shared" ref="E29" si="10">IFERROR(H29*1000/$C29,"NA")</f>
        <v>73.300000000000082</v>
      </c>
      <c r="F29" s="3103" t="str">
        <f>IFERROR(I29*1000000/$C29,"NA")</f>
        <v>NA</v>
      </c>
      <c r="G29" s="3103" t="str">
        <f>IFERROR(J29*1000000/$C29,"NA")</f>
        <v>NA</v>
      </c>
      <c r="H29" s="1913">
        <f t="shared" si="7"/>
        <v>0.29558890516291042</v>
      </c>
      <c r="I29" s="1913" t="str">
        <f>IF(SUM(I39,I49,I59,I69,I80)=0,"NE",SUM(I39,I49,I59,I69,I80))</f>
        <v>NE</v>
      </c>
      <c r="J29" s="3085" t="str">
        <f>IF(SUM(J39,J49,J59,J69,J80)=0,"NE",SUM(J39,J49,J59,J69,J80))</f>
        <v>NE</v>
      </c>
    </row>
    <row r="30" spans="2:10" ht="18" customHeight="1" x14ac:dyDescent="0.2">
      <c r="B30" s="1242" t="s">
        <v>182</v>
      </c>
      <c r="C30" s="1913">
        <f>IF(SUM(C31:C34,C36:C38)=0,"NO",SUM(C31:C34,C36:C38))</f>
        <v>634302.70648384397</v>
      </c>
      <c r="D30" s="1909" t="s">
        <v>1814</v>
      </c>
      <c r="E30" s="628"/>
      <c r="F30" s="628"/>
      <c r="G30" s="628"/>
      <c r="H30" s="1913">
        <f>IF(SUM(H31:H34,H36,H38)=0,"NO",SUM(H31:H34,H36,H38))</f>
        <v>42313.647102866416</v>
      </c>
      <c r="I30" s="1913">
        <f>IF(SUM(I31:I34,I36:I38)=0,"NO",SUM(I31:I34,I36:I38))</f>
        <v>6.2217393328409694</v>
      </c>
      <c r="J30" s="3085">
        <f>IF(SUM(J31:J34,J36:J38)=0,"NO",SUM(J31:J34,J36:J38))</f>
        <v>3.0771191874163693</v>
      </c>
    </row>
    <row r="31" spans="2:10" ht="18" customHeight="1" x14ac:dyDescent="0.2">
      <c r="B31" s="282" t="s">
        <v>167</v>
      </c>
      <c r="C31" s="691">
        <v>518501.83138699597</v>
      </c>
      <c r="D31" s="1909" t="s">
        <v>1814</v>
      </c>
      <c r="E31" s="1913">
        <f t="shared" ref="E31:E33" si="11">IFERROR(H31*1000/$C31,"NA")</f>
        <v>67.40000000000002</v>
      </c>
      <c r="F31" s="1913">
        <f t="shared" ref="F31:G33" si="12">IFERROR(I31*1000000/$C31,"NA")</f>
        <v>9.0785736231797021</v>
      </c>
      <c r="G31" s="1913">
        <f t="shared" si="12"/>
        <v>5.5053749304433195</v>
      </c>
      <c r="H31" s="691">
        <v>34947.023435483541</v>
      </c>
      <c r="I31" s="691">
        <v>4.7072570500003508</v>
      </c>
      <c r="J31" s="2911">
        <v>2.8545469839069169</v>
      </c>
    </row>
    <row r="32" spans="2:10" ht="18" customHeight="1" x14ac:dyDescent="0.2">
      <c r="B32" s="282" t="s">
        <v>168</v>
      </c>
      <c r="C32" s="691">
        <v>75532.407569302901</v>
      </c>
      <c r="D32" s="1909" t="s">
        <v>1814</v>
      </c>
      <c r="E32" s="1913">
        <f t="shared" si="11"/>
        <v>69.899999999999949</v>
      </c>
      <c r="F32" s="1913">
        <f t="shared" si="12"/>
        <v>4.4866091383878342</v>
      </c>
      <c r="G32" s="1913">
        <f t="shared" si="12"/>
        <v>1.1977668681088181</v>
      </c>
      <c r="H32" s="691">
        <v>5279.7152890942689</v>
      </c>
      <c r="I32" s="691">
        <v>0.33888439004486881</v>
      </c>
      <c r="J32" s="2911">
        <v>9.047021525500272E-2</v>
      </c>
    </row>
    <row r="33" spans="2:10" ht="18" customHeight="1" x14ac:dyDescent="0.2">
      <c r="B33" s="282" t="s">
        <v>169</v>
      </c>
      <c r="C33" s="691">
        <v>34627.501321792901</v>
      </c>
      <c r="D33" s="1909" t="s">
        <v>1814</v>
      </c>
      <c r="E33" s="1913">
        <f t="shared" si="11"/>
        <v>60.200000000000088</v>
      </c>
      <c r="F33" s="1913">
        <f t="shared" si="12"/>
        <v>29.583538813382987</v>
      </c>
      <c r="G33" s="1913">
        <f t="shared" si="12"/>
        <v>2.7296427380569512</v>
      </c>
      <c r="H33" s="691">
        <v>2084.5755795719356</v>
      </c>
      <c r="I33" s="691">
        <v>1.0244040293637309</v>
      </c>
      <c r="J33" s="2911">
        <v>9.4520707520089481E-2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45.374667820656796</v>
      </c>
      <c r="D36" s="1909" t="s">
        <v>1814</v>
      </c>
      <c r="E36" s="1913">
        <f t="shared" si="13"/>
        <v>51.411918339265021</v>
      </c>
      <c r="F36" s="1913">
        <f t="shared" si="14"/>
        <v>261.00000000000011</v>
      </c>
      <c r="G36" s="1913">
        <f t="shared" si="14"/>
        <v>1.0000000000000007</v>
      </c>
      <c r="H36" s="691">
        <v>2.3327987166668835</v>
      </c>
      <c r="I36" s="691">
        <v>1.1842788301191429E-2</v>
      </c>
      <c r="J36" s="2911">
        <v>4.5374667820656823E-5</v>
      </c>
    </row>
    <row r="37" spans="2:10" ht="18" customHeight="1" x14ac:dyDescent="0.2">
      <c r="B37" s="282" t="s">
        <v>137</v>
      </c>
      <c r="C37" s="691">
        <v>5595.5915379314501</v>
      </c>
      <c r="D37" s="1909" t="s">
        <v>1814</v>
      </c>
      <c r="E37" s="1913">
        <f t="shared" si="13"/>
        <v>67.259999999999962</v>
      </c>
      <c r="F37" s="1913">
        <f t="shared" si="14"/>
        <v>24.903725403506243</v>
      </c>
      <c r="G37" s="1913">
        <f t="shared" si="14"/>
        <v>6.7081211721925751</v>
      </c>
      <c r="H37" s="691">
        <v>376.35948684126913</v>
      </c>
      <c r="I37" s="691">
        <v>0.13935107513082801</v>
      </c>
      <c r="J37" s="2911">
        <v>3.7535906066539573E-2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202172.561503187</v>
      </c>
      <c r="D40" s="1909" t="s">
        <v>1814</v>
      </c>
      <c r="E40" s="628"/>
      <c r="F40" s="628"/>
      <c r="G40" s="628"/>
      <c r="H40" s="1913">
        <f>IF(SUM(H41:H44,H46,H48)=0,"NO",SUM(H41:H44,H46,H48))</f>
        <v>13755.266923091574</v>
      </c>
      <c r="I40" s="1913">
        <f>IF(SUM(I41:I44,I46:I48)=0,"NO",SUM(I41:I44,I46:I48))</f>
        <v>2.2336495172832955</v>
      </c>
      <c r="J40" s="3085">
        <f>IF(SUM(J41:J44,J46:J48)=0,"NO",SUM(J41:J44,J46:J48))</f>
        <v>0.53938832020042082</v>
      </c>
    </row>
    <row r="41" spans="2:10" ht="18" customHeight="1" x14ac:dyDescent="0.2">
      <c r="B41" s="282" t="s">
        <v>167</v>
      </c>
      <c r="C41" s="691">
        <v>76486.400667791109</v>
      </c>
      <c r="D41" s="1909" t="s">
        <v>1814</v>
      </c>
      <c r="E41" s="1913">
        <f t="shared" ref="E41:E43" si="16">IFERROR(H41*1000/$C41,"NA")</f>
        <v>67.399999999999963</v>
      </c>
      <c r="F41" s="1913">
        <f t="shared" ref="F41:G43" si="17">IFERROR(I41*1000000/$C41,"NA")</f>
        <v>11.326241298669641</v>
      </c>
      <c r="G41" s="1913">
        <f t="shared" si="17"/>
        <v>4.1177807246507889</v>
      </c>
      <c r="H41" s="691">
        <v>5155.1834050091184</v>
      </c>
      <c r="I41" s="691">
        <v>0.86630343003012888</v>
      </c>
      <c r="J41" s="2911">
        <v>0.31495422636774745</v>
      </c>
    </row>
    <row r="42" spans="2:10" ht="18" customHeight="1" x14ac:dyDescent="0.2">
      <c r="B42" s="282" t="s">
        <v>168</v>
      </c>
      <c r="C42" s="691">
        <v>111871.58400766</v>
      </c>
      <c r="D42" s="1909" t="s">
        <v>1814</v>
      </c>
      <c r="E42" s="1913">
        <f t="shared" si="16"/>
        <v>69.899999999999736</v>
      </c>
      <c r="F42" s="1913">
        <f t="shared" si="17"/>
        <v>8.7983899996656785</v>
      </c>
      <c r="G42" s="1913">
        <f t="shared" si="17"/>
        <v>1.5749229387784505</v>
      </c>
      <c r="H42" s="691">
        <v>7819.8237221354038</v>
      </c>
      <c r="I42" s="691">
        <v>0.98428982597975456</v>
      </c>
      <c r="J42" s="2911">
        <v>0.17618912385114419</v>
      </c>
    </row>
    <row r="43" spans="2:10" ht="18" customHeight="1" x14ac:dyDescent="0.2">
      <c r="B43" s="282" t="s">
        <v>169</v>
      </c>
      <c r="C43" s="691">
        <v>12905.4193173239</v>
      </c>
      <c r="D43" s="1909" t="s">
        <v>1814</v>
      </c>
      <c r="E43" s="1913">
        <f t="shared" si="16"/>
        <v>60.199999999999847</v>
      </c>
      <c r="F43" s="1913">
        <f t="shared" si="17"/>
        <v>26.129902447304026</v>
      </c>
      <c r="G43" s="1913">
        <f t="shared" si="17"/>
        <v>2.9383867054912032</v>
      </c>
      <c r="H43" s="691">
        <v>776.90624290289679</v>
      </c>
      <c r="I43" s="691">
        <v>0.33721734780322643</v>
      </c>
      <c r="J43" s="2911">
        <v>3.7921112550813908E-2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65.229097697245905</v>
      </c>
      <c r="D46" s="1909" t="s">
        <v>1814</v>
      </c>
      <c r="E46" s="1913">
        <f t="shared" si="18"/>
        <v>51.411918339264965</v>
      </c>
      <c r="F46" s="1913">
        <f t="shared" si="19"/>
        <v>260.99999999999989</v>
      </c>
      <c r="G46" s="1913">
        <f t="shared" si="19"/>
        <v>0.99999999999999933</v>
      </c>
      <c r="H46" s="691">
        <v>3.3535530441547432</v>
      </c>
      <c r="I46" s="691">
        <v>1.7024794498981172E-2</v>
      </c>
      <c r="J46" s="2911">
        <v>6.5229097697245864E-5</v>
      </c>
    </row>
    <row r="47" spans="2:10" ht="18" customHeight="1" x14ac:dyDescent="0.2">
      <c r="B47" s="282" t="s">
        <v>137</v>
      </c>
      <c r="C47" s="691">
        <v>843.92841271474094</v>
      </c>
      <c r="D47" s="1909" t="s">
        <v>1814</v>
      </c>
      <c r="E47" s="1913">
        <f t="shared" si="18"/>
        <v>67.259999999999977</v>
      </c>
      <c r="F47" s="1913">
        <f t="shared" si="19"/>
        <v>34.142847351845347</v>
      </c>
      <c r="G47" s="1913">
        <f t="shared" si="19"/>
        <v>12.15580395026417</v>
      </c>
      <c r="H47" s="691">
        <v>56.762625039193452</v>
      </c>
      <c r="I47" s="691">
        <v>2.8814118971204537E-2</v>
      </c>
      <c r="J47" s="2911">
        <v>1.025862833301802E-2</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308750.47173208941</v>
      </c>
      <c r="D50" s="1909" t="s">
        <v>1814</v>
      </c>
      <c r="E50" s="628"/>
      <c r="F50" s="628"/>
      <c r="G50" s="628"/>
      <c r="H50" s="1913">
        <f>IF(SUM(H51:H54,H56,H58)=0,"NO",SUM(H51:H54,H56,H58))</f>
        <v>21474.675661820755</v>
      </c>
      <c r="I50" s="1913">
        <f>IF(SUM(I51:I54,I56:I58)=0,"NO",SUM(I51:I54,I56:I58))</f>
        <v>1.6416411697098701</v>
      </c>
      <c r="J50" s="3085">
        <f>IF(SUM(J51:J54,J56:J58)=0,"NO",SUM(J51:J54,J56:J58))</f>
        <v>0.56865476468020559</v>
      </c>
    </row>
    <row r="51" spans="2:10" ht="18" customHeight="1" x14ac:dyDescent="0.2">
      <c r="B51" s="282" t="s">
        <v>167</v>
      </c>
      <c r="C51" s="691">
        <v>1806.8834331165799</v>
      </c>
      <c r="D51" s="1909" t="s">
        <v>1814</v>
      </c>
      <c r="E51" s="1913">
        <f t="shared" ref="E51:E53" si="21">IFERROR(H51*1000/$C51,"NA")</f>
        <v>67.40000000000002</v>
      </c>
      <c r="F51" s="1913">
        <f t="shared" ref="F51:G53" si="22">IFERROR(I51*1000000/$C51,"NA")</f>
        <v>17.571358870139431</v>
      </c>
      <c r="G51" s="1913">
        <f t="shared" si="22"/>
        <v>1.0132709939062414</v>
      </c>
      <c r="H51" s="691">
        <v>121.78394339205752</v>
      </c>
      <c r="I51" s="691">
        <v>3.1749397239801004E-2</v>
      </c>
      <c r="J51" s="2911">
        <v>1.8308625721467587E-3</v>
      </c>
    </row>
    <row r="52" spans="2:10" ht="18" customHeight="1" x14ac:dyDescent="0.2">
      <c r="B52" s="282" t="s">
        <v>168</v>
      </c>
      <c r="C52" s="691">
        <v>299189.57965180802</v>
      </c>
      <c r="D52" s="1909" t="s">
        <v>1814</v>
      </c>
      <c r="E52" s="1913">
        <f t="shared" si="21"/>
        <v>69.900000000000006</v>
      </c>
      <c r="F52" s="1913">
        <f t="shared" si="22"/>
        <v>4.2048309334294629</v>
      </c>
      <c r="G52" s="1913">
        <f t="shared" si="22"/>
        <v>1.8649099879763484</v>
      </c>
      <c r="H52" s="691">
        <v>20913.351617661385</v>
      </c>
      <c r="I52" s="691">
        <v>1.2580415994796805</v>
      </c>
      <c r="J52" s="2911">
        <v>0.55796163539110211</v>
      </c>
    </row>
    <row r="53" spans="2:10" ht="18" customHeight="1" x14ac:dyDescent="0.2">
      <c r="B53" s="282" t="s">
        <v>169</v>
      </c>
      <c r="C53" s="691">
        <v>4653.0793608832</v>
      </c>
      <c r="D53" s="1909" t="s">
        <v>1814</v>
      </c>
      <c r="E53" s="1913">
        <f t="shared" si="21"/>
        <v>60.199999999999974</v>
      </c>
      <c r="F53" s="1913">
        <f t="shared" si="22"/>
        <v>8.3076844553559663</v>
      </c>
      <c r="G53" s="1913">
        <f t="shared" si="22"/>
        <v>1.2381773410332708</v>
      </c>
      <c r="H53" s="691">
        <v>280.11537752516853</v>
      </c>
      <c r="I53" s="691">
        <v>3.8656315075947037E-2</v>
      </c>
      <c r="J53" s="2911">
        <v>5.7613374306751518E-3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3100.9292862816001</v>
      </c>
      <c r="D56" s="1909" t="s">
        <v>1814</v>
      </c>
      <c r="E56" s="1913">
        <f t="shared" si="23"/>
        <v>51.41191833926495</v>
      </c>
      <c r="F56" s="1913">
        <f t="shared" si="24"/>
        <v>100.99999999999991</v>
      </c>
      <c r="G56" s="1913">
        <f t="shared" si="24"/>
        <v>0.999999999999999</v>
      </c>
      <c r="H56" s="691">
        <v>159.42472324214478</v>
      </c>
      <c r="I56" s="691">
        <v>0.31319385791444132</v>
      </c>
      <c r="J56" s="2911">
        <v>3.1009292862815971E-3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3817.8637310011513</v>
      </c>
      <c r="D60" s="1909" t="s">
        <v>1814</v>
      </c>
      <c r="E60" s="628"/>
      <c r="F60" s="628"/>
      <c r="G60" s="628"/>
      <c r="H60" s="1913">
        <f>IF(SUM(H61:H64,H66,H68)=0,"NO",SUM(H61:H64,H66,H68))</f>
        <v>257.34780775515947</v>
      </c>
      <c r="I60" s="1913">
        <f>IF(SUM(I61:I64,I66:I68)=0,"NO",SUM(I61:I64,I66:I68))</f>
        <v>0.2835140603782087</v>
      </c>
      <c r="J60" s="3085">
        <f>IF(SUM(J61:J64,J66:J68)=0,"NO",SUM(J61:J64,J66:J68))</f>
        <v>3.7801874717094492E-3</v>
      </c>
    </row>
    <row r="61" spans="2:10" ht="18" customHeight="1" x14ac:dyDescent="0.2">
      <c r="B61" s="282" t="s">
        <v>167</v>
      </c>
      <c r="C61" s="691">
        <v>3813.8311402076602</v>
      </c>
      <c r="D61" s="1909" t="s">
        <v>1814</v>
      </c>
      <c r="E61" s="1913">
        <f t="shared" ref="E61:E63" si="26">IFERROR(H61*1000/$C61,"NA")</f>
        <v>67.400000000000077</v>
      </c>
      <c r="F61" s="1913">
        <f t="shared" ref="F61:G63" si="27">IFERROR(I61*1000000/$C61,"NA")</f>
        <v>74.338388343740775</v>
      </c>
      <c r="G61" s="1913">
        <f t="shared" si="27"/>
        <v>0.99117851124987688</v>
      </c>
      <c r="H61" s="691">
        <v>257.05221884999656</v>
      </c>
      <c r="I61" s="691">
        <v>0.2835140603782087</v>
      </c>
      <c r="J61" s="2911">
        <v>3.7801874717094492E-3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4.0325907934912699</v>
      </c>
      <c r="D68" s="1909" t="s">
        <v>1814</v>
      </c>
      <c r="E68" s="628"/>
      <c r="F68" s="628"/>
      <c r="G68" s="628"/>
      <c r="H68" s="1913">
        <f>H69</f>
        <v>0.29558890516291042</v>
      </c>
      <c r="I68" s="1913" t="str">
        <f>I69</f>
        <v>NE</v>
      </c>
      <c r="J68" s="3085" t="str">
        <f>J69</f>
        <v>NE</v>
      </c>
    </row>
    <row r="69" spans="2:10" ht="18" customHeight="1" x14ac:dyDescent="0.2">
      <c r="B69" s="3105" t="s">
        <v>252</v>
      </c>
      <c r="C69" s="691">
        <v>4.0325907934912699</v>
      </c>
      <c r="D69" s="1909" t="s">
        <v>1814</v>
      </c>
      <c r="E69" s="3103">
        <f t="shared" ref="E69" si="30">IFERROR(H69*1000/$C69,"NA")</f>
        <v>73.300000000000082</v>
      </c>
      <c r="F69" s="3103" t="str">
        <f>IFERROR(I69*1000000/$C69,"NA")</f>
        <v>NA</v>
      </c>
      <c r="G69" s="3103" t="str">
        <f>IFERROR(J69*1000000/$C69,"NA")</f>
        <v>NA</v>
      </c>
      <c r="H69" s="691">
        <v>0.29558890516291042</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42876</v>
      </c>
      <c r="D81" s="1909" t="s">
        <v>1814</v>
      </c>
      <c r="E81" s="628"/>
      <c r="F81" s="628"/>
      <c r="G81" s="628"/>
      <c r="H81" s="1913">
        <f>IF(SUM(H82:H84,H86)=0,"NO",SUM(H82:H84,H86))</f>
        <v>2997.0324000000001</v>
      </c>
      <c r="I81" s="1913">
        <f>IF(SUM(I82:I86)=0,"NO",SUM(I82:I86))</f>
        <v>0.17150399999999999</v>
      </c>
      <c r="J81" s="3085">
        <f>IF(SUM(J82:J86)=0,"NO",SUM(J82:J86))</f>
        <v>1.2862799999999999</v>
      </c>
    </row>
    <row r="82" spans="2:10" ht="18" customHeight="1" x14ac:dyDescent="0.2">
      <c r="B82" s="282" t="s">
        <v>132</v>
      </c>
      <c r="C82" s="691">
        <v>42876</v>
      </c>
      <c r="D82" s="1909" t="s">
        <v>1814</v>
      </c>
      <c r="E82" s="1913">
        <f t="shared" ref="E82:E85" si="36">IFERROR(H82*1000/$C82,"NA")</f>
        <v>69.899999999999991</v>
      </c>
      <c r="F82" s="1913">
        <f t="shared" ref="F82:G85" si="37">IFERROR(I82*1000000/$C82,"NA")</f>
        <v>4</v>
      </c>
      <c r="G82" s="1913">
        <f t="shared" si="37"/>
        <v>29.999999999999993</v>
      </c>
      <c r="H82" s="691">
        <v>2997.0324000000001</v>
      </c>
      <c r="I82" s="691">
        <v>0.17150399999999999</v>
      </c>
      <c r="J82" s="2911">
        <v>1.2862799999999999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19553.69994048684</v>
      </c>
      <c r="D88" s="1909" t="s">
        <v>1814</v>
      </c>
      <c r="E88" s="628"/>
      <c r="F88" s="628"/>
      <c r="G88" s="628"/>
      <c r="H88" s="1913">
        <f>IF(SUM(H89:H92,H94,H96)=0,"NO",SUM(H89:H92,H94,H96))</f>
        <v>1333.3345545957452</v>
      </c>
      <c r="I88" s="3334">
        <f>IF(SUM(I89:I92,I94:I96)=0,"NE",SUM(I89:I92,I94:I96))</f>
        <v>4.4454492314461662</v>
      </c>
      <c r="J88" s="3335">
        <f>IF(SUM(J89:J92,J94:J96)=0,"NE",SUM(J89:J92,J94:J96))</f>
        <v>2.5651489771730786E-2</v>
      </c>
    </row>
    <row r="89" spans="2:10" ht="18" customHeight="1" x14ac:dyDescent="0.2">
      <c r="B89" s="282" t="s">
        <v>190</v>
      </c>
      <c r="C89" s="691">
        <v>2000</v>
      </c>
      <c r="D89" s="1909" t="s">
        <v>1814</v>
      </c>
      <c r="E89" s="1913">
        <f t="shared" ref="E89:E91" si="39">IFERROR(H89*1000/$C89,"NA")</f>
        <v>73.599999999999994</v>
      </c>
      <c r="F89" s="1913">
        <f t="shared" ref="F89:G91" si="40">IFERROR(I89*1000000/$C89,"NA")</f>
        <v>7</v>
      </c>
      <c r="G89" s="1913">
        <f t="shared" si="40"/>
        <v>2</v>
      </c>
      <c r="H89" s="691">
        <v>147.19999999999999</v>
      </c>
      <c r="I89" s="3336">
        <v>1.4E-2</v>
      </c>
      <c r="J89" s="3337">
        <v>4.0000000000000001E-3</v>
      </c>
    </row>
    <row r="90" spans="2:10" ht="18" customHeight="1" x14ac:dyDescent="0.2">
      <c r="B90" s="282" t="s">
        <v>191</v>
      </c>
      <c r="C90" s="691">
        <v>5313.2997190998094</v>
      </c>
      <c r="D90" s="1909" t="s">
        <v>1814</v>
      </c>
      <c r="E90" s="1913">
        <f t="shared" si="39"/>
        <v>69.900000000000006</v>
      </c>
      <c r="F90" s="1913">
        <f t="shared" si="40"/>
        <v>6.9999999999999991</v>
      </c>
      <c r="G90" s="1913">
        <f t="shared" si="40"/>
        <v>2.0000000000000004</v>
      </c>
      <c r="H90" s="691">
        <v>371.39965036507675</v>
      </c>
      <c r="I90" s="3336">
        <v>3.7193098033698663E-2</v>
      </c>
      <c r="J90" s="3337">
        <v>1.0626599438199621E-2</v>
      </c>
    </row>
    <row r="91" spans="2:10" ht="18" customHeight="1" x14ac:dyDescent="0.2">
      <c r="B91" s="282" t="s">
        <v>167</v>
      </c>
      <c r="C91" s="691">
        <v>12010</v>
      </c>
      <c r="D91" s="1909" t="s">
        <v>1814</v>
      </c>
      <c r="E91" s="1913">
        <f t="shared" si="39"/>
        <v>67.400000000000006</v>
      </c>
      <c r="F91" s="1913">
        <f t="shared" si="40"/>
        <v>360</v>
      </c>
      <c r="G91" s="1913">
        <f t="shared" si="40"/>
        <v>0.9</v>
      </c>
      <c r="H91" s="691">
        <v>809.47400000000005</v>
      </c>
      <c r="I91" s="3336">
        <v>4.3235999999999999</v>
      </c>
      <c r="J91" s="3337">
        <v>1.0808999999999999E-2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51.411918339265014</v>
      </c>
      <c r="F94" s="1913">
        <f t="shared" si="42"/>
        <v>243.00000000000009</v>
      </c>
      <c r="G94" s="1913">
        <f t="shared" si="42"/>
        <v>1.0000000000000002</v>
      </c>
      <c r="H94" s="691">
        <v>5.1411918339265013</v>
      </c>
      <c r="I94" s="3336">
        <v>2.4300000000000006E-2</v>
      </c>
      <c r="J94" s="3337">
        <v>1.0000000000000002E-4</v>
      </c>
    </row>
    <row r="95" spans="2:10" ht="18" customHeight="1" x14ac:dyDescent="0.2">
      <c r="B95" s="282" t="s">
        <v>137</v>
      </c>
      <c r="C95" s="691">
        <v>128.76703725685201</v>
      </c>
      <c r="D95" s="1909" t="s">
        <v>1814</v>
      </c>
      <c r="E95" s="1913">
        <f t="shared" si="43"/>
        <v>67.260000000000076</v>
      </c>
      <c r="F95" s="1913">
        <f t="shared" si="42"/>
        <v>360.00000000000028</v>
      </c>
      <c r="G95" s="1913">
        <f t="shared" si="42"/>
        <v>0.9000000000000008</v>
      </c>
      <c r="H95" s="691">
        <v>8.6608709258958747</v>
      </c>
      <c r="I95" s="3336">
        <v>4.6356133412466756E-2</v>
      </c>
      <c r="J95" s="3337">
        <v>1.1589033353116691E-4</v>
      </c>
    </row>
    <row r="96" spans="2:10" ht="18" customHeight="1" x14ac:dyDescent="0.2">
      <c r="B96" s="282" t="s">
        <v>183</v>
      </c>
      <c r="C96" s="1913">
        <f>IF(SUM(C97:C98)=0,"NO",SUM(C97:C98))</f>
        <v>1.6331841301745</v>
      </c>
      <c r="D96" s="1909" t="s">
        <v>1814</v>
      </c>
      <c r="E96" s="628"/>
      <c r="F96" s="628"/>
      <c r="G96" s="628"/>
      <c r="H96" s="1913">
        <f>IF(SUM(H97:H98)=0,"NO",SUM(H97:H98))</f>
        <v>0.11971239674179113</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1.6331841301745</v>
      </c>
      <c r="D98" s="1909" t="s">
        <v>1814</v>
      </c>
      <c r="E98" s="3103">
        <f t="shared" ref="E98" si="45">IFERROR(H98*1000/$C98,"NA")</f>
        <v>73.300000000000168</v>
      </c>
      <c r="F98" s="3103" t="str">
        <f>IFERROR(I98*1000000/$C98,"NA")</f>
        <v>NA</v>
      </c>
      <c r="G98" s="3103" t="str">
        <f>IFERROR(J98*1000000/$C98,"NA")</f>
        <v>NA</v>
      </c>
      <c r="H98" s="691">
        <v>0.11971239674179113</v>
      </c>
      <c r="I98" s="3336" t="s">
        <v>2154</v>
      </c>
      <c r="J98" s="3337" t="s">
        <v>2154</v>
      </c>
    </row>
    <row r="99" spans="2:10" ht="18" customHeight="1" x14ac:dyDescent="0.2">
      <c r="B99" s="1241" t="s">
        <v>193</v>
      </c>
      <c r="C99" s="1913">
        <f>IF(SUM(C100:C104)=0,"NO",SUM(C100:C104))</f>
        <v>11198.130650440462</v>
      </c>
      <c r="D99" s="1909" t="s">
        <v>1814</v>
      </c>
      <c r="E99" s="628"/>
      <c r="F99" s="628"/>
      <c r="G99" s="628"/>
      <c r="H99" s="1913">
        <f>IF(SUM(H100:H103)=0,"NO",SUM(H100:H103))</f>
        <v>585.01673697627984</v>
      </c>
      <c r="I99" s="1913">
        <f>IF(SUM(I100:I104)=0,"NO",SUM(I100:I104))</f>
        <v>0.11638882038479186</v>
      </c>
      <c r="J99" s="3085">
        <f>IF(SUM(J100:J104)=0,"NO",SUM(J100:J104))</f>
        <v>1.1853140729131176E-3</v>
      </c>
    </row>
    <row r="100" spans="2:10" ht="18" customHeight="1" x14ac:dyDescent="0.2">
      <c r="B100" s="282" t="s">
        <v>132</v>
      </c>
      <c r="C100" s="1913">
        <f>IF(SUM(C106,C113:C116)=0,"NO",SUM(C106,C113:C116))</f>
        <v>637.64794694968225</v>
      </c>
      <c r="D100" s="1909" t="s">
        <v>1814</v>
      </c>
      <c r="E100" s="3103">
        <f t="shared" ref="E100:E104" si="46">IFERROR(H100*1000/$C100,"NA")</f>
        <v>66.121253848076307</v>
      </c>
      <c r="F100" s="3103">
        <f t="shared" ref="F100:G104" si="47">IFERROR(I100*1000000/$C100,"NA")</f>
        <v>49.051375258216837</v>
      </c>
      <c r="G100" s="3103">
        <f t="shared" si="47"/>
        <v>0.19620550103286738</v>
      </c>
      <c r="H100" s="1913">
        <f>IF(SUM(H106,H113:H116)=0,"NO",SUM(H106,H113:H116))</f>
        <v>42.162081765964636</v>
      </c>
      <c r="I100" s="1913">
        <f>IF(SUM(I106,I113:I116)=0,"NO",SUM(I106,I113:I116))</f>
        <v>3.1277508728460406E-2</v>
      </c>
      <c r="J100" s="3085">
        <f>IF(SUM(J106,J113:J116)=0,"NO",SUM(J106,J113:J116))</f>
        <v>1.2511003491384165E-4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10541.678</v>
      </c>
      <c r="D102" s="1909" t="s">
        <v>1814</v>
      </c>
      <c r="E102" s="3103">
        <f t="shared" si="46"/>
        <v>51.411918339265</v>
      </c>
      <c r="F102" s="3103">
        <f t="shared" si="47"/>
        <v>7.84474885844749</v>
      </c>
      <c r="G102" s="3103">
        <f t="shared" si="47"/>
        <v>9.9999999999999992E-2</v>
      </c>
      <c r="H102" s="1913">
        <f t="shared" si="48"/>
        <v>541.96788849482641</v>
      </c>
      <c r="I102" s="1913">
        <f t="shared" si="48"/>
        <v>8.2696816456621025E-2</v>
      </c>
      <c r="J102" s="3085">
        <f t="shared" si="48"/>
        <v>1.0541678E-3</v>
      </c>
    </row>
    <row r="103" spans="2:10" ht="18" customHeight="1" x14ac:dyDescent="0.2">
      <c r="B103" s="282" t="s">
        <v>175</v>
      </c>
      <c r="C103" s="1913">
        <f>IF(SUM(C109,C120)=0,"NO",SUM(C109,C120))</f>
        <v>12.097772380473799</v>
      </c>
      <c r="D103" s="1909" t="s">
        <v>1814</v>
      </c>
      <c r="E103" s="3103">
        <f t="shared" si="46"/>
        <v>73.300000000000153</v>
      </c>
      <c r="F103" s="3103" t="str">
        <f t="shared" si="47"/>
        <v>NA</v>
      </c>
      <c r="G103" s="3103" t="str">
        <f t="shared" si="47"/>
        <v>NA</v>
      </c>
      <c r="H103" s="1913">
        <f t="shared" si="48"/>
        <v>0.88676671548873132</v>
      </c>
      <c r="I103" s="1913" t="str">
        <f t="shared" si="48"/>
        <v>NO</v>
      </c>
      <c r="J103" s="3085" t="str">
        <f t="shared" si="48"/>
        <v>NO</v>
      </c>
    </row>
    <row r="104" spans="2:10" ht="18" customHeight="1" x14ac:dyDescent="0.2">
      <c r="B104" s="282" t="s">
        <v>137</v>
      </c>
      <c r="C104" s="1913">
        <f>IF(SUM(C110,C121)=0,"NO",SUM(C110,C121))</f>
        <v>6.7069311103067104</v>
      </c>
      <c r="D104" s="1909" t="s">
        <v>1814</v>
      </c>
      <c r="E104" s="3103">
        <f t="shared" si="46"/>
        <v>67.259999999999977</v>
      </c>
      <c r="F104" s="3103">
        <f t="shared" si="47"/>
        <v>359.99999999999989</v>
      </c>
      <c r="G104" s="3103">
        <f t="shared" si="47"/>
        <v>0.89999999999999958</v>
      </c>
      <c r="H104" s="1913">
        <f t="shared" si="48"/>
        <v>0.45110818647922923</v>
      </c>
      <c r="I104" s="1913">
        <f t="shared" si="48"/>
        <v>2.4144951997104149E-3</v>
      </c>
      <c r="J104" s="3085">
        <f t="shared" si="48"/>
        <v>6.0362379992760372E-6</v>
      </c>
    </row>
    <row r="105" spans="2:10" ht="18" customHeight="1" x14ac:dyDescent="0.2">
      <c r="B105" s="1244" t="s">
        <v>194</v>
      </c>
      <c r="C105" s="1913">
        <f>IF(SUM(C106:C110)=0,"NO",SUM(C106:C110))</f>
        <v>10541.678</v>
      </c>
      <c r="D105" s="1909" t="s">
        <v>1814</v>
      </c>
      <c r="E105" s="628"/>
      <c r="F105" s="628"/>
      <c r="G105" s="628"/>
      <c r="H105" s="1913">
        <f>IF(SUM(H106:H109)=0,"NO",SUM(H106:H109))</f>
        <v>541.96788849482641</v>
      </c>
      <c r="I105" s="1913">
        <f>IF(SUM(I106:I110)=0,"NO",SUM(I106:I110))</f>
        <v>8.2696816456621025E-2</v>
      </c>
      <c r="J105" s="3085">
        <f>IF(SUM(J106:J110)=0,"NO",SUM(J106:J110))</f>
        <v>1.0541678E-3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10541.678</v>
      </c>
      <c r="D108" s="1909" t="s">
        <v>1814</v>
      </c>
      <c r="E108" s="3103">
        <f t="shared" si="49"/>
        <v>51.411918339265</v>
      </c>
      <c r="F108" s="3103">
        <f t="shared" si="50"/>
        <v>7.84474885844749</v>
      </c>
      <c r="G108" s="3103">
        <f t="shared" si="50"/>
        <v>9.9999999999999992E-2</v>
      </c>
      <c r="H108" s="691">
        <v>541.96788849482641</v>
      </c>
      <c r="I108" s="691">
        <v>8.2696816456621025E-2</v>
      </c>
      <c r="J108" s="2911">
        <v>1.0541678E-3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656.45265044046278</v>
      </c>
      <c r="D111" s="1909" t="s">
        <v>1814</v>
      </c>
      <c r="E111" s="628"/>
      <c r="F111" s="628"/>
      <c r="G111" s="628"/>
      <c r="H111" s="1913">
        <f>H112</f>
        <v>43.048848481453369</v>
      </c>
      <c r="I111" s="1913">
        <f>I112</f>
        <v>3.3692003928170823E-2</v>
      </c>
      <c r="J111" s="3085">
        <f>J112</f>
        <v>1.3114627291311768E-4</v>
      </c>
    </row>
    <row r="112" spans="2:10" ht="18" customHeight="1" x14ac:dyDescent="0.2">
      <c r="B112" s="3089" t="s">
        <v>2148</v>
      </c>
      <c r="C112" s="3099">
        <f>IF(SUM(C113:C116,C118:C121)=0,"NO",SUM(C113:C116,C118:C121))</f>
        <v>656.45265044046278</v>
      </c>
      <c r="D112" s="3099" t="s">
        <v>1814</v>
      </c>
      <c r="E112" s="628"/>
      <c r="F112" s="628"/>
      <c r="G112" s="628"/>
      <c r="H112" s="3099">
        <f>IF(SUM(H113:H116,H118:H120)=0,"NO",SUM(H113:H116,H118:H120))</f>
        <v>43.048848481453369</v>
      </c>
      <c r="I112" s="3099">
        <f>IF(SUM(I113:I116,I118:I121)=0,"NO",SUM(I113:I116,I118:I121))</f>
        <v>3.3692003928170823E-2</v>
      </c>
      <c r="J112" s="3100">
        <f>IF(SUM(J113:J116,J118:J121)=0,"NO",SUM(J113:J116,J118:J121))</f>
        <v>1.3114627291311768E-4</v>
      </c>
    </row>
    <row r="113" spans="2:10" ht="18" customHeight="1" x14ac:dyDescent="0.2">
      <c r="B113" s="282" t="s">
        <v>167</v>
      </c>
      <c r="C113" s="691">
        <v>637.64794694968225</v>
      </c>
      <c r="D113" s="1913" t="s">
        <v>1814</v>
      </c>
      <c r="E113" s="1913">
        <f t="shared" ref="E113:E115" si="51">IFERROR(H113*1000/$C113,"NA")</f>
        <v>66.121253848076307</v>
      </c>
      <c r="F113" s="1913">
        <f t="shared" ref="F113:G115" si="52">IFERROR(I113*1000000/$C113,"NA")</f>
        <v>49.051375258216837</v>
      </c>
      <c r="G113" s="1913">
        <f t="shared" si="52"/>
        <v>0.19620550103286738</v>
      </c>
      <c r="H113" s="691">
        <v>42.162081765964636</v>
      </c>
      <c r="I113" s="691">
        <v>3.1277508728460406E-2</v>
      </c>
      <c r="J113" s="2911">
        <v>1.2511003491384165E-4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12.097772380473799</v>
      </c>
      <c r="D120" s="1909" t="s">
        <v>1814</v>
      </c>
      <c r="E120" s="3103">
        <f t="shared" si="53"/>
        <v>73.300000000000153</v>
      </c>
      <c r="F120" s="3103" t="str">
        <f t="shared" si="54"/>
        <v>NA</v>
      </c>
      <c r="G120" s="3103" t="str">
        <f t="shared" si="54"/>
        <v>NA</v>
      </c>
      <c r="H120" s="691">
        <v>0.88676671548873132</v>
      </c>
      <c r="I120" s="691" t="s">
        <v>2154</v>
      </c>
      <c r="J120" s="2911" t="s">
        <v>2154</v>
      </c>
    </row>
    <row r="121" spans="2:10" ht="18" customHeight="1" thickBot="1" x14ac:dyDescent="0.25">
      <c r="B121" s="2185" t="s">
        <v>137</v>
      </c>
      <c r="C121" s="1559">
        <v>6.7069311103067104</v>
      </c>
      <c r="D121" s="2880" t="s">
        <v>1814</v>
      </c>
      <c r="E121" s="3104">
        <f t="shared" si="53"/>
        <v>67.259999999999977</v>
      </c>
      <c r="F121" s="3104">
        <f t="shared" si="54"/>
        <v>359.99999999999989</v>
      </c>
      <c r="G121" s="3104">
        <f t="shared" si="54"/>
        <v>0.89999999999999958</v>
      </c>
      <c r="H121" s="1559">
        <v>0.45110818647922923</v>
      </c>
      <c r="I121" s="1559">
        <v>2.4144951997104149E-3</v>
      </c>
      <c r="J121" s="1561">
        <v>6.0362379992760372E-6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396767.10881024209</v>
      </c>
      <c r="D10" s="3109" t="s">
        <v>1814</v>
      </c>
      <c r="E10" s="2135"/>
      <c r="F10" s="2135"/>
      <c r="G10" s="2135"/>
      <c r="H10" s="3109">
        <f>IF(SUM(H11:H15)=0,"NO",SUM(H11:H15))</f>
        <v>20151.753283622373</v>
      </c>
      <c r="I10" s="3109">
        <f>IF(SUM(I11:I16)=0,"NO",SUM(I11:I16))</f>
        <v>38.476159169123584</v>
      </c>
      <c r="J10" s="3109">
        <f>IF(SUM(J11:J16)=0,"NO",SUM(J11:J16))</f>
        <v>0.65793939875223151</v>
      </c>
      <c r="K10" s="420" t="str">
        <f>IF(SUM(K11:K16)=0,"NO",SUM(K11:K16))</f>
        <v>NO</v>
      </c>
    </row>
    <row r="11" spans="2:12" ht="18" customHeight="1" x14ac:dyDescent="0.2">
      <c r="B11" s="282" t="s">
        <v>132</v>
      </c>
      <c r="C11" s="1913">
        <f>IF(SUM(C18,C39,C60)=0,"NO",SUM(C18,C39,C60))</f>
        <v>148910.44726880829</v>
      </c>
      <c r="D11" s="3109" t="s">
        <v>1814</v>
      </c>
      <c r="E11" s="1913">
        <f t="shared" ref="E11:E16" si="0">IFERROR(H11*1000/$C11,"NA")</f>
        <v>68.254730662157172</v>
      </c>
      <c r="F11" s="1913">
        <f t="shared" ref="F11:G16" si="1">IFERROR(I11*1000000/$C11,"NA")</f>
        <v>9.2947640660921937</v>
      </c>
      <c r="G11" s="1913">
        <f t="shared" si="1"/>
        <v>2.5664094950632315</v>
      </c>
      <c r="H11" s="1913">
        <f>IF(SUM(H18,H39,H60)=0,"NO",SUM(H18,H39,H60))</f>
        <v>10163.842471113869</v>
      </c>
      <c r="I11" s="1913">
        <f>IF(SUM(I18,I39,I60)=0,"NO",SUM(I18,I39,I60))</f>
        <v>1.3840874743398359</v>
      </c>
      <c r="J11" s="1913">
        <f>IF(SUM(J18,J39,J60)=0,"NO",SUM(J18,J39,J60))</f>
        <v>0.3821651857847822</v>
      </c>
      <c r="K11" s="3085" t="str">
        <f>IF(SUM(K18,K39,K60)=0,"NO",SUM(K18,K39,K60))</f>
        <v>NO</v>
      </c>
    </row>
    <row r="12" spans="2:12" ht="18" customHeight="1" x14ac:dyDescent="0.2">
      <c r="B12" s="282" t="s">
        <v>133</v>
      </c>
      <c r="C12" s="1913">
        <f t="shared" ref="C12:C16" si="2">IF(SUM(C19,C40,C61)=0,"NO",SUM(C19,C40,C61))</f>
        <v>1109.6542602575585</v>
      </c>
      <c r="D12" s="3109" t="s">
        <v>1814</v>
      </c>
      <c r="E12" s="1913">
        <f t="shared" si="0"/>
        <v>94.375853715322691</v>
      </c>
      <c r="F12" s="1913">
        <f t="shared" si="1"/>
        <v>0.95238095238095211</v>
      </c>
      <c r="G12" s="1913">
        <f t="shared" si="1"/>
        <v>0.66666666666666652</v>
      </c>
      <c r="H12" s="1913">
        <f t="shared" ref="H12:K16" si="3">IF(SUM(H19,H40,H61)=0,"NO",SUM(H19,H40,H61))</f>
        <v>104.72456814065194</v>
      </c>
      <c r="I12" s="1913">
        <f t="shared" si="3"/>
        <v>1.0568135811976744E-3</v>
      </c>
      <c r="J12" s="1913">
        <f t="shared" si="3"/>
        <v>7.397695068383722E-4</v>
      </c>
      <c r="K12" s="3085" t="str">
        <f t="shared" si="3"/>
        <v>NO</v>
      </c>
    </row>
    <row r="13" spans="2:12" ht="18" customHeight="1" x14ac:dyDescent="0.2">
      <c r="B13" s="282" t="s">
        <v>134</v>
      </c>
      <c r="C13" s="1913">
        <f t="shared" si="2"/>
        <v>192221.63067434204</v>
      </c>
      <c r="D13" s="3109" t="s">
        <v>1814</v>
      </c>
      <c r="E13" s="1913">
        <f t="shared" si="0"/>
        <v>51.415577995546947</v>
      </c>
      <c r="F13" s="1913">
        <f t="shared" si="1"/>
        <v>0.90909090909090884</v>
      </c>
      <c r="G13" s="1913">
        <f t="shared" si="1"/>
        <v>0.90909090909090884</v>
      </c>
      <c r="H13" s="1913">
        <f t="shared" si="3"/>
        <v>9883.1862443678529</v>
      </c>
      <c r="I13" s="1913">
        <f t="shared" si="3"/>
        <v>0.17474693697667454</v>
      </c>
      <c r="J13" s="1913">
        <f t="shared" si="3"/>
        <v>0.17474693697667454</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54525.376606834165</v>
      </c>
      <c r="D16" s="3109" t="s">
        <v>1814</v>
      </c>
      <c r="E16" s="1913">
        <f t="shared" si="0"/>
        <v>76.588206871184582</v>
      </c>
      <c r="F16" s="1913">
        <f t="shared" si="1"/>
        <v>677.04746379686287</v>
      </c>
      <c r="G16" s="1913">
        <f t="shared" si="1"/>
        <v>1.839281316790875</v>
      </c>
      <c r="H16" s="1913">
        <f t="shared" si="3"/>
        <v>4176.0008232934633</v>
      </c>
      <c r="I16" s="1913">
        <f t="shared" si="3"/>
        <v>36.916267944225872</v>
      </c>
      <c r="J16" s="1913">
        <f t="shared" si="3"/>
        <v>0.10028750648393632</v>
      </c>
      <c r="K16" s="3085" t="str">
        <f t="shared" si="3"/>
        <v>NO</v>
      </c>
    </row>
    <row r="17" spans="2:11" ht="18" customHeight="1" x14ac:dyDescent="0.2">
      <c r="B17" s="1241" t="s">
        <v>1942</v>
      </c>
      <c r="C17" s="3109">
        <f>IF(SUM(C18:C23)=0,"NO",SUM(C18:C23))</f>
        <v>87479.59033144619</v>
      </c>
      <c r="D17" s="3109" t="s">
        <v>1814</v>
      </c>
      <c r="E17" s="628"/>
      <c r="F17" s="628"/>
      <c r="G17" s="628"/>
      <c r="H17" s="3078">
        <f>IF(SUM(H18:H22)=0,"NO",SUM(H18:H22))</f>
        <v>5075.8005950081952</v>
      </c>
      <c r="I17" s="3078">
        <f>IF(SUM(I18:I23)=0,"NO",SUM(I18:I23))</f>
        <v>0.11123158633356602</v>
      </c>
      <c r="J17" s="3110">
        <f>IF(SUM(J18:J23)=0,"NO",SUM(J18:J23))</f>
        <v>9.4763432493796651E-2</v>
      </c>
      <c r="K17" s="3085" t="str">
        <f>IF(SUM(K18:K23)=0,"NO",SUM(K18:K23))</f>
        <v>NO</v>
      </c>
    </row>
    <row r="18" spans="2:11" ht="18" customHeight="1" x14ac:dyDescent="0.2">
      <c r="B18" s="282" t="s">
        <v>132</v>
      </c>
      <c r="C18" s="3109">
        <f>IF(SUM(C26,C33)=0,"NO",SUM(C26,C33))</f>
        <v>39066.518081594884</v>
      </c>
      <c r="D18" s="3109" t="s">
        <v>1814</v>
      </c>
      <c r="E18" s="1913">
        <f t="shared" ref="E18" si="4">IFERROR(H18*1000/$C18,"NA")</f>
        <v>68.565971050071511</v>
      </c>
      <c r="F18" s="1913">
        <f t="shared" ref="F18:G23" si="5">IFERROR(I18*1000000/$C18,"NA")</f>
        <v>1.624800211198268</v>
      </c>
      <c r="G18" s="1913">
        <f t="shared" si="5"/>
        <v>1.268161838333985</v>
      </c>
      <c r="H18" s="3109">
        <f>IF(SUM(H26,H33)=0,"NO",SUM(H26,H33))</f>
        <v>2678.6337478097298</v>
      </c>
      <c r="I18" s="3109">
        <f>IF(SUM(I26,I33)=0,"NO",SUM(I26,I33))</f>
        <v>6.3475286829756325E-2</v>
      </c>
      <c r="J18" s="3109">
        <f>IF(SUM(J26,J33)=0,"NO",SUM(J26,J33))</f>
        <v>4.9542667387663233E-2</v>
      </c>
      <c r="K18" s="3085" t="str">
        <f>IF(SUM(K26,K33)=0,"NO",SUM(K26,K33))</f>
        <v>NO</v>
      </c>
    </row>
    <row r="19" spans="2:11" ht="18" customHeight="1" x14ac:dyDescent="0.2">
      <c r="B19" s="282" t="s">
        <v>133</v>
      </c>
      <c r="C19" s="3109">
        <f t="shared" ref="C19:C21" si="6">IF(SUM(C27,C34)=0,"NO",SUM(C27,C34))</f>
        <v>1092.4374342604456</v>
      </c>
      <c r="D19" s="3109" t="s">
        <v>1814</v>
      </c>
      <c r="E19" s="1913">
        <f t="shared" ref="E19:E23" si="7">IFERROR(H19*1000/$C19,"NA")</f>
        <v>94.366017163001217</v>
      </c>
      <c r="F19" s="1913">
        <f t="shared" si="5"/>
        <v>0.95238095238095211</v>
      </c>
      <c r="G19" s="1913">
        <f t="shared" si="5"/>
        <v>0.66666666666666663</v>
      </c>
      <c r="H19" s="3109">
        <f t="shared" ref="H19:K21" si="8">IF(SUM(H27,H34)=0,"NO",SUM(H27,H34))</f>
        <v>103.08896967092622</v>
      </c>
      <c r="I19" s="3109">
        <f t="shared" si="8"/>
        <v>1.0404166040575669E-3</v>
      </c>
      <c r="J19" s="3109">
        <f t="shared" si="8"/>
        <v>7.2829162284029697E-4</v>
      </c>
      <c r="K19" s="3085" t="str">
        <f t="shared" si="8"/>
        <v>NO</v>
      </c>
    </row>
    <row r="20" spans="2:11" ht="18" customHeight="1" x14ac:dyDescent="0.2">
      <c r="B20" s="282" t="s">
        <v>134</v>
      </c>
      <c r="C20" s="3109">
        <f t="shared" si="6"/>
        <v>44607.835819224594</v>
      </c>
      <c r="D20" s="3109" t="s">
        <v>1814</v>
      </c>
      <c r="E20" s="1913">
        <f t="shared" si="7"/>
        <v>51.427688328669426</v>
      </c>
      <c r="F20" s="1913">
        <f t="shared" si="5"/>
        <v>0.90909090909090873</v>
      </c>
      <c r="G20" s="1913">
        <f t="shared" si="5"/>
        <v>0.90909090909090873</v>
      </c>
      <c r="H20" s="3109">
        <f t="shared" si="8"/>
        <v>2294.0778775275385</v>
      </c>
      <c r="I20" s="3109">
        <f t="shared" si="8"/>
        <v>4.0552578017476887E-2</v>
      </c>
      <c r="J20" s="3109">
        <f t="shared" si="8"/>
        <v>4.0552578017476887E-2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2712.7989963662712</v>
      </c>
      <c r="D23" s="3109" t="s">
        <v>1814</v>
      </c>
      <c r="E23" s="1913">
        <f t="shared" si="7"/>
        <v>58.701026371726705</v>
      </c>
      <c r="F23" s="1913">
        <f t="shared" si="5"/>
        <v>2.271935698343603</v>
      </c>
      <c r="G23" s="1913">
        <f t="shared" si="5"/>
        <v>1.4523359346172078</v>
      </c>
      <c r="H23" s="3109">
        <f>IF(SUM(H31,H37)=0,"NO",SUM(H31,H37))</f>
        <v>159.24408542689022</v>
      </c>
      <c r="I23" s="3109">
        <f>IF(SUM(I31,I37)=0,"NO",SUM(I31,I37))</f>
        <v>6.16330488227523E-3</v>
      </c>
      <c r="J23" s="3109">
        <f>IF(SUM(J31,J37)=0,"NO",SUM(J31,J37))</f>
        <v>3.9398954658162316E-3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87479.59033144619</v>
      </c>
      <c r="D25" s="3078" t="s">
        <v>1814</v>
      </c>
      <c r="E25" s="628"/>
      <c r="F25" s="628"/>
      <c r="G25" s="628"/>
      <c r="H25" s="3078">
        <f>IF(SUM(H26:H30)=0,"NO",SUM(H26:H30))</f>
        <v>5075.8005950081952</v>
      </c>
      <c r="I25" s="3078">
        <f>IF(SUM(I26:I31)=0,"NO",SUM(I26:I31))</f>
        <v>0.11123158633356602</v>
      </c>
      <c r="J25" s="3110">
        <f>IF(SUM(J26:J31)=0,"NO",SUM(J26:J31))</f>
        <v>9.4763432493796651E-2</v>
      </c>
      <c r="K25" s="3085" t="str">
        <f>IF(SUM(K26:K31)=0,"NO",SUM(K26:K31))</f>
        <v>NO</v>
      </c>
    </row>
    <row r="26" spans="2:11" ht="18" customHeight="1" x14ac:dyDescent="0.2">
      <c r="B26" s="282" t="s">
        <v>132</v>
      </c>
      <c r="C26" s="691">
        <v>39066.518081594884</v>
      </c>
      <c r="D26" s="3078" t="s">
        <v>1814</v>
      </c>
      <c r="E26" s="1913">
        <f t="shared" ref="E26:E31" si="9">IFERROR(H26*1000/$C26,"NA")</f>
        <v>68.565971050071511</v>
      </c>
      <c r="F26" s="1913">
        <f t="shared" ref="F26:G31" si="10">IFERROR(I26*1000000/$C26,"NA")</f>
        <v>1.624800211198268</v>
      </c>
      <c r="G26" s="1913">
        <f t="shared" si="10"/>
        <v>1.268161838333985</v>
      </c>
      <c r="H26" s="691">
        <v>2678.6337478097298</v>
      </c>
      <c r="I26" s="691">
        <v>6.3475286829756325E-2</v>
      </c>
      <c r="J26" s="691">
        <v>4.9542667387663233E-2</v>
      </c>
      <c r="K26" s="2911" t="s">
        <v>2146</v>
      </c>
    </row>
    <row r="27" spans="2:11" ht="18" customHeight="1" x14ac:dyDescent="0.2">
      <c r="B27" s="282" t="s">
        <v>133</v>
      </c>
      <c r="C27" s="691">
        <v>1092.4374342604456</v>
      </c>
      <c r="D27" s="3078" t="s">
        <v>1814</v>
      </c>
      <c r="E27" s="1913">
        <f t="shared" si="9"/>
        <v>94.366017163001217</v>
      </c>
      <c r="F27" s="1913">
        <f t="shared" si="10"/>
        <v>0.95238095238095211</v>
      </c>
      <c r="G27" s="1913">
        <f t="shared" si="10"/>
        <v>0.66666666666666663</v>
      </c>
      <c r="H27" s="691">
        <v>103.08896967092622</v>
      </c>
      <c r="I27" s="691">
        <v>1.0404166040575669E-3</v>
      </c>
      <c r="J27" s="691">
        <v>7.2829162284029697E-4</v>
      </c>
      <c r="K27" s="2911" t="s">
        <v>2146</v>
      </c>
    </row>
    <row r="28" spans="2:11" ht="18" customHeight="1" x14ac:dyDescent="0.2">
      <c r="B28" s="282" t="s">
        <v>134</v>
      </c>
      <c r="C28" s="691">
        <v>44607.835819224594</v>
      </c>
      <c r="D28" s="3078" t="s">
        <v>1814</v>
      </c>
      <c r="E28" s="1913">
        <f t="shared" si="9"/>
        <v>51.427688328669426</v>
      </c>
      <c r="F28" s="1913">
        <f t="shared" si="10"/>
        <v>0.90909090909090873</v>
      </c>
      <c r="G28" s="1913">
        <f t="shared" si="10"/>
        <v>0.90909090909090873</v>
      </c>
      <c r="H28" s="691">
        <v>2294.0778775275385</v>
      </c>
      <c r="I28" s="691">
        <v>4.0552578017476887E-2</v>
      </c>
      <c r="J28" s="691">
        <v>4.0552578017476887E-2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2712.7989963662712</v>
      </c>
      <c r="D31" s="3078" t="s">
        <v>1814</v>
      </c>
      <c r="E31" s="1913">
        <f t="shared" si="9"/>
        <v>58.701026371726705</v>
      </c>
      <c r="F31" s="1913">
        <f t="shared" si="10"/>
        <v>2.271935698343603</v>
      </c>
      <c r="G31" s="1913">
        <f t="shared" si="10"/>
        <v>1.4523359346172078</v>
      </c>
      <c r="H31" s="691">
        <v>159.24408542689022</v>
      </c>
      <c r="I31" s="691">
        <v>6.16330488227523E-3</v>
      </c>
      <c r="J31" s="691">
        <v>3.9398954658162316E-3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218482.91103757708</v>
      </c>
      <c r="D38" s="3078" t="s">
        <v>1814</v>
      </c>
      <c r="E38" s="628"/>
      <c r="F38" s="628"/>
      <c r="G38" s="628"/>
      <c r="H38" s="1913">
        <f>IF(SUM(H39:H43)=0,"NO",SUM(H39:H43))</f>
        <v>8788.5855899873968</v>
      </c>
      <c r="I38" s="1913">
        <f>IF(SUM(I39:I44)=0,"NO",SUM(I39:I44))</f>
        <v>37.760516625264515</v>
      </c>
      <c r="J38" s="1913">
        <f>IF(SUM(J39:J44)=0,"NO",SUM(J39:J44))</f>
        <v>0.24113487258931804</v>
      </c>
      <c r="K38" s="3085" t="str">
        <f>IF(SUM(K39:K44)=0,"NO",SUM(K39:K44))</f>
        <v>NO</v>
      </c>
    </row>
    <row r="39" spans="2:11" ht="18" customHeight="1" x14ac:dyDescent="0.2">
      <c r="B39" s="282" t="s">
        <v>132</v>
      </c>
      <c r="C39" s="3109">
        <f>IF(SUM(C47,C54)=0,"NO",SUM(C47,C54))</f>
        <v>20445.139745994624</v>
      </c>
      <c r="D39" s="3078" t="s">
        <v>1814</v>
      </c>
      <c r="E39" s="1913">
        <f t="shared" ref="E39:E44" si="13">IFERROR(H39*1000/$C39,"NA")</f>
        <v>62.123196058958378</v>
      </c>
      <c r="F39" s="1913">
        <f t="shared" ref="F39:G44" si="14">IFERROR(I39*1000000/$C39,"NA")</f>
        <v>35.092900085888715</v>
      </c>
      <c r="G39" s="1913">
        <f t="shared" si="14"/>
        <v>0.58006163024451518</v>
      </c>
      <c r="H39" s="1913">
        <f>IF(SUM(H47,H54)=0,"NO",SUM(H47,H54))</f>
        <v>1270.1174248932264</v>
      </c>
      <c r="I39" s="1913">
        <f>IF(SUM(I47,I54)=0,"NO",SUM(I47,I54))</f>
        <v>0.71747924634822158</v>
      </c>
      <c r="J39" s="1913">
        <f>IF(SUM(J47,J54)=0,"NO",SUM(J47,J54))</f>
        <v>1.1859441091638575E-2</v>
      </c>
      <c r="K39" s="3085" t="str">
        <f>IF(SUM(K47,K54)=0,"NO",SUM(K47,K54))</f>
        <v>NO</v>
      </c>
    </row>
    <row r="40" spans="2:11" ht="18" customHeight="1" x14ac:dyDescent="0.2">
      <c r="B40" s="282" t="s">
        <v>133</v>
      </c>
      <c r="C40" s="3109">
        <f t="shared" ref="C40:C42" si="15">IF(SUM(C48,C55)=0,"NO",SUM(C48,C55))</f>
        <v>17.216825997112799</v>
      </c>
      <c r="D40" s="3078" t="s">
        <v>1814</v>
      </c>
      <c r="E40" s="1913">
        <f t="shared" si="13"/>
        <v>95.000000000000014</v>
      </c>
      <c r="F40" s="1913">
        <f t="shared" si="14"/>
        <v>0.95238095238095233</v>
      </c>
      <c r="G40" s="1913">
        <f t="shared" si="14"/>
        <v>0.66666666666666652</v>
      </c>
      <c r="H40" s="1913">
        <f t="shared" ref="H40:K42" si="16">IF(SUM(H48,H55)=0,"NO",SUM(H48,H55))</f>
        <v>1.635598469725716</v>
      </c>
      <c r="I40" s="1913">
        <f t="shared" si="16"/>
        <v>1.6396977140107428E-5</v>
      </c>
      <c r="J40" s="1913">
        <f t="shared" si="16"/>
        <v>1.1477883998075197E-5</v>
      </c>
      <c r="K40" s="3085" t="str">
        <f t="shared" si="16"/>
        <v>NO</v>
      </c>
    </row>
    <row r="41" spans="2:11" ht="18" customHeight="1" x14ac:dyDescent="0.2">
      <c r="B41" s="282" t="s">
        <v>134</v>
      </c>
      <c r="C41" s="3109">
        <f t="shared" si="15"/>
        <v>146207.97685511745</v>
      </c>
      <c r="D41" s="3078" t="s">
        <v>1814</v>
      </c>
      <c r="E41" s="1913">
        <f t="shared" si="13"/>
        <v>51.411918339265</v>
      </c>
      <c r="F41" s="1913">
        <f t="shared" si="14"/>
        <v>0.90909090909090895</v>
      </c>
      <c r="G41" s="1913">
        <f t="shared" si="14"/>
        <v>0.90909090909090895</v>
      </c>
      <c r="H41" s="1913">
        <f t="shared" si="16"/>
        <v>7516.8325666244455</v>
      </c>
      <c r="I41" s="1913">
        <f t="shared" si="16"/>
        <v>0.13291634259556129</v>
      </c>
      <c r="J41" s="1913">
        <f t="shared" si="16"/>
        <v>0.13291634259556129</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51812.577610467895</v>
      </c>
      <c r="D44" s="3078" t="s">
        <v>1814</v>
      </c>
      <c r="E44" s="1913">
        <f t="shared" si="13"/>
        <v>77.524742506828147</v>
      </c>
      <c r="F44" s="1913">
        <f t="shared" si="14"/>
        <v>712.37730955671475</v>
      </c>
      <c r="G44" s="1913">
        <f t="shared" si="14"/>
        <v>1.8595409736699648</v>
      </c>
      <c r="H44" s="1913">
        <f>IF(SUM(H52,H58)=0,"NO",SUM(H52,H58))</f>
        <v>4016.7567378665731</v>
      </c>
      <c r="I44" s="1913">
        <f>IF(SUM(I52,I58)=0,"NO",SUM(I52,I58))</f>
        <v>36.910104639343594</v>
      </c>
      <c r="J44" s="1913">
        <f>IF(SUM(J52,J58)=0,"NO",SUM(J52,J58))</f>
        <v>9.6347611018120088E-2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214484.34537176427</v>
      </c>
      <c r="D46" s="3078" t="s">
        <v>1814</v>
      </c>
      <c r="E46" s="628"/>
      <c r="F46" s="628"/>
      <c r="G46" s="628"/>
      <c r="H46" s="1913">
        <f>IF(SUM(H47:H51)=0,"NO",SUM(H47:H51))</f>
        <v>8521.5143254054547</v>
      </c>
      <c r="I46" s="1913">
        <f>IF(SUM(I47:I52)=0,"NO",SUM(I47:I52))</f>
        <v>37.044876904059919</v>
      </c>
      <c r="J46" s="1913">
        <f>IF(SUM(J47:J52)=0,"NO",SUM(J47:J52))</f>
        <v>0.23954038889617252</v>
      </c>
      <c r="K46" s="3085" t="str">
        <f>IF(SUM(K47:K52)=0,"NO",SUM(K47:K52))</f>
        <v>NO</v>
      </c>
    </row>
    <row r="47" spans="2:11" ht="18" customHeight="1" x14ac:dyDescent="0.2">
      <c r="B47" s="282" t="s">
        <v>132</v>
      </c>
      <c r="C47" s="691">
        <v>16488.306095979249</v>
      </c>
      <c r="D47" s="3078" t="s">
        <v>1814</v>
      </c>
      <c r="E47" s="1913">
        <f t="shared" ref="E47:E52" si="17">IFERROR(H47*1000/$C47,"NA")</f>
        <v>60.833790595134687</v>
      </c>
      <c r="F47" s="1913">
        <f t="shared" ref="F47:G52" si="18">IFERROR(I47*1000000/$C47,"NA")</f>
        <v>1.0227279098621633</v>
      </c>
      <c r="G47" s="1913">
        <f t="shared" si="18"/>
        <v>0.62483775790789609</v>
      </c>
      <c r="H47" s="691">
        <v>1003.0461603112843</v>
      </c>
      <c r="I47" s="691">
        <v>1.6863050830708423E-2</v>
      </c>
      <c r="J47" s="691">
        <v>1.0302516212710769E-2</v>
      </c>
      <c r="K47" s="2911" t="s">
        <v>2146</v>
      </c>
    </row>
    <row r="48" spans="2:11" ht="18" customHeight="1" x14ac:dyDescent="0.2">
      <c r="B48" s="282" t="s">
        <v>133</v>
      </c>
      <c r="C48" s="691">
        <v>17.216825997112799</v>
      </c>
      <c r="D48" s="3078" t="s">
        <v>1814</v>
      </c>
      <c r="E48" s="1913">
        <f t="shared" si="17"/>
        <v>95.000000000000014</v>
      </c>
      <c r="F48" s="1913">
        <f t="shared" si="18"/>
        <v>0.95238095238095233</v>
      </c>
      <c r="G48" s="1913">
        <f t="shared" si="18"/>
        <v>0.66666666666666652</v>
      </c>
      <c r="H48" s="691">
        <v>1.635598469725716</v>
      </c>
      <c r="I48" s="691">
        <v>1.6396977140107428E-5</v>
      </c>
      <c r="J48" s="691">
        <v>1.1477883998075197E-5</v>
      </c>
      <c r="K48" s="2911" t="s">
        <v>2146</v>
      </c>
    </row>
    <row r="49" spans="2:11" ht="18" customHeight="1" x14ac:dyDescent="0.2">
      <c r="B49" s="282" t="s">
        <v>134</v>
      </c>
      <c r="C49" s="691">
        <v>146207.97685511745</v>
      </c>
      <c r="D49" s="3078" t="s">
        <v>1814</v>
      </c>
      <c r="E49" s="1913">
        <f t="shared" si="17"/>
        <v>51.411918339265</v>
      </c>
      <c r="F49" s="1913">
        <f t="shared" si="18"/>
        <v>0.90909090909090895</v>
      </c>
      <c r="G49" s="1913">
        <f t="shared" si="18"/>
        <v>0.90909090909090895</v>
      </c>
      <c r="H49" s="691">
        <v>7516.8325666244455</v>
      </c>
      <c r="I49" s="691">
        <v>0.13291634259556129</v>
      </c>
      <c r="J49" s="691">
        <v>0.13291634259556129</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51770.845594670434</v>
      </c>
      <c r="D52" s="3078" t="s">
        <v>1814</v>
      </c>
      <c r="E52" s="1913">
        <f t="shared" si="17"/>
        <v>77.533016823995112</v>
      </c>
      <c r="F52" s="1913">
        <f t="shared" si="18"/>
        <v>712.6613577556609</v>
      </c>
      <c r="G52" s="1913">
        <f t="shared" si="18"/>
        <v>1.8603144510704506</v>
      </c>
      <c r="H52" s="691">
        <v>4013.9498424840358</v>
      </c>
      <c r="I52" s="691">
        <v>36.895081113656509</v>
      </c>
      <c r="J52" s="691">
        <v>9.6310052203902374E-2</v>
      </c>
      <c r="K52" s="2911" t="s">
        <v>2146</v>
      </c>
    </row>
    <row r="53" spans="2:11" ht="18" customHeight="1" x14ac:dyDescent="0.2">
      <c r="B53" s="1242" t="s">
        <v>205</v>
      </c>
      <c r="C53" s="3078">
        <f>IF(SUM(C54:C58)=0,"NO",SUM(C54:C58))</f>
        <v>3998.5656658128405</v>
      </c>
      <c r="D53" s="3078" t="s">
        <v>1814</v>
      </c>
      <c r="E53" s="628"/>
      <c r="F53" s="628"/>
      <c r="G53" s="628"/>
      <c r="H53" s="3078">
        <f>IF(SUM(H54:H57)=0,"NO",SUM(H54:H57))</f>
        <v>267.0712645819421</v>
      </c>
      <c r="I53" s="3078">
        <f>IF(SUM(I54:I58)=0,"NO",SUM(I54:I58))</f>
        <v>0.71563972120460018</v>
      </c>
      <c r="J53" s="3078">
        <f>IF(SUM(J54:J58)=0,"NO",SUM(J54:J58))</f>
        <v>1.5944836931455248E-3</v>
      </c>
      <c r="K53" s="2921"/>
    </row>
    <row r="54" spans="2:11" ht="18" customHeight="1" x14ac:dyDescent="0.2">
      <c r="B54" s="282" t="s">
        <v>132</v>
      </c>
      <c r="C54" s="691">
        <v>3956.8336500153764</v>
      </c>
      <c r="D54" s="3078" t="s">
        <v>1814</v>
      </c>
      <c r="E54" s="1913">
        <f t="shared" ref="E54:E58" si="19">IFERROR(H54*1000/$C54,"NA")</f>
        <v>67.496207373010051</v>
      </c>
      <c r="F54" s="1913">
        <f t="shared" ref="F54:G58" si="20">IFERROR(I54*1000000/$C54,"NA")</f>
        <v>177.06485980647446</v>
      </c>
      <c r="G54" s="1913">
        <f t="shared" si="20"/>
        <v>0.3934774662366099</v>
      </c>
      <c r="H54" s="691">
        <v>267.0712645819421</v>
      </c>
      <c r="I54" s="691">
        <v>0.7006161955175132</v>
      </c>
      <c r="J54" s="691">
        <v>1.5569248789278072E-3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41.732015797464001</v>
      </c>
      <c r="D58" s="3078" t="s">
        <v>1814</v>
      </c>
      <c r="E58" s="1913">
        <f t="shared" si="19"/>
        <v>67.259999999999948</v>
      </c>
      <c r="F58" s="1913">
        <f t="shared" si="20"/>
        <v>359.99999999999966</v>
      </c>
      <c r="G58" s="1913">
        <f t="shared" si="20"/>
        <v>0.89999999999999925</v>
      </c>
      <c r="H58" s="691">
        <v>2.8068953825374265</v>
      </c>
      <c r="I58" s="691">
        <v>1.5023525687087026E-2</v>
      </c>
      <c r="J58" s="691">
        <v>3.755881421771757E-5</v>
      </c>
      <c r="K58" s="2921"/>
    </row>
    <row r="59" spans="2:11" ht="18" customHeight="1" x14ac:dyDescent="0.2">
      <c r="B59" s="1245" t="s">
        <v>206</v>
      </c>
      <c r="C59" s="3078">
        <f>IF(SUM(C60:C65)=0,"NO",SUM(C60:C65))</f>
        <v>90804.607441218788</v>
      </c>
      <c r="D59" s="3078" t="s">
        <v>1814</v>
      </c>
      <c r="E59" s="628"/>
      <c r="F59" s="628"/>
      <c r="G59" s="628"/>
      <c r="H59" s="1913">
        <f>IF(SUM(H60:H64)=0,"NO",SUM(H60:H64))</f>
        <v>6287.3670986267816</v>
      </c>
      <c r="I59" s="1913">
        <f>IF(SUM(I60:I65)=0,"NO",SUM(I60:I65))</f>
        <v>0.60441095752549423</v>
      </c>
      <c r="J59" s="1913">
        <f>IF(SUM(J60:J65)=0,"NO",SUM(J60:J65))</f>
        <v>0.32204109366911671</v>
      </c>
      <c r="K59" s="3085" t="str">
        <f>IF(SUM(K60:K65)=0,"NO",SUM(K60:K65))</f>
        <v>NO</v>
      </c>
    </row>
    <row r="60" spans="2:11" ht="18" customHeight="1" x14ac:dyDescent="0.2">
      <c r="B60" s="282" t="s">
        <v>132</v>
      </c>
      <c r="C60" s="1913">
        <f>IF(SUM(C67,C74:C77,C84:C87)=0,"NO",SUM(C67,C74:C77,C84:C87))</f>
        <v>89398.789441218789</v>
      </c>
      <c r="D60" s="3078" t="s">
        <v>1814</v>
      </c>
      <c r="E60" s="1913">
        <f t="shared" ref="E60:E65" si="21">IFERROR(H60*1000/$C60,"NA")</f>
        <v>69.520978273396423</v>
      </c>
      <c r="F60" s="1913">
        <f t="shared" ref="F60:G65" si="22">IFERROR(I60*1000000/$C60,"NA")</f>
        <v>6.7465448350218207</v>
      </c>
      <c r="G60" s="1913">
        <f t="shared" si="22"/>
        <v>3.588002469724576</v>
      </c>
      <c r="H60" s="1913">
        <f>IF(SUM(H67,H74:H77,H84:H87)=0,"NO",SUM(H67,H74:H77,H84:H87))</f>
        <v>6215.0912984109127</v>
      </c>
      <c r="I60" s="1913">
        <f>IF(SUM(I67,I74:I77,I84:I87)=0,"NO",SUM(I67,I74:I77,I84:I87))</f>
        <v>0.60313294116185789</v>
      </c>
      <c r="J60" s="1913">
        <f>IF(SUM(J67,J74:J77,J84:J87)=0,"NO",SUM(J67,J74:J77,J84:J87))</f>
        <v>0.32076307730548037</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1405.8179999999998</v>
      </c>
      <c r="D62" s="3078" t="s">
        <v>1814</v>
      </c>
      <c r="E62" s="1913">
        <f t="shared" si="21"/>
        <v>51.411918339265</v>
      </c>
      <c r="F62" s="1913">
        <f t="shared" si="22"/>
        <v>0.90909090909090928</v>
      </c>
      <c r="G62" s="1913">
        <f t="shared" si="22"/>
        <v>0.90909090909090928</v>
      </c>
      <c r="H62" s="1913">
        <f>IF(SUM(H69,H79,H89)=0,"NO",SUM(H69,H79,H89))</f>
        <v>72.275800215868827</v>
      </c>
      <c r="I62" s="1913">
        <f>IF(SUM(I69,I79,I89)=0,"NO",SUM(I69,I79,I89))</f>
        <v>1.2780163636363635E-3</v>
      </c>
      <c r="J62" s="1913">
        <f>IF(SUM(J69,J79,J89)=0,"NO",SUM(J69,J79,J89))</f>
        <v>1.2780163636363635E-3</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90804.607441218788</v>
      </c>
      <c r="D66" s="3078" t="s">
        <v>1814</v>
      </c>
      <c r="E66" s="2108"/>
      <c r="F66" s="2108"/>
      <c r="G66" s="2108"/>
      <c r="H66" s="1913">
        <f>IF(SUM(H67:H71)=0,"NO",SUM(H67:H71))</f>
        <v>6287.3670986267816</v>
      </c>
      <c r="I66" s="1913">
        <f>IF(SUM(I67:I72)=0,"NO",SUM(I67:I72))</f>
        <v>0.60441095752549423</v>
      </c>
      <c r="J66" s="1913">
        <f>IF(SUM(J67:J72)=0,"NO",SUM(J67:J72))</f>
        <v>0.32204109366911671</v>
      </c>
      <c r="K66" s="3085" t="str">
        <f>IF(SUM(K67:K72)=0,"NO",SUM(K67:K72))</f>
        <v>NO</v>
      </c>
    </row>
    <row r="67" spans="2:11" ht="18" customHeight="1" x14ac:dyDescent="0.2">
      <c r="B67" s="282" t="s">
        <v>132</v>
      </c>
      <c r="C67" s="691">
        <v>89398.789441218789</v>
      </c>
      <c r="D67" s="3078" t="s">
        <v>1814</v>
      </c>
      <c r="E67" s="1913">
        <f t="shared" ref="E67:E72" si="23">IFERROR(H67*1000/$C67,"NA")</f>
        <v>69.520978273396423</v>
      </c>
      <c r="F67" s="1913">
        <f t="shared" ref="F67:G72" si="24">IFERROR(I67*1000000/$C67,"NA")</f>
        <v>6.7465448350218207</v>
      </c>
      <c r="G67" s="1913">
        <f t="shared" si="24"/>
        <v>3.588002469724576</v>
      </c>
      <c r="H67" s="691">
        <v>6215.0912984109127</v>
      </c>
      <c r="I67" s="691">
        <v>0.60313294116185789</v>
      </c>
      <c r="J67" s="691">
        <v>0.32076307730548037</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1405.8179999999998</v>
      </c>
      <c r="D69" s="3078" t="s">
        <v>1814</v>
      </c>
      <c r="E69" s="1913">
        <f t="shared" si="23"/>
        <v>51.411918339265</v>
      </c>
      <c r="F69" s="1913">
        <f t="shared" si="24"/>
        <v>0.90909090909090928</v>
      </c>
      <c r="G69" s="1913">
        <f t="shared" si="24"/>
        <v>0.90909090909090928</v>
      </c>
      <c r="H69" s="691">
        <v>72.275800215868827</v>
      </c>
      <c r="I69" s="691">
        <v>1.2780163636363635E-3</v>
      </c>
      <c r="J69" s="691">
        <v>1.2780163636363635E-3</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14592.744086798066</v>
      </c>
      <c r="D93" s="3078" t="s">
        <v>1814</v>
      </c>
      <c r="E93" s="2134"/>
      <c r="F93" s="2134"/>
      <c r="G93" s="2134"/>
      <c r="H93" s="3109">
        <f>IF(SUM(H94:H98)=0,"NO",SUM(H94:H98))</f>
        <v>1017.0580667465537</v>
      </c>
      <c r="I93" s="3109">
        <f>IF(SUM(I94:I99)=0,"NO",SUM(I94:I99))</f>
        <v>3.3563745705155655E-2</v>
      </c>
      <c r="J93" s="3113">
        <f>IF(SUM(J94:J99)=0,"NO",SUM(J94:J99))</f>
        <v>2.8560389997894974E-2</v>
      </c>
      <c r="K93" s="449" t="str">
        <f>IF(SUM(K94:K99)=0,"NO",SUM(K94:K99))</f>
        <v>NO</v>
      </c>
    </row>
    <row r="94" spans="2:11" ht="18" customHeight="1" x14ac:dyDescent="0.2">
      <c r="B94" s="282" t="s">
        <v>132</v>
      </c>
      <c r="C94" s="691">
        <f>IF(SUM(C102,C110)=0,"NO",SUM(C102,C110))</f>
        <v>14592.709874007402</v>
      </c>
      <c r="D94" s="1913" t="s">
        <v>1814</v>
      </c>
      <c r="E94" s="1913">
        <f t="shared" ref="E94:E99" si="32">IFERROR(H94*1000/$C94,"NA")</f>
        <v>69.696312441470653</v>
      </c>
      <c r="F94" s="1913">
        <f t="shared" ref="F94:G99" si="33">IFERROR(I94*1000000/$C94,"NA")</f>
        <v>2.298175955782817</v>
      </c>
      <c r="G94" s="1913">
        <f t="shared" si="33"/>
        <v>1.9571613227502511</v>
      </c>
      <c r="H94" s="691">
        <f t="shared" ref="H94:K97" si="34">IF(SUM(H102,H110)=0,"NO",SUM(H102,H110))</f>
        <v>1017.0580667465537</v>
      </c>
      <c r="I94" s="691">
        <f t="shared" si="34"/>
        <v>3.3536614962158311E-2</v>
      </c>
      <c r="J94" s="691">
        <f t="shared" si="34"/>
        <v>2.8560287359522978E-2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3.4212790664997099E-2</v>
      </c>
      <c r="D99" s="1913" t="s">
        <v>1814</v>
      </c>
      <c r="E99" s="1913">
        <f t="shared" si="32"/>
        <v>67.259999999999977</v>
      </c>
      <c r="F99" s="1913">
        <f t="shared" si="33"/>
        <v>792.99999999999977</v>
      </c>
      <c r="G99" s="1913">
        <f t="shared" si="33"/>
        <v>2.9999999999999996</v>
      </c>
      <c r="H99" s="691">
        <f>IF(SUM(H107,H114)=0,"NO",SUM(H107,H114))</f>
        <v>2.3011523001277043E-3</v>
      </c>
      <c r="I99" s="691">
        <f>IF(SUM(I107,I114)=0,"NO",SUM(I107,I114))</f>
        <v>2.713074299734269E-5</v>
      </c>
      <c r="J99" s="691">
        <f>IF(SUM(J107,J114)=0,"NO",SUM(J107,J114))</f>
        <v>1.0263837199499128E-7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14592.744086798066</v>
      </c>
      <c r="D108" s="1913" t="s">
        <v>1814</v>
      </c>
      <c r="E108" s="1931"/>
      <c r="F108" s="1931"/>
      <c r="G108" s="1931"/>
      <c r="H108" s="3078">
        <f>H109</f>
        <v>1017.0580667465537</v>
      </c>
      <c r="I108" s="3078">
        <f>I109</f>
        <v>3.3563745705155655E-2</v>
      </c>
      <c r="J108" s="3110">
        <f>J109</f>
        <v>2.8560389997894974E-2</v>
      </c>
      <c r="K108" s="2921"/>
    </row>
    <row r="109" spans="2:11" ht="18" customHeight="1" x14ac:dyDescent="0.2">
      <c r="B109" s="3125" t="s">
        <v>2149</v>
      </c>
      <c r="C109" s="3099">
        <f>IF(SUM(C110:C114)=0,"NO",SUM(C110:C114))</f>
        <v>14592.744086798066</v>
      </c>
      <c r="D109" s="1913" t="s">
        <v>1814</v>
      </c>
      <c r="E109" s="628"/>
      <c r="F109" s="628"/>
      <c r="G109" s="628"/>
      <c r="H109" s="3099">
        <f>IF(SUM(H110:H113)=0,"NO",SUM(H110:H113))</f>
        <v>1017.0580667465537</v>
      </c>
      <c r="I109" s="3099">
        <f>IF(SUM(I110:I114)=0,"NO",SUM(I110:I114))</f>
        <v>3.3563745705155655E-2</v>
      </c>
      <c r="J109" s="3099">
        <f>IF(SUM(J110:J114)=0,"NO",SUM(J110:J114))</f>
        <v>2.8560389997894974E-2</v>
      </c>
      <c r="K109" s="2921"/>
    </row>
    <row r="110" spans="2:11" ht="18" customHeight="1" x14ac:dyDescent="0.2">
      <c r="B110" s="282" t="s">
        <v>132</v>
      </c>
      <c r="C110" s="691">
        <v>14592.709874007402</v>
      </c>
      <c r="D110" s="1913" t="s">
        <v>1814</v>
      </c>
      <c r="E110" s="1913">
        <f t="shared" ref="E110:E114" si="37">IFERROR(H110*1000/$C110,"NA")</f>
        <v>69.696312441470653</v>
      </c>
      <c r="F110" s="1913">
        <f t="shared" ref="F110:G114" si="38">IFERROR(I110*1000000/$C110,"NA")</f>
        <v>2.298175955782817</v>
      </c>
      <c r="G110" s="1913">
        <f t="shared" si="38"/>
        <v>1.9571613227502511</v>
      </c>
      <c r="H110" s="691">
        <v>1017.0580667465537</v>
      </c>
      <c r="I110" s="691">
        <v>3.3536614962158311E-2</v>
      </c>
      <c r="J110" s="691">
        <v>2.8560287359522978E-2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3.4212790664997099E-2</v>
      </c>
      <c r="D114" s="2880" t="s">
        <v>1814</v>
      </c>
      <c r="E114" s="2880">
        <f t="shared" si="37"/>
        <v>67.259999999999977</v>
      </c>
      <c r="F114" s="2880">
        <f t="shared" si="38"/>
        <v>792.99999999999977</v>
      </c>
      <c r="G114" s="2880">
        <f t="shared" si="38"/>
        <v>2.9999999999999996</v>
      </c>
      <c r="H114" s="1559">
        <v>2.3011523001277043E-3</v>
      </c>
      <c r="I114" s="1559">
        <v>2.713074299734269E-5</v>
      </c>
      <c r="J114" s="1559">
        <v>1.0263837199499128E-7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744855.80599999998</v>
      </c>
      <c r="G11" s="3361">
        <v>1071127.34604</v>
      </c>
      <c r="H11" s="3361">
        <v>548220.98950000003</v>
      </c>
      <c r="I11" s="3381"/>
      <c r="J11" s="3361">
        <v>-3671.3792699999999</v>
      </c>
      <c r="K11" s="3369">
        <f t="shared" ref="K11:K28" si="0">IF((SUM(F11:G11)-SUM(H11:J11))=0,"NO",(SUM(F11:G11)-SUM(H11:J11)))</f>
        <v>1271433.5418100001</v>
      </c>
      <c r="L11" s="2577">
        <f>IF(K11="NO","NA",1)</f>
        <v>1</v>
      </c>
      <c r="M11" s="5" t="s">
        <v>1814</v>
      </c>
      <c r="N11" s="3369">
        <f>K11</f>
        <v>1271433.5418100001</v>
      </c>
      <c r="O11" s="3342">
        <v>18.9807162534435</v>
      </c>
      <c r="P11" s="3369">
        <f>IFERROR(N11*O11/1000,"NA")</f>
        <v>24132.719292206308</v>
      </c>
      <c r="Q11" s="3369" t="str">
        <f>'Table1.A(d)'!G11</f>
        <v>NA</v>
      </c>
      <c r="R11" s="3369">
        <f>IF(SUM(P11,-SUM(Q11))=0,"NO",SUM(P11,-SUM(Q11)))</f>
        <v>24132.719292206308</v>
      </c>
      <c r="S11" s="2577">
        <f>IF(R11="NO","NA",1)</f>
        <v>1</v>
      </c>
      <c r="T11" s="3375">
        <f>IF(R11="NO","NO",R11*S11*44/12)</f>
        <v>88486.63740475646</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128461.5238</v>
      </c>
      <c r="G13" s="3361" t="s">
        <v>2146</v>
      </c>
      <c r="H13" s="3361" t="s">
        <v>2146</v>
      </c>
      <c r="I13" s="3381"/>
      <c r="J13" s="3361" t="s">
        <v>2146</v>
      </c>
      <c r="K13" s="3369">
        <f t="shared" si="0"/>
        <v>128461.5238</v>
      </c>
      <c r="L13" s="2577">
        <f t="shared" si="1"/>
        <v>1</v>
      </c>
      <c r="M13" s="5" t="s">
        <v>1814</v>
      </c>
      <c r="N13" s="3369">
        <f t="shared" si="2"/>
        <v>128461.5238</v>
      </c>
      <c r="O13" s="3342">
        <v>16.217340016149439</v>
      </c>
      <c r="P13" s="3369">
        <f t="shared" si="3"/>
        <v>2083.3042104572737</v>
      </c>
      <c r="Q13" s="3369" t="str">
        <f>'Table1.A(d)'!G13</f>
        <v>NA</v>
      </c>
      <c r="R13" s="3369">
        <f>IF(SUM(P13,-SUM(Q13))=0,"NO",SUM(P13,-SUM(Q13)))</f>
        <v>2083.3042104572737</v>
      </c>
      <c r="S13" s="2577">
        <f t="shared" si="4"/>
        <v>1</v>
      </c>
      <c r="T13" s="3375">
        <f t="shared" si="5"/>
        <v>7638.7821050100038</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123061.99193</v>
      </c>
      <c r="H15" s="3361">
        <v>5159.6974899999996</v>
      </c>
      <c r="I15" s="3361" t="s">
        <v>2146</v>
      </c>
      <c r="J15" s="3361">
        <v>-4684.4202400000004</v>
      </c>
      <c r="K15" s="3369">
        <f t="shared" si="0"/>
        <v>122586.71468</v>
      </c>
      <c r="L15" s="2577">
        <f>IF(K15="NO","NA",1)</f>
        <v>1</v>
      </c>
      <c r="M15" s="5" t="s">
        <v>1814</v>
      </c>
      <c r="N15" s="3369">
        <f t="shared" si="2"/>
        <v>122586.71468</v>
      </c>
      <c r="O15" s="3342">
        <v>18.3826984711406</v>
      </c>
      <c r="P15" s="3369">
        <f t="shared" si="3"/>
        <v>2253.4746125301849</v>
      </c>
      <c r="Q15" s="3369" t="str">
        <f>'Table1.A(d)'!G15</f>
        <v>NA</v>
      </c>
      <c r="R15" s="3369">
        <f>IF(SUM(P15,-SUM(Q15))=0,"NO",SUM(P15,-SUM(Q15)))</f>
        <v>2253.4746125301849</v>
      </c>
      <c r="S15" s="2577">
        <f>IF(R15="NO","NA",1)</f>
        <v>1</v>
      </c>
      <c r="T15" s="3375">
        <f>IF(R15="NO","NO",R15*S15*44/12)</f>
        <v>8262.7402459440109</v>
      </c>
    </row>
    <row r="16" spans="2:20" ht="18" customHeight="1" x14ac:dyDescent="0.2">
      <c r="B16" s="1727"/>
      <c r="C16" s="1567"/>
      <c r="D16" s="36" t="s">
        <v>178</v>
      </c>
      <c r="E16" s="2575" t="s">
        <v>2150</v>
      </c>
      <c r="F16" s="3382"/>
      <c r="G16" s="3361">
        <v>128131.52800000001</v>
      </c>
      <c r="H16" s="3361">
        <v>83.903999999999996</v>
      </c>
      <c r="I16" s="3361">
        <v>170880</v>
      </c>
      <c r="J16" s="3361">
        <v>254.34623999999801</v>
      </c>
      <c r="K16" s="3369">
        <f t="shared" si="0"/>
        <v>-43086.722239999988</v>
      </c>
      <c r="L16" s="2577">
        <f t="shared" ref="L16:L28" si="6">IF(K16="NO","NA",1)</f>
        <v>1</v>
      </c>
      <c r="M16" s="5" t="s">
        <v>1814</v>
      </c>
      <c r="N16" s="3369">
        <f t="shared" si="2"/>
        <v>-43086.722239999988</v>
      </c>
      <c r="O16" s="3342">
        <v>18.981818181818198</v>
      </c>
      <c r="P16" s="3369">
        <f t="shared" si="3"/>
        <v>-817.86432761018239</v>
      </c>
      <c r="Q16" s="3369" t="str">
        <f>'Table1.A(d)'!G16</f>
        <v>NA</v>
      </c>
      <c r="R16" s="3369">
        <f t="shared" ref="R16:R44" si="7">IF(SUM(P16,-SUM(Q16))=0,"NO",SUM(P16,-SUM(Q16)))</f>
        <v>-817.86432761018239</v>
      </c>
      <c r="S16" s="2577">
        <f t="shared" ref="S16:S28" si="8">IF(R16="NO","NA",1)</f>
        <v>1</v>
      </c>
      <c r="T16" s="3375">
        <f t="shared" ref="T16:T28" si="9">IF(R16="NO","NO",R16*S16*44/12)</f>
        <v>-2998.8358679040025</v>
      </c>
    </row>
    <row r="17" spans="2:20" ht="18" customHeight="1" x14ac:dyDescent="0.2">
      <c r="B17" s="1727"/>
      <c r="C17" s="1567"/>
      <c r="D17" s="36" t="s">
        <v>247</v>
      </c>
      <c r="E17" s="2575" t="s">
        <v>2150</v>
      </c>
      <c r="F17" s="3381"/>
      <c r="G17" s="3361">
        <v>32.549999999999997</v>
      </c>
      <c r="H17" s="3361" t="s">
        <v>2146</v>
      </c>
      <c r="I17" s="3361" t="s">
        <v>2146</v>
      </c>
      <c r="J17" s="3361">
        <v>54.907200000000003</v>
      </c>
      <c r="K17" s="3369">
        <f t="shared" si="0"/>
        <v>-22.357200000000006</v>
      </c>
      <c r="L17" s="2577">
        <f t="shared" si="6"/>
        <v>1</v>
      </c>
      <c r="M17" s="5" t="s">
        <v>1814</v>
      </c>
      <c r="N17" s="3369">
        <f t="shared" si="2"/>
        <v>-22.357200000000006</v>
      </c>
      <c r="O17" s="3342">
        <v>18.7909090909091</v>
      </c>
      <c r="P17" s="3369">
        <f t="shared" si="3"/>
        <v>-0.420112112727273</v>
      </c>
      <c r="Q17" s="3369" t="str">
        <f>'Table1.A(d)'!G17</f>
        <v>NA</v>
      </c>
      <c r="R17" s="3369">
        <f t="shared" si="7"/>
        <v>-0.420112112727273</v>
      </c>
      <c r="S17" s="2577">
        <f t="shared" si="8"/>
        <v>1</v>
      </c>
      <c r="T17" s="3375">
        <f t="shared" si="9"/>
        <v>-1.540411080000001</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525059.59958000004</v>
      </c>
      <c r="H19" s="3361">
        <v>2354.3143599999999</v>
      </c>
      <c r="I19" s="3361">
        <v>1833.8</v>
      </c>
      <c r="J19" s="3361">
        <v>-16312.27368</v>
      </c>
      <c r="K19" s="3369">
        <f t="shared" si="0"/>
        <v>537183.75890000002</v>
      </c>
      <c r="L19" s="2577">
        <f t="shared" si="6"/>
        <v>1</v>
      </c>
      <c r="M19" s="5" t="s">
        <v>1814</v>
      </c>
      <c r="N19" s="3369">
        <f t="shared" si="2"/>
        <v>537183.75890000002</v>
      </c>
      <c r="O19" s="3342">
        <v>19.063636363636402</v>
      </c>
      <c r="P19" s="3369">
        <f t="shared" si="3"/>
        <v>10240.67584012093</v>
      </c>
      <c r="Q19" s="3369" t="str">
        <f>'Table1.A(d)'!G19</f>
        <v>NA</v>
      </c>
      <c r="R19" s="3369">
        <f t="shared" si="7"/>
        <v>10240.67584012093</v>
      </c>
      <c r="S19" s="2577">
        <f t="shared" si="8"/>
        <v>1</v>
      </c>
      <c r="T19" s="3375">
        <f t="shared" si="9"/>
        <v>37549.144747110076</v>
      </c>
    </row>
    <row r="20" spans="2:20" ht="18" customHeight="1" x14ac:dyDescent="0.2">
      <c r="B20" s="1727"/>
      <c r="C20" s="1567"/>
      <c r="D20" s="36" t="s">
        <v>190</v>
      </c>
      <c r="E20" s="2575" t="s">
        <v>2150</v>
      </c>
      <c r="F20" s="3381"/>
      <c r="G20" s="3361">
        <v>53037.064140000002</v>
      </c>
      <c r="H20" s="3361">
        <v>1869.3816899999999</v>
      </c>
      <c r="I20" s="3361">
        <v>27658.7</v>
      </c>
      <c r="J20" s="3361">
        <v>471.87060000000002</v>
      </c>
      <c r="K20" s="3369">
        <f t="shared" si="0"/>
        <v>23037.111850000005</v>
      </c>
      <c r="L20" s="2577">
        <f t="shared" si="6"/>
        <v>1</v>
      </c>
      <c r="M20" s="5" t="s">
        <v>1814</v>
      </c>
      <c r="N20" s="3369">
        <f t="shared" si="2"/>
        <v>23037.111850000005</v>
      </c>
      <c r="O20" s="3342">
        <v>20.072727272727299</v>
      </c>
      <c r="P20" s="3369">
        <f t="shared" si="3"/>
        <v>462.41766331636433</v>
      </c>
      <c r="Q20" s="3369" t="str">
        <f>'Table1.A(d)'!G20</f>
        <v>NA</v>
      </c>
      <c r="R20" s="3369">
        <f t="shared" si="7"/>
        <v>462.41766331636433</v>
      </c>
      <c r="S20" s="2577">
        <f t="shared" si="8"/>
        <v>1</v>
      </c>
      <c r="T20" s="3375">
        <f t="shared" si="9"/>
        <v>1695.5314321600026</v>
      </c>
    </row>
    <row r="21" spans="2:20" ht="18" customHeight="1" x14ac:dyDescent="0.2">
      <c r="B21" s="1727"/>
      <c r="C21" s="1567"/>
      <c r="D21" s="36" t="s">
        <v>169</v>
      </c>
      <c r="E21" s="2575" t="s">
        <v>2150</v>
      </c>
      <c r="F21" s="3381"/>
      <c r="G21" s="3361">
        <v>18757.22724</v>
      </c>
      <c r="H21" s="3361">
        <v>64667.952250000002</v>
      </c>
      <c r="I21" s="3381"/>
      <c r="J21" s="3361">
        <v>1974.8537600000009</v>
      </c>
      <c r="K21" s="3369">
        <f t="shared" si="0"/>
        <v>-47885.57877</v>
      </c>
      <c r="L21" s="2577">
        <f t="shared" si="6"/>
        <v>1</v>
      </c>
      <c r="M21" s="5" t="s">
        <v>1814</v>
      </c>
      <c r="N21" s="3369">
        <f t="shared" si="2"/>
        <v>-47885.57877</v>
      </c>
      <c r="O21" s="3342">
        <v>16.4181818181818</v>
      </c>
      <c r="P21" s="3369">
        <f t="shared" si="3"/>
        <v>-786.19413871472648</v>
      </c>
      <c r="Q21" s="3369" t="str">
        <f>'Table1.A(d)'!G21</f>
        <v>NA</v>
      </c>
      <c r="R21" s="3369">
        <f t="shared" si="7"/>
        <v>-786.19413871472648</v>
      </c>
      <c r="S21" s="2577">
        <f t="shared" si="8"/>
        <v>1</v>
      </c>
      <c r="T21" s="3375">
        <f t="shared" si="9"/>
        <v>-2882.711841953997</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15.409090909090899</v>
      </c>
      <c r="P22" s="3369" t="str">
        <f t="shared" si="3"/>
        <v>NA</v>
      </c>
      <c r="Q22" s="3369">
        <f>'Table1.A(d)'!G22</f>
        <v>322.52345407701802</v>
      </c>
      <c r="R22" s="3369">
        <f t="shared" si="7"/>
        <v>-322.52345407701802</v>
      </c>
      <c r="S22" s="2577">
        <f t="shared" si="8"/>
        <v>1</v>
      </c>
      <c r="T22" s="3375">
        <f t="shared" si="9"/>
        <v>-1182.5859982823993</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35044.151039999997</v>
      </c>
      <c r="H24" s="3361">
        <v>16.908480000000001</v>
      </c>
      <c r="I24" s="3381"/>
      <c r="J24" s="3361">
        <v>-440.32666999999998</v>
      </c>
      <c r="K24" s="3369">
        <f t="shared" si="0"/>
        <v>35467.569229999994</v>
      </c>
      <c r="L24" s="2577">
        <f t="shared" si="6"/>
        <v>1</v>
      </c>
      <c r="M24" s="5" t="s">
        <v>1814</v>
      </c>
      <c r="N24" s="3369">
        <f t="shared" si="2"/>
        <v>35467.569229999994</v>
      </c>
      <c r="O24" s="3342">
        <v>22.009090909090901</v>
      </c>
      <c r="P24" s="3369">
        <f t="shared" si="3"/>
        <v>780.60895550754503</v>
      </c>
      <c r="Q24" s="3369">
        <f>'Table1.A(d)'!G24</f>
        <v>556.60990909090913</v>
      </c>
      <c r="R24" s="3369">
        <f t="shared" si="7"/>
        <v>223.99904641663591</v>
      </c>
      <c r="S24" s="2577">
        <f t="shared" si="8"/>
        <v>1</v>
      </c>
      <c r="T24" s="3375">
        <f t="shared" si="9"/>
        <v>821.3298368609984</v>
      </c>
    </row>
    <row r="25" spans="2:20" ht="18" customHeight="1" x14ac:dyDescent="0.2">
      <c r="B25" s="1727"/>
      <c r="C25" s="1567"/>
      <c r="D25" s="36" t="s">
        <v>252</v>
      </c>
      <c r="E25" s="2575" t="s">
        <v>2150</v>
      </c>
      <c r="F25" s="3381"/>
      <c r="G25" s="3361">
        <v>19670.230360000001</v>
      </c>
      <c r="H25" s="3361">
        <v>13084.40372</v>
      </c>
      <c r="I25" s="3361" t="s">
        <v>2146</v>
      </c>
      <c r="J25" s="3361" t="s">
        <v>2146</v>
      </c>
      <c r="K25" s="3369">
        <f t="shared" si="0"/>
        <v>6585.8266400000011</v>
      </c>
      <c r="L25" s="2577">
        <f t="shared" si="6"/>
        <v>1</v>
      </c>
      <c r="M25" s="5" t="s">
        <v>1814</v>
      </c>
      <c r="N25" s="3369">
        <f t="shared" si="2"/>
        <v>6585.8266400000011</v>
      </c>
      <c r="O25" s="3342">
        <v>18.991363636363602</v>
      </c>
      <c r="P25" s="3369">
        <f t="shared" si="3"/>
        <v>125.0738285662907</v>
      </c>
      <c r="Q25" s="3369">
        <f>'Table1.A(d)'!G25</f>
        <v>247.12910750454549</v>
      </c>
      <c r="R25" s="3369">
        <f t="shared" si="7"/>
        <v>-122.05527893825479</v>
      </c>
      <c r="S25" s="2577">
        <f t="shared" si="8"/>
        <v>1</v>
      </c>
      <c r="T25" s="3375">
        <f t="shared" si="9"/>
        <v>-447.53602277360091</v>
      </c>
    </row>
    <row r="26" spans="2:20" ht="18" customHeight="1" x14ac:dyDescent="0.2">
      <c r="B26" s="1727"/>
      <c r="C26" s="1567"/>
      <c r="D26" s="36" t="s">
        <v>253</v>
      </c>
      <c r="E26" s="2575" t="s">
        <v>2150</v>
      </c>
      <c r="F26" s="3381"/>
      <c r="G26" s="3361">
        <v>26659.4754588</v>
      </c>
      <c r="H26" s="3361" t="s">
        <v>2146</v>
      </c>
      <c r="I26" s="3381"/>
      <c r="J26" s="3361" t="s">
        <v>2146</v>
      </c>
      <c r="K26" s="3369">
        <f t="shared" si="0"/>
        <v>26659.4754588</v>
      </c>
      <c r="L26" s="2577">
        <f t="shared" si="6"/>
        <v>1</v>
      </c>
      <c r="M26" s="5" t="s">
        <v>1814</v>
      </c>
      <c r="N26" s="3369">
        <f t="shared" si="2"/>
        <v>26659.4754588</v>
      </c>
      <c r="O26" s="3342">
        <v>25.261363636363601</v>
      </c>
      <c r="P26" s="3369">
        <f t="shared" si="3"/>
        <v>673.4547039194581</v>
      </c>
      <c r="Q26" s="3369">
        <f>'Table1.A(d)'!G26</f>
        <v>673.45470391945901</v>
      </c>
      <c r="R26" s="3369">
        <f t="shared" si="7"/>
        <v>-9.0949470177292824E-13</v>
      </c>
      <c r="S26" s="2577">
        <f t="shared" si="8"/>
        <v>1</v>
      </c>
      <c r="T26" s="3375">
        <f t="shared" si="9"/>
        <v>-3.3348139065007367E-12</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14678.965039999999</v>
      </c>
      <c r="H28" s="3361">
        <v>4640.5634399999999</v>
      </c>
      <c r="I28" s="3381"/>
      <c r="J28" s="3361">
        <v>2651.4852000000001</v>
      </c>
      <c r="K28" s="3369">
        <f t="shared" si="0"/>
        <v>7386.9163999999992</v>
      </c>
      <c r="L28" s="2577">
        <f t="shared" si="6"/>
        <v>1</v>
      </c>
      <c r="M28" s="5" t="s">
        <v>1814</v>
      </c>
      <c r="N28" s="3369">
        <f t="shared" si="2"/>
        <v>7386.9163999999992</v>
      </c>
      <c r="O28" s="3342">
        <v>19.036359030923698</v>
      </c>
      <c r="P28" s="3369">
        <f t="shared" si="3"/>
        <v>140.61999272181836</v>
      </c>
      <c r="Q28" s="3369">
        <f>'Table1.A(d)'!G28</f>
        <v>735.98937315272724</v>
      </c>
      <c r="R28" s="3369">
        <f t="shared" si="7"/>
        <v>-595.3693804309089</v>
      </c>
      <c r="S28" s="2577">
        <f t="shared" si="8"/>
        <v>1</v>
      </c>
      <c r="T28" s="3375">
        <f t="shared" si="9"/>
        <v>-2183.0210615799992</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2067807.7805588003</v>
      </c>
      <c r="O31" s="3364"/>
      <c r="P31" s="3371">
        <f>SUM(P11:P29)</f>
        <v>39287.870520908538</v>
      </c>
      <c r="Q31" s="3371">
        <f>SUM(Q11:Q29)</f>
        <v>2535.706547744659</v>
      </c>
      <c r="R31" s="3369">
        <f t="shared" si="7"/>
        <v>36752.163973163879</v>
      </c>
      <c r="S31" s="2578"/>
      <c r="T31" s="3377">
        <f>SUM(T11:T29)</f>
        <v>134757.93456826758</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v>25.0363636363636</v>
      </c>
      <c r="P34" s="3369" t="str">
        <f t="shared" si="13"/>
        <v>NA</v>
      </c>
      <c r="Q34" s="3369">
        <f>'Table1.A(d)'!G34</f>
        <v>21.698332870909098</v>
      </c>
      <c r="R34" s="3369">
        <f t="shared" si="7"/>
        <v>-21.698332870909098</v>
      </c>
      <c r="S34" s="2577">
        <f t="shared" si="14"/>
        <v>1</v>
      </c>
      <c r="T34" s="3375">
        <f t="shared" si="15"/>
        <v>-79.560553860000027</v>
      </c>
    </row>
    <row r="35" spans="2:20" ht="18" customHeight="1" x14ac:dyDescent="0.2">
      <c r="B35" s="1727"/>
      <c r="C35" s="1567"/>
      <c r="D35" s="31" t="s">
        <v>261</v>
      </c>
      <c r="E35" s="2575" t="s">
        <v>2150</v>
      </c>
      <c r="F35" s="3361">
        <v>11819587.1678851</v>
      </c>
      <c r="G35" s="3361" t="s">
        <v>2146</v>
      </c>
      <c r="H35" s="3361">
        <v>10577511.765725</v>
      </c>
      <c r="I35" s="3361" t="s">
        <v>2146</v>
      </c>
      <c r="J35" s="3361">
        <v>-13415.628388515401</v>
      </c>
      <c r="K35" s="3369">
        <f t="shared" si="10"/>
        <v>1255491.0305486154</v>
      </c>
      <c r="L35" s="2577">
        <f t="shared" si="11"/>
        <v>1</v>
      </c>
      <c r="M35" s="55" t="s">
        <v>1814</v>
      </c>
      <c r="N35" s="3369">
        <f t="shared" si="12"/>
        <v>1255491.0305486154</v>
      </c>
      <c r="O35" s="3342">
        <v>24.3452509722825</v>
      </c>
      <c r="P35" s="3369">
        <f t="shared" si="13"/>
        <v>30565.244232155637</v>
      </c>
      <c r="Q35" s="3369">
        <f>'Table1.A(d)'!G35</f>
        <v>335.77843959818199</v>
      </c>
      <c r="R35" s="3369">
        <f t="shared" si="7"/>
        <v>30229.465792557454</v>
      </c>
      <c r="S35" s="2577">
        <f t="shared" si="14"/>
        <v>1</v>
      </c>
      <c r="T35" s="3375">
        <f t="shared" si="15"/>
        <v>110841.37457271066</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620232.70384523505</v>
      </c>
      <c r="G37" s="3361" t="s">
        <v>2146</v>
      </c>
      <c r="H37" s="3361" t="s">
        <v>2146</v>
      </c>
      <c r="I37" s="3381"/>
      <c r="J37" s="3361">
        <v>-2493</v>
      </c>
      <c r="K37" s="3369">
        <f t="shared" si="10"/>
        <v>622725.70384523505</v>
      </c>
      <c r="L37" s="2577">
        <f t="shared" si="11"/>
        <v>1</v>
      </c>
      <c r="M37" s="55" t="s">
        <v>1814</v>
      </c>
      <c r="N37" s="3369">
        <f t="shared" si="12"/>
        <v>622725.70384523505</v>
      </c>
      <c r="O37" s="3342">
        <v>25.160858604676601</v>
      </c>
      <c r="P37" s="3369">
        <f t="shared" si="13"/>
        <v>15668.313383947676</v>
      </c>
      <c r="Q37" s="3369">
        <f>'Table1.A(d)'!G37</f>
        <v>5.786603727273E-2</v>
      </c>
      <c r="R37" s="3369">
        <f t="shared" si="7"/>
        <v>15668.255517910404</v>
      </c>
      <c r="S37" s="2577">
        <f t="shared" si="14"/>
        <v>1</v>
      </c>
      <c r="T37" s="3375">
        <f t="shared" si="15"/>
        <v>57450.270232338145</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2445.5625</v>
      </c>
      <c r="H41" s="3361">
        <v>27345</v>
      </c>
      <c r="I41" s="3381"/>
      <c r="J41" s="3361">
        <v>40</v>
      </c>
      <c r="K41" s="3369">
        <f t="shared" si="16"/>
        <v>-24939.4375</v>
      </c>
      <c r="L41" s="2577">
        <f t="shared" si="17"/>
        <v>1</v>
      </c>
      <c r="M41" s="55" t="s">
        <v>1814</v>
      </c>
      <c r="N41" s="3369">
        <f t="shared" si="18"/>
        <v>-24939.4375</v>
      </c>
      <c r="O41" s="3342">
        <v>29.238830892040799</v>
      </c>
      <c r="P41" s="3369">
        <f t="shared" si="19"/>
        <v>-729.19999560512076</v>
      </c>
      <c r="Q41" s="3369">
        <f>'Table1.A(d)'!G41</f>
        <v>1462.79004587795</v>
      </c>
      <c r="R41" s="3369">
        <f t="shared" si="7"/>
        <v>-2191.9900414830709</v>
      </c>
      <c r="S41" s="2577">
        <f t="shared" si="20"/>
        <v>1</v>
      </c>
      <c r="T41" s="3375">
        <f t="shared" si="21"/>
        <v>-8037.2968187712604</v>
      </c>
    </row>
    <row r="42" spans="2:20" ht="18" customHeight="1" x14ac:dyDescent="0.2">
      <c r="B42" s="1727"/>
      <c r="C42" s="1568"/>
      <c r="D42" s="31" t="s">
        <v>267</v>
      </c>
      <c r="E42" s="2575" t="s">
        <v>2150</v>
      </c>
      <c r="F42" s="3381"/>
      <c r="G42" s="3361" t="s">
        <v>2146</v>
      </c>
      <c r="H42" s="3361" t="s">
        <v>2146</v>
      </c>
      <c r="I42" s="3381"/>
      <c r="J42" s="3361">
        <v>85</v>
      </c>
      <c r="K42" s="3369">
        <f t="shared" si="16"/>
        <v>-85</v>
      </c>
      <c r="L42" s="2577">
        <f t="shared" si="17"/>
        <v>1</v>
      </c>
      <c r="M42" s="55" t="s">
        <v>1814</v>
      </c>
      <c r="N42" s="3369">
        <f t="shared" si="18"/>
        <v>-85</v>
      </c>
      <c r="O42" s="3342">
        <v>22.309090909090909</v>
      </c>
      <c r="P42" s="3369">
        <f t="shared" si="19"/>
        <v>-1.8962727272727273</v>
      </c>
      <c r="Q42" s="3369">
        <f>'Table1.A(d)'!G42</f>
        <v>386.505561550908</v>
      </c>
      <c r="R42" s="3369">
        <f t="shared" si="7"/>
        <v>-388.40183427818073</v>
      </c>
      <c r="S42" s="2577">
        <f t="shared" si="20"/>
        <v>1</v>
      </c>
      <c r="T42" s="3375">
        <f t="shared" si="21"/>
        <v>-1424.1400590199962</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1853192.2968938504</v>
      </c>
      <c r="O45" s="3364"/>
      <c r="P45" s="3371">
        <f>SUM(P33:P43)</f>
        <v>45502.461347770914</v>
      </c>
      <c r="Q45" s="3371">
        <f>SUM(Q33:Q43)</f>
        <v>2206.8302459352217</v>
      </c>
      <c r="R45" s="3371">
        <f>SUM(R33:R43)</f>
        <v>43295.631101835701</v>
      </c>
      <c r="S45" s="41"/>
      <c r="T45" s="3377">
        <f>SUM(T33:T43)</f>
        <v>158750.64737339754</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2445560.4059018502</v>
      </c>
      <c r="G47" s="3361">
        <v>260174.18907494401</v>
      </c>
      <c r="H47" s="3361">
        <v>1264582.3999999999</v>
      </c>
      <c r="I47" s="3361" t="s">
        <v>2146</v>
      </c>
      <c r="J47" s="3361">
        <v>72927.684748628497</v>
      </c>
      <c r="K47" s="3369">
        <f t="shared" ref="K47" si="22">IF((SUM(F47:G47)-SUM(H47:J47))=0,"NO",(SUM(F47:G47)-SUM(H47:J47)))</f>
        <v>1368224.5102281657</v>
      </c>
      <c r="L47" s="2577">
        <f t="shared" ref="L47" si="23">IF(K47="NO","NA",1)</f>
        <v>1</v>
      </c>
      <c r="M47" s="55" t="s">
        <v>1814</v>
      </c>
      <c r="N47" s="3369">
        <f t="shared" ref="N47" si="24">K47</f>
        <v>1368224.5102281657</v>
      </c>
      <c r="O47" s="3342">
        <v>14.0067940792734</v>
      </c>
      <c r="P47" s="3369">
        <f t="shared" ref="P47" si="25">IFERROR(N47*O47/1000,"NA")</f>
        <v>19164.438968980619</v>
      </c>
      <c r="Q47" s="3369">
        <f>'Table1.A(d)'!G47</f>
        <v>787.88933147211208</v>
      </c>
      <c r="R47" s="3369">
        <f t="shared" ref="R47" si="26">IF(SUM(P47,-SUM(Q47))=0,"NO",SUM(P47,-SUM(Q47)))</f>
        <v>18376.549637508506</v>
      </c>
      <c r="S47" s="2577">
        <f t="shared" ref="S47" si="27">IF(R47="NO","NA",1)</f>
        <v>1</v>
      </c>
      <c r="T47" s="3375">
        <f t="shared" ref="T47" si="28">IF(R47="NO","NO",R47*S47*44/12)</f>
        <v>67380.68200419785</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1368224.5102281657</v>
      </c>
      <c r="O50" s="3366"/>
      <c r="P50" s="3371">
        <f>SUM(P47:P48)</f>
        <v>19164.438968980619</v>
      </c>
      <c r="Q50" s="3371">
        <f>SUM(Q47:Q48)</f>
        <v>787.88933147211208</v>
      </c>
      <c r="R50" s="3371">
        <f>SUM(R47:R48)</f>
        <v>18376.549637508506</v>
      </c>
      <c r="S50" s="2354"/>
      <c r="T50" s="3377">
        <f>SUM(T47:T48)</f>
        <v>67380.68200419785</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-374.32</v>
      </c>
      <c r="K52" s="3369">
        <f t="shared" ref="K52:K53" si="29">IF((SUM(F52:G52)-SUM(H52:J52))=0,"NO",(SUM(F52:G52)-SUM(H52:J52)))</f>
        <v>374.32</v>
      </c>
      <c r="L52" s="2577">
        <f t="shared" ref="L52:L53" si="30">IF(K52="NO","NA",1)</f>
        <v>1</v>
      </c>
      <c r="M52" s="55" t="s">
        <v>1814</v>
      </c>
      <c r="N52" s="3369">
        <f t="shared" ref="N52:N53" si="31">K52</f>
        <v>374.32</v>
      </c>
      <c r="O52" s="3342">
        <v>0.74193522467841277</v>
      </c>
      <c r="P52" s="3369">
        <f t="shared" ref="P52:P53" si="32">IFERROR(N52*O52/1000,"NA")</f>
        <v>0.27772119330162348</v>
      </c>
      <c r="Q52" s="3374" t="str">
        <f>'Table1.A(d)'!G52</f>
        <v>NA</v>
      </c>
      <c r="R52" s="3369">
        <f t="shared" ref="R52:R53" si="33">IF(SUM(P52,-SUM(Q52))=0,"NO",SUM(P52,-SUM(Q52)))</f>
        <v>0.27772119330162348</v>
      </c>
      <c r="S52" s="2577">
        <f t="shared" ref="S52:S53" si="34">IF(R52="NO","NA",1)</f>
        <v>1</v>
      </c>
      <c r="T52" s="3375">
        <f t="shared" ref="T52:T53" si="35">IF(R52="NO","NO",R52*S52*44/12)</f>
        <v>1.0183110421059529</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374.32</v>
      </c>
      <c r="O54" s="3367"/>
      <c r="P54" s="3373">
        <f>SUM(P51:P53)</f>
        <v>0.27772119330162348</v>
      </c>
      <c r="Q54" s="3373">
        <f>SUM(Q51:Q53)</f>
        <v>0</v>
      </c>
      <c r="R54" s="3373">
        <f>SUM(R51:R53)</f>
        <v>0.27772119330162348</v>
      </c>
      <c r="S54" s="2374"/>
      <c r="T54" s="3379">
        <f>SUM(T51:T53)</f>
        <v>1.0183110421059529</v>
      </c>
    </row>
    <row r="55" spans="2:20" ht="18" customHeight="1" thickBot="1" x14ac:dyDescent="0.25">
      <c r="B55" s="2370" t="s">
        <v>278</v>
      </c>
      <c r="C55" s="2371"/>
      <c r="D55" s="2371"/>
      <c r="E55" s="100"/>
      <c r="F55" s="3391"/>
      <c r="G55" s="3391"/>
      <c r="H55" s="3391"/>
      <c r="I55" s="3391"/>
      <c r="J55" s="3391"/>
      <c r="K55" s="3392"/>
      <c r="L55" s="2372"/>
      <c r="M55" s="2373"/>
      <c r="N55" s="3373">
        <f>SUM(N31,N45,N50,N54)</f>
        <v>5289598.9076808169</v>
      </c>
      <c r="O55" s="3367"/>
      <c r="P55" s="3373">
        <f>SUM(P31,P45,P50,P54)</f>
        <v>103955.04855885336</v>
      </c>
      <c r="Q55" s="3373">
        <f>SUM(Q31,Q45,Q50,Q54)</f>
        <v>5530.4261251519929</v>
      </c>
      <c r="R55" s="3373">
        <f>SUM(R31,R45,R50,R54)</f>
        <v>98424.622433701385</v>
      </c>
      <c r="S55" s="2374"/>
      <c r="T55" s="3379">
        <f>SUM(T31,T45,T50,T54)</f>
        <v>360890.28225690511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2067.8077805588005</v>
      </c>
      <c r="D10" s="4136">
        <f>C10-'Table1.A(d)'!E31/1000</f>
        <v>1945.2460956209209</v>
      </c>
      <c r="E10" s="4135">
        <f>'Table1.A(b)'!T31</f>
        <v>134757.93456826758</v>
      </c>
      <c r="F10" s="4135">
        <f>'Table1.A(a)s1'!C11/1000</f>
        <v>1973.4097346036417</v>
      </c>
      <c r="G10" s="4135">
        <f>'Table1.A(a)s1'!H11</f>
        <v>134853.10293859825</v>
      </c>
      <c r="H10" s="4135">
        <f>100*((D10-F10)/F10)</f>
        <v>-1.4271561799292276</v>
      </c>
      <c r="I10" s="4137">
        <f>100*((E10-G10)/G10)</f>
        <v>-7.0571880258483571E-2</v>
      </c>
      <c r="L10"/>
    </row>
    <row r="11" spans="2:12" ht="18" customHeight="1" x14ac:dyDescent="0.2">
      <c r="B11" s="50" t="s">
        <v>299</v>
      </c>
      <c r="C11" s="4135">
        <f>'Table1.A(b)'!N45/1000</f>
        <v>1853.1922968938504</v>
      </c>
      <c r="D11" s="4135">
        <f>C11-'Table1.A(d)'!E45/1000</f>
        <v>1766.6982984035308</v>
      </c>
      <c r="E11" s="4135">
        <f>'Table1.A(b)'!T45</f>
        <v>158750.64737339754</v>
      </c>
      <c r="F11" s="4135">
        <f>'Table1.A(a)s1'!C12/1000</f>
        <v>1786.7729089982772</v>
      </c>
      <c r="G11" s="4135">
        <f>'Table1.A(a)s1'!H12</f>
        <v>160437.46244635843</v>
      </c>
      <c r="H11" s="4135">
        <f t="shared" ref="H11:H13" si="0">100*((D11-F11)/F11)</f>
        <v>-1.1235121426819104</v>
      </c>
      <c r="I11" s="4137">
        <f t="shared" ref="I11:I13" si="1">100*((E11-G11)/G11)</f>
        <v>-1.051384787094142</v>
      </c>
      <c r="L11"/>
    </row>
    <row r="12" spans="2:12" ht="18" customHeight="1" x14ac:dyDescent="0.2">
      <c r="B12" s="50" t="s">
        <v>300</v>
      </c>
      <c r="C12" s="4135">
        <f>'Table1.A(b)'!N50/1000</f>
        <v>1368.2245102281656</v>
      </c>
      <c r="D12" s="4135">
        <f>C12-'Table1.A(d)'!E50/1000</f>
        <v>1312.0327235364657</v>
      </c>
      <c r="E12" s="4135">
        <f>'Table1.A(b)'!T50</f>
        <v>67380.68200419785</v>
      </c>
      <c r="F12" s="4135">
        <f>'Table1.A(a)s1'!C13/1000</f>
        <v>1301.6962516409912</v>
      </c>
      <c r="G12" s="4135">
        <f>'Table1.A(a)s1'!H13</f>
        <v>66614.344218010723</v>
      </c>
      <c r="H12" s="4135">
        <f t="shared" si="0"/>
        <v>0.79407710381309959</v>
      </c>
      <c r="I12" s="4137">
        <f t="shared" si="1"/>
        <v>1.1504095629600595</v>
      </c>
      <c r="L12"/>
    </row>
    <row r="13" spans="2:12" ht="18" customHeight="1" x14ac:dyDescent="0.2">
      <c r="B13" s="50" t="s">
        <v>275</v>
      </c>
      <c r="C13" s="4135">
        <f>'Table1.A(b)'!N54/1000</f>
        <v>0.37431999999999999</v>
      </c>
      <c r="D13" s="4135">
        <f>C13-SUM('Table1.A(d)'!E54)/1000</f>
        <v>0.37431999999999999</v>
      </c>
      <c r="E13" s="4135">
        <f>'Table1.A(b)'!T54</f>
        <v>1.0183110421059529</v>
      </c>
      <c r="F13" s="4135">
        <f>'Table1.A(a)s1'!C14/1000</f>
        <v>4.2116716873041389</v>
      </c>
      <c r="G13" s="4135">
        <f>'Table1.A(a)s1'!H14</f>
        <v>178.89038535567974</v>
      </c>
      <c r="H13" s="4135">
        <f t="shared" si="0"/>
        <v>-91.11231767831363</v>
      </c>
      <c r="I13" s="4137">
        <f t="shared" si="1"/>
        <v>-99.430762564415474</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5289.5989076808164</v>
      </c>
      <c r="D15" s="4138">
        <f>SUM(D10:D14)</f>
        <v>5024.3514375609175</v>
      </c>
      <c r="E15" s="4138">
        <f>SUM(E10:E14)</f>
        <v>360890.28225690511</v>
      </c>
      <c r="F15" s="4138">
        <f>SUM(F10:F14)</f>
        <v>5066.0905669302147</v>
      </c>
      <c r="G15" s="4138">
        <f>SUM(G10:G14)</f>
        <v>362083.79998832307</v>
      </c>
      <c r="H15" s="4139">
        <f t="shared" ref="H15" si="2">100*((D15-F15)/F15)</f>
        <v>-0.82389228573520967</v>
      </c>
      <c r="I15" s="4140">
        <f t="shared" ref="I15" si="3">100*((E15-G15)/G15)</f>
        <v>-0.3296247253968419</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20" ma:contentTypeDescription="Create a new document." ma:contentTypeScope="" ma:versionID="6dbdf366bfa24aecf9d02aac05f6fe43">
  <xsd:schema xmlns:xsd="http://www.w3.org/2001/XMLSchema" xmlns:xs="http://www.w3.org/2001/XMLSchema" xmlns:p="http://schemas.microsoft.com/office/2006/metadata/properties" xmlns:ns1="http://schemas.microsoft.com/sharepoint/v3" xmlns:ns2="a36bd50b-1532-4c22-b385-5c082c960938" xmlns:ns3="8c4c6479-bb6a-4263-8159-fbb0afc5d491" xmlns:ns4="http://schemas.microsoft.com/sharepoint/v4" targetNamespace="http://schemas.microsoft.com/office/2006/metadata/properties" ma:root="true" ma:fieldsID="b3717b32c84f129fe1b1fd8f6913ad39" ns1:_="" ns2:_="" ns3:_="" ns4:_="">
    <xsd:import namespace="http://schemas.microsoft.com/sharepoint/v3"/>
    <xsd:import namespace="a36bd50b-1532-4c22-b385-5c082c960938"/>
    <xsd:import namespace="8c4c6479-bb6a-4263-8159-fbb0afc5d491"/>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dda5f9ba198b4d32811e63843ea27095" minOccurs="0"/>
                <xsd:element ref="ns3:cf9693a743254cad909e3410e83b7628" minOccurs="0"/>
                <xsd:element ref="ns3:a0220e2538854741b223cc5e865e5461" minOccurs="0"/>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0fbe3fec-c611-4c3e-9ea6-f54bcd1bbf7a}" ma:internalName="TaxCatchAll" ma:showField="CatchAllData" ma:web="8c4c6479-bb6a-4263-8159-fbb0afc5d491">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ea9d8bf4-53b1-4391-9742-58425172aa62"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4c6479-bb6a-4263-8159-fbb0afc5d491" elementFormDefault="qualified">
    <xsd:import namespace="http://schemas.microsoft.com/office/2006/documentManagement/types"/>
    <xsd:import namespace="http://schemas.microsoft.com/office/infopath/2007/PartnerControls"/>
    <xsd:element name="dda5f9ba198b4d32811e63843ea27095" ma:index="24" nillable="true" ma:taxonomy="true" ma:internalName="dda5f9ba198b4d32811e63843ea27095" ma:taxonomyFieldName="DocHub_GreenhouseReportingYear" ma:displayName="Reporting Year" ma:indexed="true" ma:default="" ma:fieldId="{dda5f9ba-198b-4d32-811e-63843ea27095}"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cf9693a743254cad909e3410e83b7628" ma:index="26" nillable="true" ma:taxonomy="true" ma:internalName="cf9693a743254cad909e3410e83b7628" ma:taxonomyFieldName="DocHub_DETCategory" ma:displayName="DET Category" ma:indexed="true" ma:default="" ma:fieldId="{cf9693a7-4325-4cad-909e-3410e83b7628}" ma:sspId="fb0313f7-9433-48c0-866e-9e0bbee59a50" ma:termSetId="6233cde8-094b-42f6-b662-60a75a1619d4" ma:anchorId="00000000-0000-0000-0000-000000000000" ma:open="false" ma:isKeyword="false">
      <xsd:complexType>
        <xsd:sequence>
          <xsd:element ref="pc:Terms" minOccurs="0" maxOccurs="1"/>
        </xsd:sequence>
      </xsd:complexType>
    </xsd:element>
    <xsd:element name="a0220e2538854741b223cc5e865e5461" ma:index="28" nillable="true" ma:taxonomy="true" ma:internalName="a0220e2538854741b223cc5e865e5461" ma:taxonomyFieldName="DocHub_IPCCSector" ma:displayName="IPCC Sector" ma:indexed="true" ma:default="" ma:fieldId="{a0220e25-3885-4741-b223-cc5e865e5461}" ma:sspId="fb0313f7-9433-48c0-866e-9e0bbee59a50" ma:termSetId="4b91d4e9-82d8-434f-af1d-ded37fcd83a6" ma:anchorId="00000000-0000-0000-0000-000000000000" ma:open="false" ma:isKeyword="false">
      <xsd:complexType>
        <xsd:sequence>
          <xsd:element ref="pc:Terms" minOccurs="0" maxOccurs="1"/>
        </xsd:sequence>
      </xsd:complexType>
    </xsd:element>
    <xsd:element name="SharedWithUsers" ma:index="2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F9BB66-26BC-4FB5-8B4E-F270C2DFD009}">
  <ds:schemaRefs>
    <ds:schemaRef ds:uri="http://schemas.microsoft.com/PowerBIAddIn"/>
  </ds:schemaRefs>
</ds:datastoreItem>
</file>

<file path=customXml/itemProps2.xml><?xml version="1.0" encoding="utf-8"?>
<ds:datastoreItem xmlns:ds="http://schemas.openxmlformats.org/officeDocument/2006/customXml" ds:itemID="{4B5316D4-D862-412E-BA38-259C356C75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8c4c6479-bb6a-4263-8159-fbb0afc5d4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4.xml><?xml version="1.0" encoding="utf-8"?>
<ds:datastoreItem xmlns:ds="http://schemas.openxmlformats.org/officeDocument/2006/customXml" ds:itemID="{0570A8AC-2C5F-4788-B7D4-B459FB6E3C0A}"/>
</file>

<file path=customXml/itemProps5.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