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91F1E4DF-0177-4F9B-8CB9-98A49B994756}" xr6:coauthVersionLast="47" xr6:coauthVersionMax="47" xr10:uidLastSave="{00000000-0000-0000-0000-000000000000}"/>
  <bookViews>
    <workbookView xWindow="1560" yWindow="1560" windowWidth="8370" windowHeight="7050"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H67" i="34"/>
  <c r="G28" i="34"/>
  <c r="I67" i="34"/>
  <c r="H28"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G35" i="34"/>
  <c r="I29" i="34"/>
  <c r="G27" i="34"/>
  <c r="I73" i="34"/>
  <c r="I69" i="34"/>
  <c r="I65" i="34"/>
  <c r="H37" i="34"/>
  <c r="G36" i="34"/>
  <c r="I30" i="34"/>
  <c r="H29" i="34"/>
  <c r="M25" i="34"/>
  <c r="G87" i="34"/>
  <c r="G83" i="34"/>
  <c r="G79" i="34"/>
  <c r="I72" i="34"/>
  <c r="H69" i="34"/>
  <c r="H65"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F28" i="15"/>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9"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<sst xmlns="http://schemas.openxmlformats.org/spreadsheetml/2006/main" count="19159" uniqueCount="2523">
  <si>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</si>
  <si>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</si>
  <si>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</si>
  <si>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</si>
  <si>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</si>
  <si>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</si>
  <si>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</si>
  <si>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</si>
  <si>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</si>
  <si>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</si>
  <si>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</si>
  <si>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</si>
  <si>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</si>
  <si>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</si>
  <si>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</si>
  <si>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</si>
  <si>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</si>
  <si>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</si>
  <si>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</si>
  <si>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</si>
  <si>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</si>
  <si>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</si>
  <si>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</si>
  <si>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</si>
  <si>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</si>
  <si>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</si>
  <si>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</si>
  <si>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</si>
  <si>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</si>
  <si>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</si>
  <si>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</si>
  <si>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</si>
  <si>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</si>
  <si>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</si>
  <si>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</si>
  <si>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</si>
  <si>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</si>
  <si>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</si>
  <si>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</si>
  <si>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</si>
  <si>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</si>
  <si>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</si>
  <si>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</si>
  <si>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</si>
  <si>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</si>
  <si>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</si>
  <si>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</si>
  <si>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</si>
  <si>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</si>
  <si>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</si>
  <si>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</si>
  <si>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</si>
  <si>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</si>
  <si>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</si>
  <si>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</si>
  <si>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</si>
  <si>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</si>
  <si>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</si>
  <si>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</si>
  <si>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</si>
  <si>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</si>
  <si>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</si>
  <si>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</si>
  <si>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</si>
  <si>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</si>
  <si>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</si>
  <si>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</si>
  <si>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</si>
  <si>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</si>
  <si>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</si>
  <si>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</si>
  <si>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</si>
  <si>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</si>
  <si>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</si>
  <si>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</si>
  <si>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</si>
  <si>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</si>
  <si>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</si>
  <si>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</si>
  <si>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</si>
  <si>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</si>
  <si>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</si>
  <si>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</si>
  <si>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</si>
  <si>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</si>
  <si>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</si>
  <si>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</si>
  <si>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</si>
  <si>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</si>
  <si>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</si>
  <si>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</si>
  <si>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</si>
  <si>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</si>
  <si>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</si>
  <si>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</si>
  <si>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</si>
  <si>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</si>
  <si>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</si>
  <si>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</si>
  <si>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</si>
  <si>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</si>
  <si>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</si>
  <si>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</si>
  <si>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</si>
  <si>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</si>
  <si>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</si>
  <si>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</si>
  <si>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</si>
  <si>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</si>
  <si>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</si>
  <si>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</si>
  <si>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</si>
  <si>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</si>
  <si>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</si>
  <si>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</si>
  <si>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</si>
  <si>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</si>
  <si>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</si>
  <si>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</si>
  <si>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</si>
  <si>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</si>
  <si>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</si>
  <si>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</si>
  <si>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</si>
  <si>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</si>
  <si>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</si>
  <si>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</si>
  <si>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</si>
  <si>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</si>
  <si>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</si>
  <si>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</si>
  <si>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</si>
  <si>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</si>
  <si>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</si>
  <si>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</si>
  <si>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</si>
  <si>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</si>
  <si>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</si>
  <si>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</si>
  <si>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</si>
  <si>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</si>
  <si>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</si>
  <si>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</si>
  <si>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</si>
  <si>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</si>
  <si>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</si>
  <si>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</si>
  <si>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</si>
  <si>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</si>
  <si>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</si>
  <si>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</si>
  <si>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</si>
  <si>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</si>
  <si>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</si>
  <si>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</si>
  <si>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</si>
  <si>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</si>
  <si>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</si>
  <si>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</si>
  <si>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</si>
  <si>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</si>
  <si>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</si>
  <si>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</si>
  <si>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</si>
  <si>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</si>
  <si>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</si>
  <si>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</si>
  <si>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</si>
  <si>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</si>
  <si>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</si>
  <si>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</si>
  <si>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</si>
  <si>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</si>
  <si>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</si>
  <si>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</si>
  <si>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</si>
  <si>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</si>
  <si>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</si>
  <si>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</si>
  <si>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</si>
  <si>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</si>
  <si>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</si>
  <si>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</si>
  <si>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</si>
  <si>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</si>
  <si>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</si>
  <si>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</si>
  <si>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</si>
  <si>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</si>
  <si>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</si>
  <si>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</si>
  <si>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</si>
  <si>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</si>
  <si>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</si>
  <si>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</si>
  <si>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</si>
  <si>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</si>
  <si>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</si>
  <si>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</si>
  <si>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</si>
  <si>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</si>
  <si>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</si>
  <si>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</si>
  <si>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</si>
  <si>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</si>
  <si>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</si>
  <si>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</si>
  <si>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</si>
  <si>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</si>
  <si>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</si>
  <si>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</si>
  <si>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</si>
  <si>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</si>
  <si>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</si>
  <si>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</si>
  <si>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</si>
  <si>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</si>
  <si>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</si>
  <si>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</si>
  <si>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</si>
  <si>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</si>
  <si>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</si>
  <si>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</si>
  <si>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</si>
  <si>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</si>
  <si>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</si>
  <si>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</si>
  <si>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</si>
  <si>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</si>
  <si>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</si>
  <si>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</si>
  <si>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</si>
  <si>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</si>
  <si>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</si>
  <si>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</si>
  <si>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</si>
  <si>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</si>
  <si>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</si>
  <si>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</si>
  <si>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</si>
  <si>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</si>
  <si>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</si>
  <si>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</si>
  <si>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</si>
  <si>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</si>
  <si>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</si>
  <si>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</si>
  <si>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</si>
  <si>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</si>
  <si>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</si>
  <si>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</si>
  <si>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</si>
  <si>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</si>
  <si>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</si>
  <si>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</si>
  <si>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</si>
  <si>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</si>
  <si>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</si>
  <si>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</si>
  <si>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</si>
  <si>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</si>
  <si>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</si>
  <si>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</si>
  <si>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</si>
  <si>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</si>
  <si>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</si>
  <si>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</si>
  <si>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</si>
  <si>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</si>
  <si>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</si>
  <si>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</si>
  <si>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</si>
  <si>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</si>
  <si>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</si>
  <si>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</si>
  <si>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</si>
  <si>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</si>
  <si>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</si>
  <si>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</si>
  <si>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</si>
  <si>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</si>
  <si>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</si>
  <si>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</si>
  <si>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</si>
  <si>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</si>
  <si>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</si>
  <si>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</si>
  <si>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</si>
  <si>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</si>
  <si>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</si>
  <si>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</si>
  <si>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</si>
  <si>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</si>
  <si>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</si>
  <si>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</si>
  <si>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</si>
  <si>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</si>
  <si>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</si>
  <si>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</si>
  <si>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</si>
  <si>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</si>
  <si>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</si>
  <si>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</si>
  <si>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</si>
  <si>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</si>
  <si>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</si>
  <si>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</si>
  <si>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</si>
  <si>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</si>
  <si>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</si>
  <si>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</si>
  <si>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</si>
  <si>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</si>
  <si>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</si>
  <si>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</si>
  <si>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</si>
  <si>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</si>
  <si>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</si>
  <si>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</si>
  <si>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</si>
  <si>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</si>
  <si>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</si>
  <si>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</si>
  <si>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</si>
  <si>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</si>
  <si>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</si>
  <si>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</si>
  <si>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</si>
  <si>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</si>
  <si>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</si>
  <si>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</si>
  <si>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</si>
  <si>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</si>
  <si>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</si>
  <si>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</si>
  <si>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</si>
  <si>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</si>
  <si>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</si>
  <si>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</si>
  <si>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</si>
  <si>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</si>
  <si>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</si>
  <si>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</si>
  <si>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</si>
  <si>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</si>
  <si>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</si>
  <si>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</si>
  <si>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</si>
  <si>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</si>
  <si>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</si>
  <si>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</si>
  <si>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</si>
  <si>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</si>
  <si>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</si>
  <si>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</si>
  <si>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</si>
  <si>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</si>
  <si>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</si>
  <si>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</si>
  <si>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</si>
  <si>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</si>
  <si>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</si>
  <si>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</si>
  <si>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</si>
  <si>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</si>
  <si>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</si>
  <si>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</si>
  <si>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</si>
  <si>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</si>
  <si>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</si>
  <si>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</si>
  <si>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</si>
  <si>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</si>
  <si>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</si>
  <si>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</si>
  <si>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</si>
  <si>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</si>
  <si>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</si>
  <si>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</si>
  <si>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</si>
  <si>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</si>
  <si>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</si>
  <si>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</si>
  <si>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</si>
  <si>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</si>
  <si>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</si>
  <si>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</si>
  <si>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</si>
  <si>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</si>
  <si>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</si>
  <si>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</si>
  <si>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</si>
  <si>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</si>
  <si>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</si>
  <si>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</si>
  <si>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</si>
  <si>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</si>
  <si>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</si>
  <si>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</si>
  <si>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</si>
  <si>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</si>
  <si>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</si>
  <si>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</si>
  <si>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</si>
  <si>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</si>
  <si>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</si>
  <si>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</si>
  <si>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</si>
  <si>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</si>
  <si>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</si>
  <si>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</si>
  <si>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</si>
  <si>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</si>
  <si>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</si>
  <si>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</si>
  <si>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</si>
  <si>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</si>
  <si>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</si>
  <si>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</si>
  <si>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</si>
  <si>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</si>
  <si>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</si>
  <si>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</si>
  <si>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</si>
  <si>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</si>
  <si>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</si>
  <si>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</si>
  <si>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</si>
  <si>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</si>
  <si>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</si>
  <si>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</si>
  <si>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</si>
  <si>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</si>
  <si>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</si>
  <si>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</si>
  <si>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</si>
  <si>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</si>
  <si>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</si>
  <si>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</si>
  <si>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</si>
  <si>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</si>
  <si>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</si>
  <si>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</si>
  <si>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</si>
  <si>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</si>
  <si>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</si>
  <si>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</si>
  <si>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</si>
  <si>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</si>
  <si>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</si>
  <si>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</si>
  <si>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</si>
  <si>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</si>
  <si>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</si>
  <si>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</si>
  <si>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</si>
  <si>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</si>
  <si>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</si>
  <si>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</si>
  <si>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</si>
  <si>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</si>
  <si>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</si>
  <si>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</si>
  <si>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</si>
  <si>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</si>
  <si>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</si>
  <si>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</si>
  <si>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</si>
  <si>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</si>
  <si>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</si>
  <si>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</si>
  <si>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</si>
  <si>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</si>
  <si>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</si>
  <si>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</si>
  <si>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</si>
  <si>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</si>
  <si>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</si>
  <si>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</si>
  <si>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</si>
  <si>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</si>
  <si>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</si>
  <si>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</si>
  <si>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</si>
  <si>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</si>
  <si>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</si>
  <si>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</si>
  <si>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</si>
  <si>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</si>
  <si>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</si>
  <si>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</si>
  <si>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</si>
  <si>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</si>
  <si>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</si>
  <si>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</si>
  <si>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</si>
  <si>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</si>
  <si>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</si>
  <si>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</si>
  <si>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</si>
  <si>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</si>
  <si>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</si>
  <si>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</si>
  <si>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</si>
  <si>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</si>
  <si>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</si>
  <si>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</si>
  <si>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</si>
  <si>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</si>
  <si>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</si>
  <si>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</si>
  <si>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</si>
  <si>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</si>
  <si>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</si>
  <si>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</si>
  <si>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</si>
  <si>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</si>
  <si>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</si>
  <si>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</si>
  <si>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</si>
  <si>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</si>
  <si>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</si>
  <si>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</si>
  <si>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</si>
  <si>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</si>
  <si>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</si>
  <si>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</si>
  <si>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</si>
  <si>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</si>
  <si>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</si>
  <si>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</si>
  <si>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</si>
  <si>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</si>
  <si>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</si>
  <si>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</si>
  <si>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</si>
  <si>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</si>
  <si>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</si>
  <si>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</si>
  <si>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</si>
  <si>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</si>
  <si>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</si>
  <si>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</si>
  <si>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</si>
  <si>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</si>
  <si>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</si>
  <si>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</si>
  <si>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</si>
  <si>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</si>
  <si>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</si>
  <si>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</si>
  <si>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</si>
  <si>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</si>
  <si>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</si>
  <si>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</si>
  <si>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</si>
  <si>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</si>
  <si>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</si>
  <si>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</si>
  <si>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</si>
  <si>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</si>
  <si>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</si>
  <si>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</si>
  <si>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</si>
  <si>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</si>
  <si>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</si>
  <si>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</si>
  <si>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</si>
  <si>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</si>
  <si>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</si>
  <si>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</si>
  <si>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</si>
  <si>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</si>
  <si>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</si>
  <si>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</si>
  <si>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</si>
  <si>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</si>
  <si>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</si>
  <si>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</si>
  <si>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</si>
  <si>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</si>
  <si>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</si>
  <si>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</si>
  <si>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</si>
  <si>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</si>
  <si>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</si>
  <si>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</si>
  <si>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</si>
  <si>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</si>
  <si>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</si>
  <si>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</si>
  <si>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</si>
  <si>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</si>
  <si>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</si>
  <si>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</si>
  <si>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</si>
  <si>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</si>
  <si>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</si>
  <si>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</si>
  <si>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</si>
  <si>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</si>
  <si>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</si>
  <si>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</si>
  <si>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</si>
  <si>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</si>
  <si>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</si>
  <si>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</si>
  <si>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</si>
  <si>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</si>
  <si>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</si>
  <si>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</si>
  <si>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</si>
  <si>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</si>
  <si>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</si>
  <si>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</si>
  <si>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</si>
  <si>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</si>
  <si>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</si>
  <si>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</si>
  <si>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</si>
  <si>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</si>
  <si>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</si>
  <si>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</si>
  <si>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</si>
  <si>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</si>
  <si>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</si>
  <si>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</si>
  <si>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</si>
  <si>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</si>
  <si>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</si>
  <si>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</si>
  <si>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</si>
  <si>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</si>
  <si>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</si>
  <si>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</si>
  <si>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</si>
  <si>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</si>
  <si>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</si>
  <si>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</si>
  <si>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</si>
  <si>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</si>
  <si>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</si>
  <si>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</si>
  <si>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</si>
  <si>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</si>
  <si>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</si>
  <si>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</si>
  <si>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</si>
  <si>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</si>
  <si>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</si>
  <si>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</si>
  <si>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</si>
  <si>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</si>
  <si>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</si>
  <si>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</si>
  <si>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</si>
  <si>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</si>
  <si>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</si>
  <si>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</si>
  <si>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</si>
  <si>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</si>
  <si>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</si>
  <si>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</si>
  <si>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</si>
  <si>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</si>
  <si>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</si>
  <si>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</si>
  <si>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</si>
  <si>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</si>
  <si>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</si>
  <si>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</si>
  <si>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</si>
  <si>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</si>
  <si>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</si>
  <si>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</si>
  <si>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</si>
  <si>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</si>
  <si>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</si>
  <si>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</si>
  <si>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</si>
  <si>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</si>
  <si>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</si>
  <si>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</si>
  <si>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</si>
  <si>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</si>
  <si>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</si>
  <si>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</si>
  <si>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</si>
  <si>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</si>
  <si>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</si>
  <si>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</si>
  <si>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</si>
  <si>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</si>
  <si>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</si>
  <si>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</si>
  <si>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</si>
  <si>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</si>
  <si>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</si>
  <si>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</si>
  <si>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</si>
  <si>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</si>
  <si>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</si>
  <si>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</si>
  <si>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</si>
  <si>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</si>
  <si>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</si>
  <si>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</si>
  <si>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</si>
  <si>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</si>
  <si>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</si>
  <si>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</si>
  <si>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</si>
  <si>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</si>
  <si>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</si>
  <si>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</si>
  <si>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</si>
  <si>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</si>
  <si>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</si>
  <si>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</si>
  <si>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</si>
  <si>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</si>
  <si>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</si>
  <si>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</si>
  <si>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</si>
  <si>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</si>
  <si>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</si>
  <si>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</si>
  <si>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</si>
  <si>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</si>
  <si>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</si>
  <si>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</si>
  <si>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</si>
  <si>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</si>
  <si>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</si>
  <si>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</si>
  <si>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</si>
  <si>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</si>
  <si>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</si>
  <si>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</si>
  <si>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</si>
  <si>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</si>
  <si>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</si>
  <si>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</si>
  <si>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</si>
  <si>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</si>
  <si>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</si>
  <si>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</si>
  <si>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</si>
  <si>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</si>
  <si>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</si>
  <si>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</si>
  <si>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</si>
  <si>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</si>
  <si>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</si>
  <si>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</si>
  <si>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</si>
  <si>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</si>
  <si>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</si>
  <si>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</si>
  <si>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</si>
  <si>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</si>
  <si>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</si>
  <si>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</si>
  <si>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</si>
  <si>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</si>
  <si>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</si>
  <si>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</si>
  <si>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</si>
  <si>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</si>
  <si>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</si>
  <si>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</si>
  <si>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</si>
  <si>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</si>
  <si>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</si>
  <si>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</si>
  <si>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</si>
  <si>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</si>
  <si>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</si>
  <si>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</si>
  <si>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</si>
  <si>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</si>
  <si>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</si>
  <si>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</si>
  <si>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</si>
  <si>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</si>
  <si>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</si>
  <si>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</si>
  <si>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</si>
  <si>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</si>
  <si>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</si>
  <si>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</si>
  <si>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</si>
  <si>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</si>
  <si>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</si>
  <si>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</si>
  <si>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</si>
  <si>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</si>
  <si>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</si>
  <si>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</si>
  <si>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</si>
  <si>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</si>
  <si>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</si>
  <si>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</si>
  <si>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</si>
  <si>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</si>
  <si>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</si>
  <si>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</si>
  <si>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</si>
  <si>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</si>
  <si>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</si>
  <si>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</si>
  <si>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</si>
  <si>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</si>
  <si>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</si>
  <si>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</si>
  <si>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</si>
  <si>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</si>
  <si>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</si>
  <si>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</si>
  <si>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</si>
  <si>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</si>
  <si>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</si>
  <si>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</si>
  <si>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</si>
  <si>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</si>
  <si>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</si>
  <si>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</si>
  <si>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</si>
  <si>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</si>
  <si>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</si>
  <si>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</si>
  <si>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</si>
  <si>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</si>
  <si>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</si>
  <si>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</si>
  <si>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</si>
  <si>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</si>
  <si>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</si>
  <si>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</si>
  <si>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</si>
  <si>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</si>
  <si>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</si>
  <si>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</si>
  <si>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</si>
  <si>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</si>
  <si>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</si>
  <si>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</si>
  <si>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</si>
  <si>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</si>
  <si>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</si>
  <si>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</si>
  <si>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</si>
  <si>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</si>
  <si>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</si>
  <si>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</si>
  <si>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</si>
  <si>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</si>
  <si>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</si>
  <si>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</si>
  <si>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</si>
  <si>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</si>
  <si>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</si>
  <si>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</si>
  <si>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</si>
  <si>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</si>
  <si>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</si>
  <si>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</si>
  <si>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</si>
  <si>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</si>
  <si>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</si>
  <si>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</si>
  <si>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</si>
  <si>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</si>
  <si>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</si>
  <si>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</si>
  <si>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</si>
  <si>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</si>
  <si>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</si>
  <si>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</si>
  <si>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</si>
  <si>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</si>
  <si>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</si>
  <si>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</si>
  <si>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</si>
  <si>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</si>
  <si>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</si>
  <si>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</si>
  <si>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</si>
  <si>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</si>
  <si>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</si>
  <si>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</si>
  <si>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</si>
  <si>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</si>
  <si>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</si>
  <si>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</si>
  <si>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</si>
  <si>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</si>
  <si>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</si>
  <si>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</si>
  <si>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</si>
  <si>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</si>
  <si>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</si>
  <si>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</si>
  <si>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</si>
  <si>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</si>
  <si>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</si>
  <si>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</si>
  <si>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</si>
  <si>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</si>
  <si>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</si>
  <si>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</si>
  <si>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</si>
  <si>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</si>
  <si>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</si>
  <si>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</si>
  <si>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</si>
  <si>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</si>
  <si>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</si>
  <si>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</si>
  <si>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</si>
  <si>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</si>
  <si>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</si>
  <si>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</si>
  <si>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</si>
  <si>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</si>
  <si>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</si>
  <si>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</si>
  <si>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</si>
  <si>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</si>
  <si>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</si>
  <si>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</si>
  <si>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</si>
  <si>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</si>
  <si>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</si>
  <si>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</si>
  <si>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</si>
  <si>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</si>
  <si>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</si>
  <si>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</si>
  <si>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</si>
  <si>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</si>
  <si>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</si>
  <si>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</si>
  <si>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</si>
  <si>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</si>
  <si>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</si>
  <si>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</si>
  <si>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</si>
  <si>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</si>
  <si>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</si>
  <si>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</si>
  <si>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</si>
  <si>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</si>
  <si>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</si>
  <si>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</si>
  <si>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</si>
  <si>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</si>
  <si>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</si>
  <si>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</si>
  <si>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</si>
  <si>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</si>
  <si>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</si>
  <si>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</si>
  <si>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</si>
  <si>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</si>
  <si>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</si>
  <si>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</si>
  <si>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</si>
  <si>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</si>
  <si>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</si>
  <si>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</si>
  <si>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</si>
  <si>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</si>
  <si>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</si>
  <si>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</si>
  <si>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</si>
  <si>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</si>
  <si>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</si>
  <si>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</si>
  <si>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</si>
  <si>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</si>
  <si>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</si>
  <si>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</si>
  <si>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</si>
  <si>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</si>
  <si>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</si>
  <si>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</si>
  <si>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</si>
  <si>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</si>
  <si>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</si>
  <si>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</si>
  <si>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</si>
  <si>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</si>
  <si>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</si>
  <si>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</si>
  <si>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</si>
  <si>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</si>
  <si>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</si>
  <si>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</si>
  <si>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</si>
  <si>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</si>
  <si>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</si>
  <si>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</si>
  <si>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</si>
  <si>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</si>
  <si>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</si>
  <si>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</si>
  <si>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</si>
  <si>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</si>
  <si>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</si>
  <si>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</si>
  <si>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</si>
  <si>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</si>
  <si>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</si>
  <si>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</si>
  <si>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</si>
  <si>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</si>
  <si>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</si>
  <si>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</si>
  <si>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</si>
  <si>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</si>
  <si>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</si>
  <si>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</si>
  <si>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</si>
  <si>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</si>
  <si>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</si>
  <si>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</si>
  <si>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</si>
  <si>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</si>
  <si>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</si>
  <si>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</si>
  <si>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</si>
  <si>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</si>
  <si>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</si>
  <si>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</si>
  <si>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</si>
  <si>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</si>
  <si>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</si>
  <si>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</si>
  <si>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</si>
  <si>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</si>
  <si>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</si>
  <si>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</si>
  <si>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</si>
  <si>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</si>
  <si>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</si>
  <si>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</si>
  <si>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</si>
  <si>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</si>
  <si>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</si>
  <si>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</si>
  <si>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</si>
  <si>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</si>
  <si>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</si>
  <si>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</si>
  <si>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</si>
  <si>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</si>
  <si>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</si>
  <si>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</si>
  <si>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</si>
  <si>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</si>
  <si>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</si>
  <si>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</si>
  <si>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</si>
  <si>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</si>
  <si>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</si>
  <si>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</si>
  <si>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</si>
  <si>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</si>
  <si>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</si>
  <si>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</si>
  <si>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</si>
  <si>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</si>
  <si>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</si>
  <si>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</si>
  <si>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</si>
  <si>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</si>
  <si>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</si>
  <si>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</si>
  <si>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</si>
  <si>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</si>
  <si>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</si>
  <si>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</si>
  <si>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</si>
  <si>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</si>
  <si>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</si>
  <si>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</si>
  <si>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</si>
  <si>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</si>
  <si>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</si>
  <si>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</si>
  <si>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</si>
  <si>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</si>
  <si>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</si>
  <si>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</si>
  <si>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</si>
  <si>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</si>
  <si>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</si>
  <si>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</si>
  <si>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</si>
  <si>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</si>
  <si>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</si>
  <si>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</si>
  <si>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</si>
  <si>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</si>
  <si>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</si>
  <si>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</si>
  <si>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</si>
  <si>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</si>
  <si>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</si>
  <si>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</si>
  <si>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</si>
  <si>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</si>
  <si>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</si>
  <si>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</si>
  <si>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</si>
  <si>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</si>
  <si>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</si>
  <si>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</si>
  <si>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</si>
  <si>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</si>
  <si>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</si>
  <si>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</si>
  <si>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</si>
  <si>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</si>
  <si>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</si>
  <si>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</si>
  <si>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</si>
  <si>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</si>
  <si>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</si>
  <si>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</si>
  <si>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</si>
  <si>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</si>
  <si>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</si>
  <si>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</si>
  <si>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</si>
  <si>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</si>
  <si>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</si>
  <si>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</si>
  <si>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</si>
  <si>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</si>
  <si>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</si>
  <si>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</si>
  <si>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</si>
  <si>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</si>
  <si>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</si>
  <si>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</si>
  <si>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</si>
  <si>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</si>
  <si>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</si>
  <si>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</si>
  <si>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</si>
  <si>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</si>
  <si>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</si>
  <si>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</si>
  <si>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</si>
  <si>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</si>
  <si>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</si>
  <si>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</si>
  <si>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</si>
  <si>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</si>
  <si>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</si>
  <si>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</si>
  <si>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</si>
  <si>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</si>
  <si>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</si>
  <si>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</si>
  <si>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</si>
  <si>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</si>
  <si>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</si>
  <si>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</si>
  <si>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</si>
  <si>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</si>
  <si>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</si>
  <si>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</si>
  <si>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</si>
  <si>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</si>
  <si>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</si>
  <si>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</si>
  <si>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</si>
  <si>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</si>
  <si>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</si>
  <si>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</si>
  <si>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</si>
  <si>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</si>
  <si>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</si>
  <si>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</si>
  <si>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</si>
  <si>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</si>
  <si>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</si>
  <si>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</si>
  <si>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</si>
  <si>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</si>
  <si>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</si>
  <si>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</si>
  <si>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</si>
  <si>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</si>
  <si>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</si>
  <si>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</si>
  <si>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</si>
  <si>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</si>
  <si>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</si>
  <si>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</si>
  <si>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</si>
  <si>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</si>
  <si>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</si>
  <si>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</si>
  <si>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</si>
  <si>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</si>
  <si>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</si>
  <si>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</si>
  <si>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</si>
  <si>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</si>
  <si>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</si>
  <si>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</si>
  <si>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</si>
  <si>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</si>
  <si>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</si>
  <si>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</si>
  <si>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</si>
  <si>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</si>
  <si>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</si>
  <si>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</si>
  <si>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</si>
  <si>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</si>
  <si>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</si>
  <si>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</si>
  <si>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</si>
  <si>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</si>
  <si>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</si>
  <si>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</si>
  <si>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</si>
  <si>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</si>
  <si>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</si>
  <si>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</si>
  <si>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</si>
  <si>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</si>
  <si>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</si>
  <si>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</si>
  <si>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</si>
  <si>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</si>
  <si>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</si>
  <si>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</si>
  <si>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</si>
  <si>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</si>
  <si>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</si>
  <si>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</si>
  <si>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</si>
  <si>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</si>
  <si>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</si>
  <si>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</si>
  <si>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</si>
  <si>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</si>
  <si>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</si>
  <si>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</si>
  <si>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</si>
  <si>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</si>
  <si>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</si>
  <si>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</si>
  <si>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</si>
  <si>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</si>
  <si>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</si>
  <si>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</si>
  <si>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</si>
  <si>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</si>
  <si>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</si>
  <si>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</si>
  <si>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</si>
  <si>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</si>
  <si>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</si>
  <si>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</si>
  <si>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</si>
  <si>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</si>
  <si>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</si>
  <si>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</si>
  <si>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</si>
  <si>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</si>
  <si>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</si>
  <si>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</si>
  <si>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</si>
  <si>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</si>
  <si>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</si>
  <si>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</si>
  <si>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</si>
  <si>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</si>
  <si>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</si>
  <si>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</si>
  <si>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</si>
  <si>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</si>
  <si>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</si>
  <si>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</si>
  <si>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</si>
  <si>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</si>
  <si>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</si>
  <si>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</si>
  <si>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</si>
  <si>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</si>
  <si>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</si>
  <si>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</si>
  <si>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</si>
  <si>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</si>
  <si>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</si>
  <si>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</si>
  <si>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</si>
  <si>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</si>
  <si>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</si>
  <si>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</si>
  <si>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</si>
  <si>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</si>
  <si>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</si>
  <si>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</si>
  <si>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</si>
  <si>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</si>
  <si>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</si>
  <si>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</si>
  <si>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</si>
  <si>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</si>
  <si>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</si>
  <si>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</si>
  <si>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</si>
  <si>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</si>
  <si>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</si>
  <si>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</si>
  <si>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</si>
  <si>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</si>
  <si>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</si>
  <si>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</si>
  <si>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</si>
  <si>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</si>
  <si>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</si>
  <si>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</si>
  <si>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</si>
  <si>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</si>
  <si>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</si>
  <si>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</si>
  <si>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</si>
  <si>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</si>
  <si>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</si>
  <si>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</si>
  <si>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</si>
  <si>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</si>
  <si>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</si>
  <si>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</si>
  <si>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</si>
  <si>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</si>
  <si>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</si>
  <si>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</si>
  <si>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</si>
  <si>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</si>
  <si>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</si>
  <si>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</si>
  <si>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</si>
  <si>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</si>
  <si>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</si>
  <si>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</si>
  <si>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</si>
  <si>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</si>
  <si>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</si>
  <si>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</si>
  <si>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</si>
  <si>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</si>
  <si>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</si>
  <si>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</si>
  <si>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</si>
  <si>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</si>
  <si>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</si>
  <si>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</si>
  <si>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</si>
  <si>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</si>
  <si>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</si>
  <si>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</si>
  <si>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</si>
  <si>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</si>
  <si>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</si>
  <si>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</si>
  <si>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</si>
  <si>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</si>
  <si>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</si>
  <si>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</si>
  <si>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</si>
  <si>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</si>
  <si>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</si>
  <si>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</si>
  <si>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</si>
  <si>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</si>
  <si>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</si>
  <si>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</si>
  <si>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</si>
  <si>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</si>
  <si>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</si>
  <si>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</si>
  <si>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</si>
  <si>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</si>
  <si>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</si>
  <si>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</si>
  <si>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</si>
  <si>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</si>
  <si>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</si>
  <si>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</si>
  <si>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</si>
  <si>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</si>
  <si>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</si>
  <si>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</si>
  <si>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</si>
  <si>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</si>
  <si>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</si>
  <si>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</si>
  <si>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</si>
  <si>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</si>
  <si>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</si>
  <si>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</si>
  <si>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</si>
  <si>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</si>
  <si>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</si>
  <si>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</si>
  <si>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</si>
  <si>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</si>
  <si>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</si>
  <si>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</si>
  <si>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</si>
  <si>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</si>
  <si>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</si>
  <si>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</si>
  <si>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</si>
  <si>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</si>
  <si>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</si>
  <si>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</si>
  <si>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</si>
  <si>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</si>
  <si>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</si>
  <si>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</si>
  <si>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</si>
  <si>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</si>
  <si>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</si>
  <si>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</si>
  <si>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</si>
  <si>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</si>
  <si>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</si>
  <si>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</si>
  <si>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</si>
  <si>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</si>
  <si>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</si>
  <si>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</si>
  <si>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</si>
  <si>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</si>
  <si>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</si>
  <si>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</si>
  <si>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</si>
  <si>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</si>
  <si>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</si>
  <si>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</si>
  <si>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</si>
  <si>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</si>
  <si>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</si>
  <si>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</si>
  <si>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</si>
  <si>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</si>
  <si>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</si>
  <si>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</si>
  <si>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</si>
  <si>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</si>
  <si>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</si>
  <si>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</si>
  <si>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</si>
  <si>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</si>
  <si>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</si>
  <si>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</si>
  <si>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</si>
  <si>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</si>
  <si>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</si>
  <si>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</si>
  <si>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</si>
  <si>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</si>
  <si>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</si>
  <si>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</si>
  <si>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</si>
  <si>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</si>
  <si>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</si>
  <si>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</si>
  <si>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</si>
  <si>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</si>
  <si>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</si>
  <si>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</si>
  <si>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</si>
  <si>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</si>
  <si>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</si>
  <si>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</si>
  <si>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</si>
  <si>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</si>
  <si>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</si>
  <si>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</si>
  <si>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</si>
  <si>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</si>
  <si>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</si>
  <si>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</si>
  <si>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</si>
  <si>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</si>
  <si>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</si>
  <si>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</si>
  <si>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</si>
  <si>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</si>
  <si>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</si>
  <si>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</si>
  <si>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</si>
  <si>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</si>
  <si>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</si>
  <si>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</si>
  <si>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</si>
  <si>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</si>
  <si>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</si>
  <si>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</si>
  <si>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</si>
  <si>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</si>
  <si>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</si>
  <si>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</si>
  <si>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</si>
  <si>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</si>
  <si>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</si>
  <si>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</si>
  <si>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</si>
  <si>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</si>
  <si>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</si>
  <si>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</si>
  <si>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</si>
  <si>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</si>
  <si>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</si>
  <si>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</si>
  <si>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</si>
  <si>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</si>
  <si>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</si>
  <si>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</si>
  <si>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</si>
  <si>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</si>
  <si>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</si>
  <si>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</si>
  <si>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</si>
  <si>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</si>
  <si>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</si>
  <si>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</si>
  <si>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</si>
  <si>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</si>
  <si>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</si>
  <si>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</si>
  <si>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</si>
  <si>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</si>
  <si>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</si>
  <si>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</si>
  <si>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</si>
  <si>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</si>
  <si>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</si>
  <si>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</si>
  <si>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</si>
  <si>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</si>
  <si>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</si>
  <si>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</si>
  <si>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</si>
  <si>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</si>
  <si>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</si>
  <si>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</si>
  <si>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</si>
  <si>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</si>
  <si>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</si>
  <si>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</si>
  <si>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</si>
  <si>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</si>
  <si>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</si>
  <si>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</si>
  <si>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</si>
  <si>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</si>
  <si>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</si>
  <si>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</si>
  <si>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</si>
  <si>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</si>
  <si>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</si>
  <si>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</si>
  <si>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</si>
  <si>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</si>
  <si>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</si>
  <si>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</si>
  <si>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</si>
  <si>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</si>
  <si>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</si>
  <si>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</si>
  <si>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</si>
  <si>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</si>
  <si>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</si>
  <si>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</si>
  <si>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</si>
  <si>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</si>
  <si>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</si>
  <si>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</si>
  <si>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</si>
  <si>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</si>
  <si>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</si>
  <si>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</si>
  <si>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</si>
  <si>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</si>
  <si>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</si>
  <si>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</si>
  <si>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</si>
  <si>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</si>
  <si>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</si>
  <si>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</si>
  <si>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</si>
  <si>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</si>
  <si>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</si>
  <si>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</si>
  <si>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</si>
  <si>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</si>
  <si>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</si>
  <si>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</si>
  <si>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</si>
  <si>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</si>
  <si>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</si>
  <si>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</si>
  <si>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</si>
  <si>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</si>
  <si>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</si>
  <si>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</si>
  <si>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</si>
  <si>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</si>
  <si>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</si>
  <si>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</si>
  <si>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</si>
  <si>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</si>
  <si>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</si>
  <si>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</si>
  <si>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</si>
  <si>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</si>
  <si>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</si>
  <si>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</si>
  <si>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</si>
  <si>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</si>
  <si>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</si>
  <si>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</si>
  <si>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</si>
  <si>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</si>
  <si>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</si>
  <si>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</si>
  <si>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</si>
  <si>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</si>
  <si>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</si>
  <si>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</si>
  <si>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</si>
  <si>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</si>
  <si>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</si>
  <si>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</si>
  <si>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</si>
  <si>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</si>
  <si>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</si>
  <si>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</si>
  <si>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</si>
  <si>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</si>
  <si>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</si>
  <si>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</si>
  <si>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</si>
  <si>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</si>
  <si>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</si>
  <si>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</si>
  <si>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</si>
  <si>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</si>
  <si>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</si>
  <si>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</si>
  <si>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</si>
  <si>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</si>
  <si>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</si>
  <si>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</si>
  <si>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</si>
  <si>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</si>
  <si>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</si>
  <si>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</si>
  <si>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</si>
  <si>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</si>
  <si>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</si>
  <si>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</si>
  <si>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</si>
  <si>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</si>
  <si>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</si>
  <si>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</si>
  <si>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</si>
  <si>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</si>
  <si>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</si>
  <si>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</si>
  <si>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</si>
  <si>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</si>
  <si>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</si>
  <si>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</si>
  <si>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</si>
  <si>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</si>
  <si>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</si>
  <si>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</si>
  <si>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</si>
  <si>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</si>
  <si>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</si>
  <si>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</si>
  <si>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</si>
  <si>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</si>
  <si>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</si>
  <si>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</si>
  <si>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</si>
  <si>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</si>
  <si>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</si>
  <si>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</si>
  <si>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</si>
  <si>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</si>
  <si>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</si>
  <si>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</si>
  <si>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</si>
  <si>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</si>
  <si>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</si>
  <si>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</si>
  <si>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</si>
  <si>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</si>
  <si>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</si>
  <si>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</si>
  <si>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</si>
  <si>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</si>
  <si>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</si>
  <si>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</si>
  <si>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</si>
  <si>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</si>
  <si>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</si>
  <si>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</si>
  <si>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</si>
  <si>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</si>
  <si>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</si>
  <si>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</si>
  <si>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</si>
  <si>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</si>
  <si>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</si>
  <si>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</si>
  <si>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</si>
  <si>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</si>
  <si>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</si>
  <si>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</si>
  <si>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</si>
  <si>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</si>
  <si>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</si>
  <si>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</si>
  <si>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</si>
  <si>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</si>
  <si>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</si>
  <si>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</si>
  <si>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</si>
  <si>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</si>
  <si>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</si>
  <si>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</si>
  <si>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</si>
  <si>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</si>
  <si>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</si>
  <si>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</si>
  <si>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</si>
  <si>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</si>
  <si>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</si>
  <si>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</si>
  <si>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</si>
  <si>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</si>
  <si>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</si>
  <si>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</si>
  <si>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</si>
  <si>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</si>
  <si>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</si>
  <si>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</si>
  <si>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</si>
  <si>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</si>
  <si>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</si>
  <si>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</si>
  <si>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</si>
  <si>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</si>
  <si>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</si>
  <si>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</si>
  <si>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</si>
  <si>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</si>
  <si>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</si>
  <si>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</si>
  <si>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</si>
  <si>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</si>
  <si>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</si>
  <si>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</si>
  <si>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</si>
  <si>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</si>
  <si>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</si>
  <si>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</si>
  <si>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</si>
  <si>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</si>
  <si>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</si>
  <si>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</si>
  <si>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</si>
  <si>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</si>
  <si>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</si>
  <si>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</si>
  <si>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</si>
  <si>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</si>
  <si>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</si>
  <si>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</si>
  <si>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</si>
  <si>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</si>
  <si>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</si>
  <si>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</si>
  <si>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</si>
  <si>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</si>
  <si>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</si>
  <si>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</si>
  <si>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</si>
  <si>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</si>
  <si>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</si>
  <si>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</si>
  <si>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</si>
  <si>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</si>
  <si>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</si>
  <si>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</si>
  <si>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</si>
  <si>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</si>
  <si>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</si>
  <si>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</si>
  <si>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</si>
  <si>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</si>
  <si>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</si>
  <si>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</si>
  <si>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</si>
  <si>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</si>
  <si>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</si>
  <si>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</si>
  <si>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</si>
  <si>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</si>
  <si>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</si>
  <si>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</si>
  <si>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</si>
  <si>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</si>
  <si>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</si>
  <si>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</si>
  <si>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</si>
  <si>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</si>
  <si>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</si>
  <si>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</si>
  <si>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</si>
  <si>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</si>
  <si>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</si>
  <si>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</si>
  <si>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</si>
  <si>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</si>
  <si>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</si>
  <si>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</si>
  <si>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</si>
  <si>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</si>
  <si>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</si>
  <si>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</si>
  <si>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</si>
  <si>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</si>
  <si>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</si>
  <si>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</si>
  <si>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</si>
  <si>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</si>
  <si>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</si>
  <si>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</si>
  <si>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</si>
  <si>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</si>
  <si>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</si>
  <si>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</si>
  <si>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</si>
  <si>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</si>
  <si>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</si>
  <si>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</si>
  <si>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</si>
  <si>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</si>
  <si>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</si>
  <si>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</si>
  <si>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</si>
  <si>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</si>
  <si>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</si>
  <si>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</si>
  <si>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</si>
  <si>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</si>
  <si>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</si>
  <si>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</si>
  <si>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</si>
  <si>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</si>
  <si>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</si>
  <si>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</si>
  <si>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</si>
  <si>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</si>
  <si>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</si>
  <si>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</si>
  <si>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</si>
  <si>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</si>
  <si>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</si>
  <si>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</si>
  <si>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</si>
  <si>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</si>
  <si>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</si>
  <si>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</si>
  <si>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</si>
  <si>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</si>
  <si>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</si>
  <si>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</si>
  <si>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</si>
  <si>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</si>
  <si>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</si>
  <si>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</si>
  <si>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</si>
  <si>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</si>
  <si>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</si>
  <si>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</si>
  <si>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</si>
  <si>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</si>
  <si>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</si>
  <si>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</si>
  <si>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</si>
  <si>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</si>
  <si>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</si>
  <si>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</si>
  <si>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</si>
  <si>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</si>
  <si>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</si>
  <si>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</si>
  <si>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</si>
  <si>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</si>
  <si>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</si>
  <si>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</si>
  <si>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</si>
  <si>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</si>
  <si>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</si>
  <si>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</si>
  <si>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</si>
  <si>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</si>
  <si>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</si>
  <si>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</si>
  <si>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</si>
  <si>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</si>
  <si>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</si>
  <si>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</si>
  <si>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</si>
  <si>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</si>
  <si>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</si>
  <si>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</si>
  <si>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</si>
  <si>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</si>
  <si>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</si>
  <si>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</si>
  <si>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</si>
  <si>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</si>
  <si>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</si>
  <si>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</si>
  <si>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</si>
  <si>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</si>
  <si>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</si>
  <si>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</si>
  <si>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</si>
  <si>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</si>
  <si>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</si>
  <si>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</si>
  <si>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</si>
  <si>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</si>
  <si>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</si>
  <si>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</si>
  <si>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</si>
  <si>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</si>
  <si>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</si>
  <si>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</si>
  <si>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</si>
  <si>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</si>
  <si>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</si>
  <si>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</si>
  <si>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</si>
  <si>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</si>
  <si>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</si>
  <si>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</si>
  <si>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</si>
  <si>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</si>
  <si>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</si>
  <si>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</si>
  <si>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</si>
  <si>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</si>
  <si>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</si>
  <si>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</si>
  <si>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</si>
  <si>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</si>
  <si>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</si>
  <si>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</si>
  <si>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</si>
  <si>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</si>
  <si>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</si>
  <si>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</si>
  <si>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</si>
  <si>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</si>
  <si>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</si>
  <si>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</si>
  <si>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</si>
  <si>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</si>
  <si>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</si>
  <si>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</si>
  <si>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</si>
  <si>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</si>
  <si>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</si>
  <si>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</si>
  <si>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</si>
  <si>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</si>
  <si>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</si>
  <si>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</si>
  <si>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</si>
  <si>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</si>
  <si>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</si>
  <si>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</si>
  <si>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</si>
  <si>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</si>
  <si>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</si>
  <si>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</si>
  <si>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</si>
  <si>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</si>
  <si>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</si>
  <si>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</si>
  <si>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</si>
  <si>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</si>
  <si>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</si>
  <si>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</si>
  <si>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</si>
  <si>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</si>
  <si>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</si>
  <si>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</si>
  <si>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</si>
  <si>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</si>
  <si>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</si>
  <si>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</si>
  <si>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</si>
  <si>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</si>
  <si>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</si>
  <si>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</si>
  <si>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</si>
  <si>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</si>
  <si>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</si>
  <si>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</si>
  <si>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</si>
  <si>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</si>
  <si>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</si>
  <si>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</si>
  <si>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</si>
  <si>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</si>
  <si>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</si>
  <si>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</si>
  <si>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</si>
  <si>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</si>
  <si>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</si>
  <si>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</si>
  <si>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</si>
  <si>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</si>
  <si>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</si>
  <si>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</si>
  <si>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</si>
  <si>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</si>
  <si>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</si>
  <si>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</si>
  <si>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</si>
  <si>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</si>
  <si>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</si>
  <si>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</si>
  <si>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</si>
  <si>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</si>
  <si>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</si>
  <si>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</si>
  <si>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</si>
  <si>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</si>
  <si>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</si>
  <si>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</si>
  <si>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</si>
  <si>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</si>
  <si>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</si>
  <si>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</si>
  <si>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</si>
  <si>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</si>
  <si>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</si>
  <si>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</si>
  <si>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</si>
  <si>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</si>
  <si>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</si>
  <si>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</si>
  <si>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</si>
  <si>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</si>
  <si>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</si>
  <si>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</si>
  <si>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</si>
  <si>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</si>
  <si>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</si>
  <si>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</si>
  <si>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</si>
  <si>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</si>
  <si>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</si>
  <si>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</si>
  <si>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</si>
  <si>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</si>
  <si>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</si>
  <si>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</si>
  <si>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</si>
  <si>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</si>
  <si>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</si>
  <si>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</si>
  <si>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</si>
  <si>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</si>
  <si>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</si>
  <si>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</si>
  <si>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</si>
  <si>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</si>
  <si>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</si>
  <si>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</si>
  <si>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</si>
  <si>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</si>
  <si>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</si>
  <si>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</si>
  <si>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</si>
  <si>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</si>
  <si>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</si>
  <si>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</si>
  <si>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</si>
  <si>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</si>
  <si>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</si>
  <si>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</si>
  <si>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</si>
  <si>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</si>
  <si>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</si>
  <si>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</si>
  <si>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</si>
  <si>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</si>
  <si>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</si>
  <si>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</si>
  <si>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</si>
  <si>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</si>
  <si>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</si>
  <si>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</si>
  <si>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</si>
  <si>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</si>
  <si>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</si>
  <si>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</si>
  <si>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</si>
  <si>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</si>
  <si>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</si>
  <si>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</si>
  <si>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</si>
  <si>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</si>
  <si>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</si>
  <si>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</si>
  <si>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</si>
  <si>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</si>
  <si>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</si>
  <si>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</si>
  <si>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</si>
  <si>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</si>
  <si>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</si>
  <si>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</si>
  <si>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</si>
  <si>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</si>
  <si>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</si>
  <si>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</si>
  <si>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</si>
  <si>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</si>
  <si>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</si>
  <si>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</si>
  <si>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</si>
  <si>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</si>
  <si>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</si>
  <si>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</si>
  <si>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</si>
  <si>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</si>
  <si>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</si>
  <si>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</si>
  <si>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</si>
  <si>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</si>
  <si>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</si>
  <si>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</si>
  <si>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</si>
  <si>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</si>
  <si>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</si>
  <si>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</si>
  <si>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</si>
  <si>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</si>
  <si>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</si>
  <si>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</si>
  <si>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</si>
  <si>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</si>
  <si>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</si>
  <si>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</si>
  <si>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</si>
  <si>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</si>
  <si>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</si>
  <si>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</si>
  <si>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</si>
  <si>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</si>
  <si>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</si>
  <si>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</si>
  <si>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</si>
  <si>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</si>
  <si>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</si>
  <si>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</si>
  <si>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</si>
  <si>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</si>
  <si>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</si>
  <si>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</si>
  <si>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</si>
  <si>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</si>
  <si>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</si>
  <si>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</si>
  <si>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</si>
  <si>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</si>
  <si>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</si>
  <si>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</si>
  <si>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</si>
  <si>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</si>
  <si>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</si>
  <si>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</si>
  <si>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</si>
  <si>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</si>
  <si>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</si>
  <si>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</si>
  <si>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</si>
  <si>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</si>
  <si>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</si>
  <si>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</si>
  <si>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</si>
  <si>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</si>
  <si>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</si>
  <si>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</si>
  <si>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</si>
  <si>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</si>
  <si>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</si>
  <si>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</si>
  <si>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</si>
  <si>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</si>
  <si>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</si>
  <si>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</si>
  <si>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</si>
  <si>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</si>
  <si>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</si>
  <si>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</si>
  <si>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</si>
  <si>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</si>
  <si>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</si>
  <si>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</si>
  <si>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</si>
  <si>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</si>
  <si>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</si>
  <si>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</si>
  <si>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</si>
  <si>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</si>
  <si>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</si>
  <si>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</si>
  <si>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</si>
  <si>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</si>
  <si>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</si>
  <si>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</si>
  <si>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</si>
  <si>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</si>
  <si>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</si>
  <si>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</si>
  <si>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</si>
  <si>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</si>
  <si>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</si>
  <si>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</si>
  <si>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</si>
  <si>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</si>
  <si>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</si>
  <si>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</si>
  <si>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</si>
  <si>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</si>
  <si>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</si>
  <si>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</si>
  <si>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</si>
  <si>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</si>
  <si>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</si>
  <si>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</si>
  <si>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</si>
  <si>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</si>
  <si>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</si>
  <si>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</si>
  <si>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</si>
  <si>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</si>
  <si>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</si>
  <si>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</si>
  <si>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</si>
  <si>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</si>
  <si>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</si>
  <si>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</si>
  <si>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</si>
  <si>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</si>
  <si>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</si>
  <si>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</si>
  <si>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</si>
  <si>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</si>
  <si>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</si>
  <si>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</si>
  <si>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</si>
  <si>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</si>
  <si>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</si>
  <si>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</si>
  <si>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</si>
  <si>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</si>
  <si>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</si>
  <si>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</si>
  <si>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</si>
  <si>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</si>
  <si>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</si>
  <si>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</si>
  <si>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</si>
  <si>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</si>
  <si>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</si>
  <si>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</si>
  <si>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</si>
  <si>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</si>
  <si>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</si>
  <si>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</si>
  <si>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</si>
  <si>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</si>
  <si>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</si>
  <si>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</si>
  <si>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</si>
  <si>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</si>
  <si>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</si>
  <si>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</si>
  <si>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</si>
  <si>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</si>
  <si>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</si>
  <si>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</si>
  <si>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</si>
  <si>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</si>
  <si>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</si>
  <si>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</si>
  <si>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</si>
  <si>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</si>
  <si>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</si>
  <si>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</si>
  <si>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</si>
  <si>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</si>
  <si>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</si>
  <si>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</si>
  <si>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</si>
  <si>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</si>
  <si>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</si>
  <si>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</si>
  <si>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</si>
  <si>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</si>
  <si>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</si>
  <si>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</si>
  <si>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</si>
  <si>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</si>
  <si>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</si>
  <si>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</si>
  <si>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</si>
  <si>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</si>
  <si>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</si>
  <si>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</si>
  <si>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</si>
  <si>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</si>
  <si>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</si>
  <si>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</si>
  <si>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</si>
  <si>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</si>
  <si>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</si>
  <si>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</si>
  <si>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</si>
  <si>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</si>
  <si>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</si>
  <si>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</si>
  <si>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</si>
  <si>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</si>
  <si>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</si>
  <si>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</si>
  <si>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</si>
  <si>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</si>
  <si>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</si>
  <si>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</si>
  <si>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</si>
  <si>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</si>
  <si>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</si>
  <si>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</si>
  <si>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</si>
  <si>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</si>
  <si>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</si>
  <si>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</si>
  <si>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</si>
  <si>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</si>
  <si>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</si>
  <si>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</si>
  <si>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</si>
  <si>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</si>
  <si>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</si>
  <si>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</si>
  <si>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</si>
  <si>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</si>
  <si>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</si>
  <si>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</si>
  <si>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</si>
  <si>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</si>
  <si>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</si>
  <si>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</si>
  <si>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</si>
  <si>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</si>
  <si>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</si>
  <si>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</si>
  <si>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</si>
  <si>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</si>
  <si>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</si>
  <si>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</si>
  <si>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</si>
  <si>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</si>
  <si>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</si>
  <si>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</si>
  <si>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</si>
  <si>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</si>
  <si>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</si>
  <si>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</si>
  <si>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</si>
  <si>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</si>
  <si>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</si>
  <si>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</si>
  <si>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</si>
  <si>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</si>
  <si>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</si>
  <si>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</si>
  <si>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</si>
  <si>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</si>
  <si>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</si>
  <si>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</si>
  <si>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</si>
  <si>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</si>
  <si>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</si>
  <si>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</si>
  <si>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</si>
  <si>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</si>
  <si>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</si>
  <si>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</si>
  <si>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</si>
  <si>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</si>
  <si>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</si>
  <si>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</si>
  <si>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</si>
  <si>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</si>
  <si>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</si>
  <si>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</si>
  <si>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</si>
  <si>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</si>
  <si>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</si>
  <si>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</si>
  <si>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</si>
  <si>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</si>
  <si>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</si>
  <si>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</si>
  <si>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</si>
  <si>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</si>
  <si>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</si>
  <si>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</si>
  <si>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</si>
  <si>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</si>
  <si>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</si>
  <si>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</si>
  <si>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</si>
  <si>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</si>
  <si>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</si>
  <si>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</si>
  <si>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</si>
  <si>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</si>
  <si>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</si>
  <si>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</si>
  <si>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</si>
  <si>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</si>
  <si>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</si>
  <si>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</si>
  <si>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</si>
  <si>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</si>
  <si>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</si>
  <si>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</si>
  <si>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</si>
  <si>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</si>
  <si>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</si>
  <si>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</si>
  <si>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</si>
  <si>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</si>
  <si>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</si>
  <si>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</si>
  <si>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</si>
  <si>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</si>
  <si>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</si>
  <si>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</si>
  <si>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</si>
  <si>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</si>
  <si>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</si>
  <si>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</si>
  <si>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</si>
  <si>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</si>
  <si>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</si>
  <si>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</si>
  <si>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</si>
  <si>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</si>
  <si>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</si>
  <si>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</si>
  <si>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</si>
  <si>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</si>
  <si>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</si>
  <si>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</si>
  <si>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</si>
  <si>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</si>
  <si>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</si>
  <si>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</si>
  <si>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</si>
  <si>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</si>
  <si>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</si>
  <si>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</si>
  <si>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</si>
  <si>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</si>
  <si>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</si>
  <si>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</si>
  <si>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</si>
  <si>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</si>
  <si>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</si>
  <si>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</si>
  <si>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</si>
  <si>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</si>
  <si>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</si>
  <si>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</si>
  <si>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</si>
  <si>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</si>
  <si>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</si>
  <si>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</si>
  <si>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</si>
  <si>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</si>
  <si>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2015</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</si>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</sst>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19781.607672374801</v>
      </c>
      <c r="F22" s="3419" t="str">
        <f t="shared" si="0"/>
        <v>NA</v>
      </c>
      <c r="G22" s="3395">
        <v>304.81659095159387</v>
      </c>
      <c r="H22" s="3374">
        <f t="shared" si="1"/>
        <v>1117.6608334891775</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20582</v>
      </c>
      <c r="F24" s="3419" t="str">
        <f t="shared" si="0"/>
        <v>NA</v>
      </c>
      <c r="G24" s="3395">
        <v>452.99110909090911</v>
      </c>
      <c r="H24" s="3374">
        <f t="shared" si="1"/>
        <v>1660.9674000000002</v>
      </c>
      <c r="I24" s="2579" t="s">
        <v>2147</v>
      </c>
      <c r="J24" s="2580"/>
      <c r="M24" s="125"/>
    </row>
    <row r="25" spans="2:13" ht="18" customHeight="1" x14ac:dyDescent="0.2">
      <c r="B25" s="165"/>
      <c r="C25" s="1563"/>
      <c r="D25" s="1452" t="s">
        <v>1789</v>
      </c>
      <c r="E25" s="3414">
        <v>12575</v>
      </c>
      <c r="F25" s="3419" t="str">
        <f t="shared" si="0"/>
        <v>NA</v>
      </c>
      <c r="G25" s="3395">
        <v>238.81639772727274</v>
      </c>
      <c r="H25" s="3374">
        <f t="shared" si="1"/>
        <v>875.66012499999999</v>
      </c>
      <c r="I25" s="2579" t="s">
        <v>2147</v>
      </c>
      <c r="J25" s="2580"/>
      <c r="M25" s="125"/>
    </row>
    <row r="26" spans="2:13" ht="18" customHeight="1" x14ac:dyDescent="0.2">
      <c r="B26" s="165"/>
      <c r="C26" s="1563"/>
      <c r="D26" s="1452" t="s">
        <v>1790</v>
      </c>
      <c r="E26" s="3418">
        <v>24965.449170600001</v>
      </c>
      <c r="F26" s="3419">
        <f t="shared" si="0"/>
        <v>25.261363636363633</v>
      </c>
      <c r="G26" s="3395">
        <v>630.66128984368004</v>
      </c>
      <c r="H26" s="3374">
        <f t="shared" si="1"/>
        <v>2312.4247294268266</v>
      </c>
      <c r="I26" s="3395">
        <v>2312.4247294268248</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17292.631345762711</v>
      </c>
      <c r="F28" s="3419" t="str">
        <f>IF(I28="NA","NA",I28/(44/12)*1000/E28)</f>
        <v>NA</v>
      </c>
      <c r="G28" s="3395">
        <v>303.01672573090906</v>
      </c>
      <c r="H28" s="3374">
        <f>IF(G28="NA","NA",IF(G28="NO","NO",G28*44/12))</f>
        <v>1111.0613276799997</v>
      </c>
      <c r="I28" s="3395" t="s">
        <v>2147</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95196.688188737506</v>
      </c>
      <c r="F31" s="3359">
        <f t="shared" ref="F31" si="3">IF(I31="NA","NA",I31/(44/12)*1000/E31)</f>
        <v>6.6248238446418091</v>
      </c>
      <c r="G31" s="3423">
        <f>SUM(G11:G29)</f>
        <v>1930.3021133443649</v>
      </c>
      <c r="H31" s="3371">
        <f t="shared" ref="H31" si="4">IF(G31="NA","NA",IF(G31="NO","NO",G31*44/12))</f>
        <v>7077.7744155960054</v>
      </c>
      <c r="I31" s="3423">
        <f>SUM(I11:I29)</f>
        <v>2312.4247294268248</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v>4.25868545454545</v>
      </c>
      <c r="H34" s="3396">
        <f t="shared" ref="H34:H42" si="5">IF(G34="NA","NA",IF(G34="NO","NO",G34*44/12))</f>
        <v>15.615179999999983</v>
      </c>
      <c r="I34" s="2363" t="s">
        <v>2153</v>
      </c>
      <c r="J34" s="2580"/>
      <c r="M34" s="125"/>
    </row>
    <row r="35" spans="2:13" ht="18" customHeight="1" x14ac:dyDescent="0.2">
      <c r="B35" s="1434"/>
      <c r="C35" s="1563"/>
      <c r="D35" s="1452" t="s">
        <v>261</v>
      </c>
      <c r="E35" s="3414">
        <v>13862.256034444426</v>
      </c>
      <c r="F35" s="3419">
        <f>IF(I35="NA","NA",I35/(44/12)*1000/E35)</f>
        <v>24.795246499201312</v>
      </c>
      <c r="G35" s="3399">
        <v>343.71805540909043</v>
      </c>
      <c r="H35" s="3396">
        <f t="shared" si="5"/>
        <v>1260.2995364999981</v>
      </c>
      <c r="I35" s="3395">
        <v>1260.2995364999981</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v>0.89775956045454997</v>
      </c>
      <c r="H37" s="3374">
        <f t="shared" si="5"/>
        <v>3.2917850550000165</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55265.470533</v>
      </c>
      <c r="F41" s="3419">
        <f t="shared" ref="F41" si="8">IF(I41="NA","NA",I41/(44/12)*1000/E41)</f>
        <v>29.508502928671106</v>
      </c>
      <c r="G41" s="3395">
        <v>1630.80129907742</v>
      </c>
      <c r="H41" s="3396">
        <f t="shared" si="5"/>
        <v>5979.6047632838736</v>
      </c>
      <c r="I41" s="3395">
        <v>5979.6047632838636</v>
      </c>
      <c r="J41" s="3416" t="s">
        <v>2274</v>
      </c>
      <c r="M41" s="125"/>
    </row>
    <row r="42" spans="2:13" ht="18" customHeight="1" x14ac:dyDescent="0.2">
      <c r="B42" s="1434"/>
      <c r="C42" s="1564"/>
      <c r="D42" s="1452" t="s">
        <v>1792</v>
      </c>
      <c r="E42" s="3414">
        <v>14734.331551649999</v>
      </c>
      <c r="F42" s="3419">
        <f>IF(I42="NA","NA",I42/(44/12)*1000/E42)</f>
        <v>8.2647576726707204</v>
      </c>
      <c r="G42" s="3395">
        <v>298.35249625226453</v>
      </c>
      <c r="H42" s="3396">
        <f t="shared" si="5"/>
        <v>1093.9591529249699</v>
      </c>
      <c r="I42" s="3395">
        <v>446.51082572496995</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83862.058119094421</v>
      </c>
      <c r="F45" s="3343">
        <f>IF(I45="NA","NA",I45/(44/12)*1000/E45)</f>
        <v>24.996942374735006</v>
      </c>
      <c r="G45" s="3423">
        <f>SUM(G33:G43)</f>
        <v>2278.0282957537752</v>
      </c>
      <c r="H45" s="3371">
        <f t="shared" ref="H45" si="9">IF(G45="NA","NA",IF(G45="NO","NO",G45*44/12))</f>
        <v>8352.7704177638425</v>
      </c>
      <c r="I45" s="3423">
        <f>SUM(I33:I43)</f>
        <v>7686.4151255088318</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53885.570810999983</v>
      </c>
      <c r="F47" s="3419">
        <f t="shared" ref="F47" si="10">IF(I47="NA","NA",I47/(44/12)*1000/E47)</f>
        <v>14.021432274345003</v>
      </c>
      <c r="G47" s="3395">
        <v>755.55288169085804</v>
      </c>
      <c r="H47" s="3374">
        <f t="shared" ref="H47" si="11">IF(G47="NA","NA",IF(G47="NO","NO",G47*44/12))</f>
        <v>2770.3605661998131</v>
      </c>
      <c r="I47" s="3395">
        <v>2770.3605661998131</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53885.570810999983</v>
      </c>
      <c r="F50" s="3343">
        <f>IF(I50="NA","NA",I50/(44/12)*1000/E50)</f>
        <v>14.021432274345003</v>
      </c>
      <c r="G50" s="3423">
        <f>SUM(G47:G48)</f>
        <v>755.55288169085804</v>
      </c>
      <c r="H50" s="3397">
        <f t="shared" ref="H50" si="13">IF(G50="NA","NA",IF(G50="NO","NO",G50*44/12))</f>
        <v>2770.3605661998131</v>
      </c>
      <c r="I50" s="3423">
        <f>SUM(I47:I48)</f>
        <v>2770.3605661998131</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232944.31711883191</v>
      </c>
      <c r="F55" s="3354">
        <f t="shared" si="14"/>
        <v>14.949964218219957</v>
      </c>
      <c r="G55" s="3423">
        <f>SUM(G31,G45,G50,G54)</f>
        <v>4963.8832907889982</v>
      </c>
      <c r="H55" s="3398">
        <f t="shared" si="15"/>
        <v>18200.905399559659</v>
      </c>
      <c r="I55" s="3423">
        <f>SUM(I31,I45,I50,I54)</f>
        <v>12769.200421135471</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642.64153832512602</v>
      </c>
      <c r="D10" s="3127"/>
      <c r="E10" s="3127"/>
      <c r="F10" s="3078">
        <f>SUM(F11,F18)</f>
        <v>1376.0659033266331</v>
      </c>
      <c r="G10" s="3078">
        <f>SUM(G11,G18)</f>
        <v>1909.730431069916</v>
      </c>
      <c r="H10" s="3078">
        <f>H11</f>
        <v>-277.07687800000002</v>
      </c>
      <c r="I10" s="3128" t="s">
        <v>2146</v>
      </c>
      <c r="L10" s="3750"/>
    </row>
    <row r="11" spans="2:12" ht="18" customHeight="1" x14ac:dyDescent="0.2">
      <c r="B11" s="1252" t="s">
        <v>334</v>
      </c>
      <c r="C11" s="3033">
        <v>131.544444</v>
      </c>
      <c r="D11" s="3078">
        <f>IFERROR(SUM(F11,H11)/$C$11,"NA")</f>
        <v>6.0269571951374639</v>
      </c>
      <c r="E11" s="3078">
        <f>IFERROR(SUM(G11,I11)/$C$11,"NA")</f>
        <v>13.499447966453289</v>
      </c>
      <c r="F11" s="3078">
        <f>SUM(F12:F16)</f>
        <v>1069.8896112461573</v>
      </c>
      <c r="G11" s="3078">
        <f>SUM(G12:G16)</f>
        <v>1775.7773770540284</v>
      </c>
      <c r="H11" s="3078">
        <f>H12</f>
        <v>-277.07687800000002</v>
      </c>
      <c r="I11" s="3128" t="s">
        <v>2146</v>
      </c>
    </row>
    <row r="12" spans="2:12" ht="18" customHeight="1" x14ac:dyDescent="0.2">
      <c r="B12" s="160" t="s">
        <v>335</v>
      </c>
      <c r="C12" s="3046"/>
      <c r="D12" s="3078">
        <f t="shared" ref="D12:D14" si="0">IFERROR(SUM(F12,H12)/$C$11,"NA")</f>
        <v>5.4457687627171136</v>
      </c>
      <c r="E12" s="3078">
        <f>IFERROR(SUM(G12,I12)/$C$11,"NA")</f>
        <v>8.8547107318344835</v>
      </c>
      <c r="F12" s="3126">
        <v>993.43750204419075</v>
      </c>
      <c r="G12" s="3126">
        <v>1164.7880000000002</v>
      </c>
      <c r="H12" s="3126">
        <v>-277.07687800000002</v>
      </c>
      <c r="I12" s="3034" t="s">
        <v>2146</v>
      </c>
    </row>
    <row r="13" spans="2:12" ht="18" customHeight="1" x14ac:dyDescent="0.2">
      <c r="B13" s="160" t="s">
        <v>336</v>
      </c>
      <c r="C13" s="3046"/>
      <c r="D13" s="3078">
        <f t="shared" si="0"/>
        <v>0.34949952452961258</v>
      </c>
      <c r="E13" s="3078" t="s">
        <v>2147</v>
      </c>
      <c r="F13" s="3126">
        <v>45.974720632512245</v>
      </c>
      <c r="G13" s="3126" t="s">
        <v>2154</v>
      </c>
      <c r="H13" s="3126" t="s">
        <v>2146</v>
      </c>
      <c r="I13" s="3034" t="s">
        <v>2146</v>
      </c>
    </row>
    <row r="14" spans="2:12" ht="18" customHeight="1" x14ac:dyDescent="0.2">
      <c r="B14" s="160" t="s">
        <v>337</v>
      </c>
      <c r="C14" s="3046"/>
      <c r="D14" s="3078">
        <f t="shared" si="0"/>
        <v>0.2150374907992707</v>
      </c>
      <c r="E14" s="3078" t="s">
        <v>2147</v>
      </c>
      <c r="F14" s="3126">
        <v>28.286987166345181</v>
      </c>
      <c r="G14" s="3126" t="s">
        <v>2147</v>
      </c>
      <c r="H14" s="3126" t="s">
        <v>2146</v>
      </c>
      <c r="I14" s="3034" t="s">
        <v>2146</v>
      </c>
    </row>
    <row r="15" spans="2:12" ht="18" customHeight="1" x14ac:dyDescent="0.2">
      <c r="B15" s="160" t="s">
        <v>338</v>
      </c>
      <c r="C15" s="3033">
        <v>0.27707687800000003</v>
      </c>
      <c r="D15" s="3078">
        <f>IFERROR(SUM(F15,H15)/$C15,"NA")</f>
        <v>7.9053922468013171</v>
      </c>
      <c r="E15" s="3078">
        <f>IFERROR(SUM(G15,I15)/$C15,"NA")</f>
        <v>2205.1258172976382</v>
      </c>
      <c r="F15" s="3126">
        <v>2.1904014031091146</v>
      </c>
      <c r="G15" s="3126">
        <v>610.98937705402807</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511.09709432512602</v>
      </c>
      <c r="D18" s="3078">
        <f>IFERROR(SUM(F18,H18)/$C$18,"NA")</f>
        <v>0.59905700008872853</v>
      </c>
      <c r="E18" s="3078">
        <f>IFERROR(SUM(G18,I18)/$C$18,"NA")</f>
        <v>0.26208924977897763</v>
      </c>
      <c r="F18" s="3078">
        <f>SUM(F19:F21)</f>
        <v>306.17629208047589</v>
      </c>
      <c r="G18" s="3131">
        <f t="shared" ref="G18" si="2">SUM(G19:G21)</f>
        <v>133.95305401588763</v>
      </c>
      <c r="H18" s="3078" t="s">
        <v>2146</v>
      </c>
      <c r="I18" s="3128" t="s">
        <v>2146</v>
      </c>
    </row>
    <row r="19" spans="2:9" ht="18" customHeight="1" x14ac:dyDescent="0.2">
      <c r="B19" s="160" t="s">
        <v>341</v>
      </c>
      <c r="C19" s="3046"/>
      <c r="D19" s="3078">
        <f>IFERROR(SUM(F19,H19)/$C$18,"NA")</f>
        <v>0.59905700008872853</v>
      </c>
      <c r="E19" s="3078">
        <f>IFERROR(SUM(G19,I19)/$C$18,"NA")</f>
        <v>0.26208924977897763</v>
      </c>
      <c r="F19" s="3126">
        <v>306.17629208047589</v>
      </c>
      <c r="G19" s="3126">
        <v>133.95305401588763</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171.22726698</v>
      </c>
      <c r="J10" s="3145">
        <f>IF(SUM(J11:J16)=0,"NO",SUM(J11:J16))</f>
        <v>5.3615158419037634</v>
      </c>
      <c r="K10" s="1913">
        <f>IF(SUM(K11:K16)=0,"NO",SUM(K11:K16))</f>
        <v>5.1463482840000008E-3</v>
      </c>
      <c r="L10" s="3146" t="s">
        <v>2146</v>
      </c>
    </row>
    <row r="11" spans="2:12" ht="18" customHeight="1" x14ac:dyDescent="0.2">
      <c r="B11" s="1252" t="s">
        <v>363</v>
      </c>
      <c r="C11" s="2165" t="s">
        <v>2159</v>
      </c>
      <c r="D11" s="2165" t="s">
        <v>2275</v>
      </c>
      <c r="E11" s="691" t="s">
        <v>2146</v>
      </c>
      <c r="F11" s="1913" t="e">
        <f>I11*1000000/$E11</f>
        <v>#VALUE!</v>
      </c>
      <c r="G11" s="1913" t="e">
        <f>J11*1000000/$E11</f>
        <v>#VALUE!</v>
      </c>
      <c r="H11" s="1913" t="e">
        <f>K11*1000000/$E11</f>
        <v>#VALUE!</v>
      </c>
      <c r="I11" s="3141" t="s">
        <v>2146</v>
      </c>
      <c r="J11" s="691" t="s">
        <v>2146</v>
      </c>
      <c r="K11" s="3142" t="s">
        <v>2146</v>
      </c>
      <c r="L11" s="3093" t="s">
        <v>2146</v>
      </c>
    </row>
    <row r="12" spans="2:12" ht="18" customHeight="1" x14ac:dyDescent="0.2">
      <c r="B12" s="1252" t="s">
        <v>364</v>
      </c>
      <c r="C12" s="2165" t="s">
        <v>2160</v>
      </c>
      <c r="D12" s="2165" t="s">
        <v>2161</v>
      </c>
      <c r="E12" s="691">
        <v>1380.1580851341</v>
      </c>
      <c r="F12" s="1913" t="s">
        <v>2147</v>
      </c>
      <c r="G12" s="1913">
        <f>J12*1000000/$E12</f>
        <v>2784.1567813057036</v>
      </c>
      <c r="H12" s="3096"/>
      <c r="I12" s="3147" t="s">
        <v>2147</v>
      </c>
      <c r="J12" s="691">
        <v>3.8425764919999992</v>
      </c>
      <c r="K12" s="3046"/>
      <c r="L12" s="3093" t="s">
        <v>2146</v>
      </c>
    </row>
    <row r="13" spans="2:12" ht="18" customHeight="1" x14ac:dyDescent="0.2">
      <c r="B13" s="1252" t="s">
        <v>365</v>
      </c>
      <c r="C13" s="2165" t="s">
        <v>2162</v>
      </c>
      <c r="D13" s="2165" t="s">
        <v>2161</v>
      </c>
      <c r="E13" s="691">
        <v>603.63032099999998</v>
      </c>
      <c r="F13" s="1913" t="s">
        <v>2147</v>
      </c>
      <c r="G13" s="1913">
        <f>J13*1000000/$E13</f>
        <v>53.065040107676943</v>
      </c>
      <c r="H13" s="3096"/>
      <c r="I13" s="3147" t="s">
        <v>2147</v>
      </c>
      <c r="J13" s="691">
        <v>3.2031667194074909E-2</v>
      </c>
      <c r="K13" s="3046"/>
      <c r="L13" s="3093" t="s">
        <v>2146</v>
      </c>
    </row>
    <row r="14" spans="2:12" ht="18" customHeight="1" x14ac:dyDescent="0.2">
      <c r="B14" s="1252" t="s">
        <v>366</v>
      </c>
      <c r="C14" s="2165" t="s">
        <v>2163</v>
      </c>
      <c r="D14" s="2165" t="s">
        <v>2161</v>
      </c>
      <c r="E14" s="691">
        <v>972.47519950851972</v>
      </c>
      <c r="F14" s="1913">
        <f>I14*1000000/$E14</f>
        <v>176073.65932471771</v>
      </c>
      <c r="G14" s="1913">
        <f>J14*1000000/$E14</f>
        <v>1433.038382227124</v>
      </c>
      <c r="H14" s="1913">
        <f>K14*1000000/$E14</f>
        <v>5.2920097978857648</v>
      </c>
      <c r="I14" s="3147">
        <v>171.22726698</v>
      </c>
      <c r="J14" s="691">
        <v>1.3935942866596887</v>
      </c>
      <c r="K14" s="3142">
        <v>5.1463482840000008E-3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9.3313396049999983E-2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3199</v>
      </c>
      <c r="F18" s="1913" t="s">
        <v>2147</v>
      </c>
      <c r="G18" s="1913">
        <f>J18*1000000/$E18</f>
        <v>29.16955175054704</v>
      </c>
      <c r="H18" s="3148"/>
      <c r="I18" s="3150" t="s">
        <v>2147</v>
      </c>
      <c r="J18" s="2190">
        <v>9.3313396049999983E-2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58.097106280748143</v>
      </c>
      <c r="J21" s="3155">
        <f>IF(SUM(J22:J27)=0,"NO",SUM(J22:J27))</f>
        <v>152.73671019486346</v>
      </c>
      <c r="K21" s="3067">
        <f>IF(SUM(K22:K27)=0,"NO",SUM(K22:K27))</f>
        <v>1.459641708E-3</v>
      </c>
      <c r="L21" s="3068" t="str">
        <f>IF(SUM(L22:L27)=0,"NO",SUM(L22:L27))</f>
        <v>NO</v>
      </c>
    </row>
    <row r="22" spans="2:12" ht="18" customHeight="1" x14ac:dyDescent="0.2">
      <c r="B22" s="1469" t="s">
        <v>371</v>
      </c>
      <c r="C22" s="2165" t="s">
        <v>2164</v>
      </c>
      <c r="D22" s="2165" t="s">
        <v>2147</v>
      </c>
      <c r="E22" s="691">
        <v>1552.5376607226958</v>
      </c>
      <c r="F22" s="1913">
        <f>I22*1000000/$E22</f>
        <v>31935.939685888079</v>
      </c>
      <c r="G22" s="1913">
        <f>J22*1000000/$E22</f>
        <v>2613.9177610475567</v>
      </c>
      <c r="H22" s="1913">
        <f>K22*1000000/$E22</f>
        <v>0.94016508901983531</v>
      </c>
      <c r="I22" s="3141">
        <v>49.581749092909781</v>
      </c>
      <c r="J22" s="692">
        <v>4.05820576605828</v>
      </c>
      <c r="K22" s="4141">
        <v>1.459641708E-3</v>
      </c>
      <c r="L22" s="3156" t="s">
        <v>2146</v>
      </c>
    </row>
    <row r="23" spans="2:12" ht="18" customHeight="1" x14ac:dyDescent="0.2">
      <c r="B23" s="1252" t="s">
        <v>372</v>
      </c>
      <c r="C23" s="2165" t="s">
        <v>2165</v>
      </c>
      <c r="D23" s="2165" t="s">
        <v>2161</v>
      </c>
      <c r="E23" s="691">
        <v>3705.41892053521</v>
      </c>
      <c r="F23" s="1913">
        <f>I23*1000000/$E23</f>
        <v>168.30542345743416</v>
      </c>
      <c r="G23" s="1913">
        <f>J23*1000000/$E23</f>
        <v>8238.0185036144776</v>
      </c>
      <c r="H23" s="3096"/>
      <c r="I23" s="3147">
        <v>0.62364210050786706</v>
      </c>
      <c r="J23" s="691">
        <v>30.525309631012242</v>
      </c>
      <c r="K23" s="3046"/>
      <c r="L23" s="3156" t="s">
        <v>2146</v>
      </c>
    </row>
    <row r="24" spans="2:12" ht="18" customHeight="1" x14ac:dyDescent="0.2">
      <c r="B24" s="1252" t="s">
        <v>373</v>
      </c>
      <c r="C24" s="2165" t="s">
        <v>2165</v>
      </c>
      <c r="D24" s="2165" t="s">
        <v>2161</v>
      </c>
      <c r="E24" s="691">
        <v>3705.41892053521</v>
      </c>
      <c r="F24" s="1913">
        <f t="shared" ref="F24:F26" si="0">I24*1000000/$E24</f>
        <v>995.30618433491156</v>
      </c>
      <c r="G24" s="1913">
        <f t="shared" ref="G24:G26" si="1">J24*1000000/$E24</f>
        <v>6425.4786911972515</v>
      </c>
      <c r="H24" s="1879"/>
      <c r="I24" s="691">
        <v>3.6880263671602869</v>
      </c>
      <c r="J24" s="691">
        <v>23.809090315858114</v>
      </c>
      <c r="K24" s="1914"/>
      <c r="L24" s="3093" t="str">
        <f>IF(Table1.C!E21="NO","NO",-Table1.C!E21)</f>
        <v>NO</v>
      </c>
    </row>
    <row r="25" spans="2:12" ht="18" customHeight="1" x14ac:dyDescent="0.2">
      <c r="B25" s="1252" t="s">
        <v>374</v>
      </c>
      <c r="C25" s="2165" t="s">
        <v>2276</v>
      </c>
      <c r="D25" s="2165" t="s">
        <v>2171</v>
      </c>
      <c r="E25" s="691">
        <v>29682.91</v>
      </c>
      <c r="F25" s="1913">
        <f t="shared" si="0"/>
        <v>20.000000000000004</v>
      </c>
      <c r="G25" s="1913">
        <f t="shared" si="1"/>
        <v>414.28571428571422</v>
      </c>
      <c r="H25" s="3096"/>
      <c r="I25" s="3147">
        <v>0.59365820000000002</v>
      </c>
      <c r="J25" s="691">
        <v>12.297205571428568</v>
      </c>
      <c r="K25" s="3046"/>
      <c r="L25" s="3093" t="s">
        <v>2146</v>
      </c>
    </row>
    <row r="26" spans="2:12" ht="18" customHeight="1" x14ac:dyDescent="0.2">
      <c r="B26" s="1252" t="s">
        <v>375</v>
      </c>
      <c r="C26" s="2165" t="s">
        <v>2166</v>
      </c>
      <c r="D26" s="2165" t="s">
        <v>2161</v>
      </c>
      <c r="E26" s="691">
        <v>358.04627900000003</v>
      </c>
      <c r="F26" s="1913">
        <f t="shared" si="0"/>
        <v>8503.8448339802453</v>
      </c>
      <c r="G26" s="1913">
        <f t="shared" si="1"/>
        <v>151322.50543511444</v>
      </c>
      <c r="H26" s="3096"/>
      <c r="I26" s="3147">
        <v>3.0447699999999998</v>
      </c>
      <c r="J26" s="691">
        <v>54.180459999999997</v>
      </c>
      <c r="K26" s="3046"/>
      <c r="L26" s="3093" t="s">
        <v>2146</v>
      </c>
    </row>
    <row r="27" spans="2:12" ht="18" customHeight="1" x14ac:dyDescent="0.2">
      <c r="B27" s="2414" t="s">
        <v>376</v>
      </c>
      <c r="C27" s="621"/>
      <c r="D27" s="621"/>
      <c r="E27" s="628"/>
      <c r="F27" s="628"/>
      <c r="G27" s="628"/>
      <c r="H27" s="3148"/>
      <c r="I27" s="1913">
        <f>IF(SUM(I29:I31)=0,"NO",SUM(I29:I31))</f>
        <v>0.56526052017021233</v>
      </c>
      <c r="J27" s="1913">
        <f>IF(SUM(J29:J31)=0,"NO",SUM(J29:J31))</f>
        <v>27.866438910506268</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0.56526052017021233</v>
      </c>
      <c r="J29" s="3150">
        <v>14.63366812625627</v>
      </c>
      <c r="K29" s="3132"/>
      <c r="L29" s="3102" t="s">
        <v>2146</v>
      </c>
    </row>
    <row r="30" spans="2:12" ht="18" customHeight="1" x14ac:dyDescent="0.2">
      <c r="B30" s="2415" t="s">
        <v>378</v>
      </c>
      <c r="C30" s="2165" t="s">
        <v>2156</v>
      </c>
      <c r="D30" s="2165" t="s">
        <v>2155</v>
      </c>
      <c r="E30" s="691">
        <v>16496</v>
      </c>
      <c r="F30" s="1913" t="s">
        <v>2147</v>
      </c>
      <c r="G30" s="1913">
        <f t="shared" ref="G30" si="2">J30*1000000/$E30</f>
        <v>18.839160053952472</v>
      </c>
      <c r="H30" s="3148"/>
      <c r="I30" s="3150" t="s">
        <v>2147</v>
      </c>
      <c r="J30" s="3150">
        <v>0.31077078424999999</v>
      </c>
      <c r="K30" s="3132"/>
      <c r="L30" s="3102" t="s">
        <v>2146</v>
      </c>
    </row>
    <row r="31" spans="2:12" ht="18" customHeight="1" x14ac:dyDescent="0.2">
      <c r="B31" s="1242" t="s">
        <v>379</v>
      </c>
      <c r="C31" s="621"/>
      <c r="D31" s="621"/>
      <c r="E31" s="628"/>
      <c r="F31" s="628"/>
      <c r="G31" s="628"/>
      <c r="H31" s="3148"/>
      <c r="I31" s="1913" t="s">
        <v>2147</v>
      </c>
      <c r="J31" s="1913">
        <f>IF(SUM(J32:J34)=0,"NO",SUM(J32:J34))</f>
        <v>12.922000000000001</v>
      </c>
      <c r="K31" s="3132"/>
      <c r="L31" s="3149" t="str">
        <f>IF(SUM(L32:L34)=0,"NO",SUM(L32:L34))</f>
        <v>NO</v>
      </c>
    </row>
    <row r="32" spans="2:12" ht="18" customHeight="1" x14ac:dyDescent="0.2">
      <c r="B32" s="2592" t="s">
        <v>2173</v>
      </c>
      <c r="C32" s="310" t="s">
        <v>2172</v>
      </c>
      <c r="D32" s="310" t="s">
        <v>2172</v>
      </c>
      <c r="E32" s="2190">
        <v>8</v>
      </c>
      <c r="F32" s="3095" t="s">
        <v>2147</v>
      </c>
      <c r="G32" s="3095">
        <f t="shared" ref="G32:G33" si="3">J32*1000000/$E32</f>
        <v>554500</v>
      </c>
      <c r="H32" s="3148"/>
      <c r="I32" s="3150" t="s">
        <v>2147</v>
      </c>
      <c r="J32" s="3150">
        <v>4.4359999999999999</v>
      </c>
      <c r="K32" s="3132"/>
      <c r="L32" s="3102" t="s">
        <v>2146</v>
      </c>
    </row>
    <row r="33" spans="2:12" ht="18" customHeight="1" x14ac:dyDescent="0.2">
      <c r="B33" s="2592" t="s">
        <v>2174</v>
      </c>
      <c r="C33" s="277" t="s">
        <v>2172</v>
      </c>
      <c r="D33" s="277" t="s">
        <v>2172</v>
      </c>
      <c r="E33" s="691">
        <v>6</v>
      </c>
      <c r="F33" s="1913" t="s">
        <v>2147</v>
      </c>
      <c r="G33" s="1913">
        <f t="shared" si="3"/>
        <v>921000.00000000012</v>
      </c>
      <c r="H33" s="3096"/>
      <c r="I33" s="3147" t="s">
        <v>2147</v>
      </c>
      <c r="J33" s="3147">
        <v>5.5260000000000007</v>
      </c>
      <c r="K33" s="3046"/>
      <c r="L33" s="3093" t="s">
        <v>2146</v>
      </c>
    </row>
    <row r="34" spans="2:12" ht="18" customHeight="1" thickBot="1" x14ac:dyDescent="0.25">
      <c r="B34" s="2590" t="s">
        <v>2175</v>
      </c>
      <c r="C34" s="2591" t="s">
        <v>2172</v>
      </c>
      <c r="D34" s="2591" t="s">
        <v>2172</v>
      </c>
      <c r="E34" s="2912">
        <v>4</v>
      </c>
      <c r="F34" s="3157" t="s">
        <v>2147</v>
      </c>
      <c r="G34" s="3157">
        <f t="shared" ref="G34" si="4">J34*1000000/$E34</f>
        <v>740000</v>
      </c>
      <c r="H34" s="3158"/>
      <c r="I34" s="3159" t="s">
        <v>2147</v>
      </c>
      <c r="J34" s="3159">
        <v>2.96</v>
      </c>
      <c r="K34" s="3160"/>
      <c r="L34" s="3161" t="s">
        <v>2146</v>
      </c>
    </row>
    <row r="35" spans="2:12" ht="18" customHeight="1" x14ac:dyDescent="0.2">
      <c r="B35" s="1255" t="s">
        <v>380</v>
      </c>
      <c r="C35" s="2167"/>
      <c r="D35" s="2167"/>
      <c r="E35" s="3216"/>
      <c r="F35" s="3216"/>
      <c r="G35" s="3216"/>
      <c r="H35" s="3216"/>
      <c r="I35" s="3155">
        <f>IF(SUM(I36,I40)=0,"NO",SUM(I36,I40))</f>
        <v>8688.7993506694293</v>
      </c>
      <c r="J35" s="3067">
        <f>IF(SUM(J36,J40)=0,"NO",SUM(J36,J40))</f>
        <v>78.731025670373498</v>
      </c>
      <c r="K35" s="3067">
        <f>IF(SUM(K36,K40)=0,"NO",SUM(K36,K40))</f>
        <v>0.15264936290332259</v>
      </c>
      <c r="L35" s="3068" t="str">
        <f>IF(SUM(L36,L40)=0,"NO",SUM(L36,L40))</f>
        <v>NO</v>
      </c>
    </row>
    <row r="36" spans="2:12" ht="18" customHeight="1" x14ac:dyDescent="0.2">
      <c r="B36" s="1468" t="s">
        <v>381</v>
      </c>
      <c r="C36" s="2170"/>
      <c r="D36" s="2170"/>
      <c r="E36" s="3025"/>
      <c r="F36" s="3025"/>
      <c r="G36" s="3025"/>
      <c r="H36" s="3025"/>
      <c r="I36" s="3162">
        <f>IF(SUM(I37:I39)=0,"NO",SUM(I37:I39))</f>
        <v>4151.3574782694286</v>
      </c>
      <c r="J36" s="1913">
        <f>IF(SUM(J37:J39)=0,"NO",SUM(J37:J39))</f>
        <v>57.724561753468727</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5085.57700566931</v>
      </c>
      <c r="F39" s="1913">
        <f t="shared" ref="F39" si="5">SUM(I39,L39)*1000000/$E39</f>
        <v>816300.19044870813</v>
      </c>
      <c r="G39" s="1913">
        <f t="shared" ref="G39" si="6">J39*1000000/$E39</f>
        <v>11350.641567145365</v>
      </c>
      <c r="H39" s="1913">
        <f t="shared" ref="H39" si="7">K39*1000000/$E39</f>
        <v>0</v>
      </c>
      <c r="I39" s="691">
        <v>4151.3574782694286</v>
      </c>
      <c r="J39" s="691">
        <v>57.724561753468727</v>
      </c>
      <c r="K39" s="3132"/>
      <c r="L39" s="3093" t="s">
        <v>2146</v>
      </c>
    </row>
    <row r="40" spans="2:12" ht="18" customHeight="1" x14ac:dyDescent="0.2">
      <c r="B40" s="1468" t="s">
        <v>385</v>
      </c>
      <c r="C40" s="2170"/>
      <c r="D40" s="2170"/>
      <c r="E40" s="3025"/>
      <c r="F40" s="3025"/>
      <c r="G40" s="3025"/>
      <c r="H40" s="3025"/>
      <c r="I40" s="3162">
        <f>IF(SUM(I41:I43)=0,"NO",SUM(I41:I43))</f>
        <v>4537.4418723999997</v>
      </c>
      <c r="J40" s="3162">
        <f>IF(SUM(J41:J43)=0,"NO",SUM(J41:J43))</f>
        <v>21.006463916904764</v>
      </c>
      <c r="K40" s="1913">
        <f>IF(SUM(K41:K43)=0,"NO",SUM(K41:K43))</f>
        <v>0.15264936290332259</v>
      </c>
      <c r="L40" s="3065" t="str">
        <f>IF(SUM(L41:L43)=0,"NO",SUM(L41:L43))</f>
        <v>NO</v>
      </c>
    </row>
    <row r="41" spans="2:12" ht="18" customHeight="1" x14ac:dyDescent="0.2">
      <c r="B41" s="1470" t="s">
        <v>386</v>
      </c>
      <c r="C41" s="277" t="s">
        <v>2169</v>
      </c>
      <c r="D41" s="277" t="s">
        <v>2170</v>
      </c>
      <c r="E41" s="691">
        <v>435.12677300000001</v>
      </c>
      <c r="F41" s="1913">
        <f t="shared" ref="F41:F42" si="8">SUM(I41,L41)*1000000/$E41</f>
        <v>2899999.9999999995</v>
      </c>
      <c r="G41" s="1913">
        <f t="shared" ref="G41:H42" si="9">J41*1000000/$E41</f>
        <v>35000</v>
      </c>
      <c r="H41" s="1913">
        <f t="shared" si="9"/>
        <v>81.000000000000014</v>
      </c>
      <c r="I41" s="692">
        <v>1261.8676416999999</v>
      </c>
      <c r="J41" s="692">
        <v>15.229437055</v>
      </c>
      <c r="K41" s="692">
        <v>3.5245268613000008E-2</v>
      </c>
      <c r="L41" s="3156" t="s">
        <v>2146</v>
      </c>
    </row>
    <row r="42" spans="2:12" ht="18" customHeight="1" x14ac:dyDescent="0.2">
      <c r="B42" s="1470" t="s">
        <v>387</v>
      </c>
      <c r="C42" s="277" t="s">
        <v>2169</v>
      </c>
      <c r="D42" s="277" t="s">
        <v>2170</v>
      </c>
      <c r="E42" s="691">
        <v>70279.779910524798</v>
      </c>
      <c r="F42" s="1913">
        <f t="shared" si="8"/>
        <v>46607.633587786237</v>
      </c>
      <c r="G42" s="1913">
        <f t="shared" si="9"/>
        <v>82.200411971404307</v>
      </c>
      <c r="H42" s="1913">
        <f t="shared" si="9"/>
        <v>1.6705245013543457</v>
      </c>
      <c r="I42" s="691">
        <v>3275.5742306999996</v>
      </c>
      <c r="J42" s="691">
        <v>5.7770268619047629</v>
      </c>
      <c r="K42" s="691">
        <v>0.1174040942903226</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41.93063837651448</v>
      </c>
      <c r="M9" s="3358">
        <f>100*C10/SUM(C10,'Table1.A(a)s3'!C16)</f>
        <v>58.06936162348552</v>
      </c>
    </row>
    <row r="10" spans="1:13" ht="18" customHeight="1" thickTop="1" thickBot="1" x14ac:dyDescent="0.25">
      <c r="B10" s="223" t="s">
        <v>430</v>
      </c>
      <c r="C10" s="3338">
        <f>IF(SUM(C11:C13)=0,"NO",SUM(C11:C13))</f>
        <v>169857.24014100101</v>
      </c>
      <c r="D10" s="3339"/>
      <c r="E10" s="3340"/>
      <c r="F10" s="3340"/>
      <c r="G10" s="3338">
        <f>IF(SUM(G11:G13)=0,"NO",SUM(G11:G13))</f>
        <v>11822.063913813647</v>
      </c>
      <c r="H10" s="3338">
        <f>IF(SUM(H11:H13)=0,"NO",SUM(H11:H13))</f>
        <v>2.7569979230769232E-2</v>
      </c>
      <c r="I10" s="1154">
        <f>IF(SUM(I11:I13)=0,"NO",SUM(I11:I13))</f>
        <v>6.0033438284745083E-2</v>
      </c>
      <c r="J10" s="4"/>
      <c r="K10" s="68" t="s">
        <v>431</v>
      </c>
      <c r="L10" s="3359">
        <f>100-M10</f>
        <v>42.713258539999025</v>
      </c>
      <c r="M10" s="3360">
        <f>100*C14/SUM(C14,'Table1.A(a)s3'!C88)</f>
        <v>57.286741460000975</v>
      </c>
    </row>
    <row r="11" spans="1:13" ht="18" customHeight="1" x14ac:dyDescent="0.2">
      <c r="B11" s="1258" t="s">
        <v>178</v>
      </c>
      <c r="C11" s="3341">
        <v>169857.24014100101</v>
      </c>
      <c r="D11" s="116">
        <f>IF(G11="NO","NA",G11*1000/$C11)</f>
        <v>69.599999999999866</v>
      </c>
      <c r="E11" s="116">
        <f t="shared" ref="E11:F13" si="0">IF(H11="NO","NA",H11*1000000/$C11)</f>
        <v>0.16231265271873596</v>
      </c>
      <c r="F11" s="116">
        <f t="shared" si="0"/>
        <v>0.35343467393506711</v>
      </c>
      <c r="G11" s="3062">
        <v>11822.063913813647</v>
      </c>
      <c r="H11" s="3062">
        <v>2.7569979230769232E-2</v>
      </c>
      <c r="I11" s="3063">
        <v>6.0033438284745083E-2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30629.968000000001</v>
      </c>
      <c r="D14" s="3348"/>
      <c r="E14" s="3349"/>
      <c r="F14" s="3350"/>
      <c r="G14" s="3347">
        <f>IF(SUM(G15:G18,G20:G22)=0,"NO",SUM(G15:G18,G20:G22))</f>
        <v>2245.1156448000011</v>
      </c>
      <c r="H14" s="3347">
        <f>IF(SUM(H15:H18,H20:H22)=0,"NO",SUM(H15:H18,H20:H22))</f>
        <v>0.21440977600000011</v>
      </c>
      <c r="I14" s="1155">
        <f>IF(SUM(I15:I18,I20:I22)=0,"NO",SUM(I15:I18,I20:I22))</f>
        <v>6.1259936000000022E-2</v>
      </c>
      <c r="J14" s="4"/>
      <c r="K14" s="1047"/>
      <c r="L14" s="1047"/>
      <c r="M14" s="1047"/>
    </row>
    <row r="15" spans="1:13" ht="18" customHeight="1" x14ac:dyDescent="0.2">
      <c r="B15" s="1260" t="s">
        <v>190</v>
      </c>
      <c r="C15" s="143">
        <v>28129.968000000001</v>
      </c>
      <c r="D15" s="116">
        <f>IF(G15="NO","NA",G15*1000/$C15)</f>
        <v>73.600000000000037</v>
      </c>
      <c r="E15" s="116">
        <f t="shared" ref="E15:F17" si="1">IF(H15="NO","NA",H15*1000000/$C15)</f>
        <v>7.0000000000000036</v>
      </c>
      <c r="F15" s="116">
        <f t="shared" si="1"/>
        <v>2.0000000000000009</v>
      </c>
      <c r="G15" s="3064">
        <v>2070.3656448000011</v>
      </c>
      <c r="H15" s="3064">
        <v>0.19690977600000009</v>
      </c>
      <c r="I15" s="135">
        <v>5.6259936000000024E-2</v>
      </c>
      <c r="J15" s="4"/>
      <c r="K15" s="1047"/>
      <c r="L15" s="1047"/>
      <c r="M15" s="1047"/>
    </row>
    <row r="16" spans="1:13" ht="18" customHeight="1" x14ac:dyDescent="0.2">
      <c r="B16" s="1260" t="s">
        <v>191</v>
      </c>
      <c r="C16" s="3351">
        <v>2500</v>
      </c>
      <c r="D16" s="116">
        <f>IF(G16="NO","NA",G16*1000/$C16)</f>
        <v>69.899999999999991</v>
      </c>
      <c r="E16" s="116">
        <f t="shared" si="1"/>
        <v>7</v>
      </c>
      <c r="F16" s="116">
        <f t="shared" si="1"/>
        <v>1.9999999999999996</v>
      </c>
      <c r="G16" s="3064">
        <v>174.74999999999997</v>
      </c>
      <c r="H16" s="3064">
        <v>1.7500000000000002E-2</v>
      </c>
      <c r="I16" s="135">
        <v>4.9999999999999992E-3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19396.344947431895</v>
      </c>
      <c r="D10" s="2913">
        <f t="shared" ref="D10:N10" si="0">IF(SUM(D11,D16,D27,D35,D39,D45,D52,D57)=0,"NO",SUM(D11,D16,D27,D35,D39,D45,D52,D57))</f>
        <v>2.7469845446239813</v>
      </c>
      <c r="E10" s="2913">
        <f t="shared" si="0"/>
        <v>5.2365326693917149</v>
      </c>
      <c r="F10" s="2913">
        <f t="shared" si="0"/>
        <v>9343.4630293335158</v>
      </c>
      <c r="G10" s="2913">
        <f t="shared" si="0"/>
        <v>154.06023702200318</v>
      </c>
      <c r="H10" s="2913" t="str">
        <f t="shared" si="0"/>
        <v>NO</v>
      </c>
      <c r="I10" s="2913">
        <f t="shared" si="0"/>
        <v>5.095269989652507E-3</v>
      </c>
      <c r="J10" s="2913" t="str">
        <f t="shared" si="0"/>
        <v>NO</v>
      </c>
      <c r="K10" s="2913">
        <f t="shared" si="0"/>
        <v>6.5713082321206127</v>
      </c>
      <c r="L10" s="2914">
        <f t="shared" si="0"/>
        <v>15.714496325144697</v>
      </c>
      <c r="M10" s="2915">
        <f t="shared" si="0"/>
        <v>240.72054056939055</v>
      </c>
      <c r="N10" s="2916">
        <f t="shared" si="0"/>
        <v>1723.3458751271651</v>
      </c>
      <c r="O10" s="3020">
        <f t="shared" ref="O10:O58" si="1">IF(SUM(C10:J10)=0,"NO",SUM(C10,F10:H10)+28*SUM(D10)+265*SUM(E10)+23500*SUM(I10)+16100*SUM(J10))</f>
        <v>30478.203783182526</v>
      </c>
    </row>
    <row r="11" spans="1:15" ht="18" customHeight="1" x14ac:dyDescent="0.2">
      <c r="B11" s="1263" t="s">
        <v>444</v>
      </c>
      <c r="C11" s="2137">
        <f>IF(SUM(C12:C15)=0,"NO",SUM(C12:C15))</f>
        <v>5878.5662145273818</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5878.5662145273818</v>
      </c>
    </row>
    <row r="12" spans="1:15" ht="18" customHeight="1" x14ac:dyDescent="0.2">
      <c r="B12" s="1264" t="s">
        <v>445</v>
      </c>
      <c r="C12" s="2920">
        <f>'Table2(I).A-H'!H11</f>
        <v>3076.1562267328004</v>
      </c>
      <c r="D12" s="2136"/>
      <c r="E12" s="2136"/>
      <c r="F12" s="628"/>
      <c r="G12" s="628"/>
      <c r="H12" s="2135"/>
      <c r="I12" s="628"/>
      <c r="J12" s="2135"/>
      <c r="K12" s="2135"/>
      <c r="L12" s="2135"/>
      <c r="M12" s="2135"/>
      <c r="N12" s="2919" t="s">
        <v>2146</v>
      </c>
      <c r="O12" s="2934">
        <f t="shared" si="1"/>
        <v>3076.1562267328004</v>
      </c>
    </row>
    <row r="13" spans="1:15" ht="18" customHeight="1" x14ac:dyDescent="0.2">
      <c r="B13" s="1264" t="s">
        <v>446</v>
      </c>
      <c r="C13" s="1878">
        <f>'Table2(I).A-H'!H12</f>
        <v>1169.1236612726327</v>
      </c>
      <c r="D13" s="2108"/>
      <c r="E13" s="2108"/>
      <c r="F13" s="628"/>
      <c r="G13" s="628"/>
      <c r="H13" s="2135"/>
      <c r="I13" s="628"/>
      <c r="J13" s="2135"/>
      <c r="K13" s="628"/>
      <c r="L13" s="628"/>
      <c r="M13" s="628"/>
      <c r="N13" s="1838"/>
      <c r="O13" s="1880">
        <f t="shared" si="1"/>
        <v>1169.1236612726327</v>
      </c>
    </row>
    <row r="14" spans="1:15" ht="18" customHeight="1" x14ac:dyDescent="0.2">
      <c r="B14" s="1264" t="s">
        <v>447</v>
      </c>
      <c r="C14" s="1878">
        <f>'Table2(I).A-H'!H13</f>
        <v>79.168489094357</v>
      </c>
      <c r="D14" s="2108"/>
      <c r="E14" s="2108"/>
      <c r="F14" s="628"/>
      <c r="G14" s="628"/>
      <c r="H14" s="2135"/>
      <c r="I14" s="628"/>
      <c r="J14" s="2135"/>
      <c r="K14" s="628"/>
      <c r="L14" s="628"/>
      <c r="M14" s="628"/>
      <c r="N14" s="1838"/>
      <c r="O14" s="1880">
        <f t="shared" si="1"/>
        <v>79.168489094357</v>
      </c>
    </row>
    <row r="15" spans="1:15" ht="18" customHeight="1" thickBot="1" x14ac:dyDescent="0.25">
      <c r="B15" s="1264" t="s">
        <v>448</v>
      </c>
      <c r="C15" s="1878">
        <f>'Table2(I).A-H'!H14</f>
        <v>1554.1178374275917</v>
      </c>
      <c r="D15" s="1879"/>
      <c r="E15" s="1879"/>
      <c r="F15" s="3021"/>
      <c r="G15" s="3021"/>
      <c r="H15" s="3021"/>
      <c r="I15" s="3021"/>
      <c r="J15" s="3021"/>
      <c r="K15" s="2606" t="s">
        <v>2146</v>
      </c>
      <c r="L15" s="2606" t="s">
        <v>2146</v>
      </c>
      <c r="M15" s="2606" t="s">
        <v>2146</v>
      </c>
      <c r="N15" s="2607" t="s">
        <v>2146</v>
      </c>
      <c r="O15" s="1880">
        <f t="shared" si="1"/>
        <v>1554.1178374275917</v>
      </c>
    </row>
    <row r="16" spans="1:15" ht="18" customHeight="1" x14ac:dyDescent="0.2">
      <c r="B16" s="1265" t="s">
        <v>449</v>
      </c>
      <c r="C16" s="2137">
        <f>IF(SUM(C17:C26)=0,"NO",SUM(C17:C26))</f>
        <v>3219.2235632975812</v>
      </c>
      <c r="D16" s="2137">
        <f t="shared" ref="D16:N16" si="3">IF(SUM(D17:D26)=0,"NO",SUM(D17:D26))</f>
        <v>0.57776359999999993</v>
      </c>
      <c r="E16" s="2137">
        <f t="shared" si="3"/>
        <v>5.1857166552448222</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4609.615857737459</v>
      </c>
    </row>
    <row r="17" spans="2:15" ht="18" customHeight="1" x14ac:dyDescent="0.2">
      <c r="B17" s="1266" t="s">
        <v>450</v>
      </c>
      <c r="C17" s="2920">
        <f>SUM('Table2(I).A-H'!H23,'Table2(I).A-H'!K23:L23)</f>
        <v>2432.6428142567534</v>
      </c>
      <c r="D17" s="2139" t="str">
        <f>'Table2(I).A-H'!I23</f>
        <v>NO</v>
      </c>
      <c r="E17" s="2139" t="str">
        <f>'Table2(I).A-H'!J23</f>
        <v>NO</v>
      </c>
      <c r="F17" s="2135"/>
      <c r="G17" s="2135"/>
      <c r="H17" s="2135"/>
      <c r="I17" s="2135"/>
      <c r="J17" s="2135"/>
      <c r="K17" s="692" t="s">
        <v>2146</v>
      </c>
      <c r="L17" s="692" t="s">
        <v>2146</v>
      </c>
      <c r="M17" s="692" t="s">
        <v>2146</v>
      </c>
      <c r="N17" s="692" t="s">
        <v>2146</v>
      </c>
      <c r="O17" s="2934">
        <f t="shared" si="1"/>
        <v>2432.6428142567534</v>
      </c>
    </row>
    <row r="18" spans="2:15" ht="18" customHeight="1" x14ac:dyDescent="0.2">
      <c r="B18" s="1264" t="s">
        <v>451</v>
      </c>
      <c r="C18" s="1910"/>
      <c r="D18" s="2136"/>
      <c r="E18" s="2139">
        <f>'Table2(I).A-H'!J24</f>
        <v>5.1857166552448222</v>
      </c>
      <c r="F18" s="628"/>
      <c r="G18" s="628"/>
      <c r="H18" s="2135"/>
      <c r="I18" s="628"/>
      <c r="J18" s="2135"/>
      <c r="K18" s="692" t="s">
        <v>2146</v>
      </c>
      <c r="L18" s="628"/>
      <c r="M18" s="628"/>
      <c r="N18" s="1838"/>
      <c r="O18" s="2934">
        <f t="shared" si="1"/>
        <v>1374.214913639878</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718.27835420182498</v>
      </c>
      <c r="D22" s="1914"/>
      <c r="E22" s="628"/>
      <c r="F22" s="628"/>
      <c r="G22" s="628"/>
      <c r="H22" s="2135"/>
      <c r="I22" s="628"/>
      <c r="J22" s="2135"/>
      <c r="K22" s="1914"/>
      <c r="L22" s="1914"/>
      <c r="M22" s="1914"/>
      <c r="N22" s="2921"/>
      <c r="O22" s="1880">
        <f t="shared" si="1"/>
        <v>718.27835420182498</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48.294806000000001</v>
      </c>
      <c r="D24" s="1878">
        <f>'Table2(I).A-H'!I35</f>
        <v>0.57776359999999993</v>
      </c>
      <c r="E24" s="628"/>
      <c r="F24" s="628"/>
      <c r="G24" s="628"/>
      <c r="H24" s="2135"/>
      <c r="I24" s="628"/>
      <c r="J24" s="2135"/>
      <c r="K24" s="692" t="s">
        <v>2146</v>
      </c>
      <c r="L24" s="692" t="s">
        <v>2146</v>
      </c>
      <c r="M24" s="691">
        <v>2.8425606806999988</v>
      </c>
      <c r="N24" s="692" t="s">
        <v>2146</v>
      </c>
      <c r="O24" s="1880">
        <f t="shared" si="1"/>
        <v>64.472186800000003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20.007588839002906</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20.007588839002906</v>
      </c>
    </row>
    <row r="27" spans="2:15" ht="18" customHeight="1" x14ac:dyDescent="0.2">
      <c r="B27" s="1263" t="s">
        <v>459</v>
      </c>
      <c r="C27" s="2137">
        <f>IF(SUM(C28:C34)=0,"NO",SUM(C28:C34))</f>
        <v>9863.6965812133349</v>
      </c>
      <c r="D27" s="2137">
        <f t="shared" ref="D27:N27" si="4">IF(SUM(D28:D34)=0,"NO",SUM(D28:D34))</f>
        <v>2.1692209446239814</v>
      </c>
      <c r="E27" s="2137">
        <f t="shared" si="4"/>
        <v>5.0816014146892859E-2</v>
      </c>
      <c r="F27" s="2138" t="str">
        <f t="shared" si="4"/>
        <v>NO</v>
      </c>
      <c r="G27" s="2138">
        <f t="shared" si="4"/>
        <v>154.06023702200318</v>
      </c>
      <c r="H27" s="2138" t="str">
        <f t="shared" si="4"/>
        <v>NO</v>
      </c>
      <c r="I27" s="2138" t="str">
        <f t="shared" si="4"/>
        <v>NO</v>
      </c>
      <c r="J27" s="2138" t="str">
        <f t="shared" si="4"/>
        <v>NO</v>
      </c>
      <c r="K27" s="2137">
        <f t="shared" si="4"/>
        <v>6.5713082321206127</v>
      </c>
      <c r="L27" s="2137">
        <f t="shared" si="4"/>
        <v>15.714496325144697</v>
      </c>
      <c r="M27" s="2917">
        <f t="shared" si="4"/>
        <v>6.1874797006858571E-2</v>
      </c>
      <c r="N27" s="2918">
        <f t="shared" si="4"/>
        <v>1723.3458751271651</v>
      </c>
      <c r="O27" s="2941">
        <f t="shared" si="1"/>
        <v>10091.961248433736</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2474.8368193846891</v>
      </c>
      <c r="D30" s="1879"/>
      <c r="E30" s="628"/>
      <c r="F30" s="628"/>
      <c r="G30" s="2140">
        <f>SUM('Table2(II)'!X41:Y41)</f>
        <v>154.06023702200318</v>
      </c>
      <c r="H30" s="2136"/>
      <c r="I30" s="2142" t="s">
        <v>2146</v>
      </c>
      <c r="J30" s="2135"/>
      <c r="K30" s="691" t="s">
        <v>2147</v>
      </c>
      <c r="L30" s="691" t="s">
        <v>2147</v>
      </c>
      <c r="M30" s="691" t="s">
        <v>2147</v>
      </c>
      <c r="N30" s="2911">
        <v>42.116992400000001</v>
      </c>
      <c r="O30" s="1880">
        <f t="shared" si="1"/>
        <v>2628.8970564066922</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7388.8597618286458</v>
      </c>
      <c r="D34" s="1881">
        <f>'Table2(I).A-H'!I67</f>
        <v>2.1692209446239814</v>
      </c>
      <c r="E34" s="1881">
        <f>'Table2(I).A-H'!J67</f>
        <v>5.0816014146892859E-2</v>
      </c>
      <c r="F34" s="2146" t="s">
        <v>2146</v>
      </c>
      <c r="G34" s="2146" t="s">
        <v>2146</v>
      </c>
      <c r="H34" s="2146" t="s">
        <v>2146</v>
      </c>
      <c r="I34" s="2146" t="s">
        <v>2146</v>
      </c>
      <c r="J34" s="2146" t="s">
        <v>2146</v>
      </c>
      <c r="K34" s="2606">
        <v>6.5713082321206127</v>
      </c>
      <c r="L34" s="2606">
        <v>15.714496325144697</v>
      </c>
      <c r="M34" s="2606">
        <v>6.1874797006858571E-2</v>
      </c>
      <c r="N34" s="2607">
        <v>1681.228882727165</v>
      </c>
      <c r="O34" s="1882">
        <f t="shared" si="1"/>
        <v>7463.0641920270446</v>
      </c>
    </row>
    <row r="35" spans="2:15" ht="18" customHeight="1" x14ac:dyDescent="0.2">
      <c r="B35" s="2470" t="s">
        <v>2014</v>
      </c>
      <c r="C35" s="2920">
        <f>IF(SUM(C36:C38)=0,"NO",SUM(C36:C38))</f>
        <v>219.12651274499999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187.36926141421932</v>
      </c>
      <c r="N35" s="2048" t="str">
        <f t="shared" ref="N35" si="7">IF(SUM(N36:N38)=0,"NO",SUM(N36:N38))</f>
        <v>NO</v>
      </c>
      <c r="O35" s="2934">
        <f t="shared" si="1"/>
        <v>219.12651274499999</v>
      </c>
    </row>
    <row r="36" spans="2:15" ht="18" customHeight="1" x14ac:dyDescent="0.2">
      <c r="B36" s="1270" t="s">
        <v>466</v>
      </c>
      <c r="C36" s="1878">
        <f>'Table2(I).A-H'!H73</f>
        <v>219.12651274499999</v>
      </c>
      <c r="D36" s="2140" t="str">
        <f>'Table2(I).A-H'!I73</f>
        <v>NO</v>
      </c>
      <c r="E36" s="2140" t="str">
        <f>'Table2(I).A-H'!J73</f>
        <v>NO</v>
      </c>
      <c r="F36" s="628"/>
      <c r="G36" s="628"/>
      <c r="H36" s="2135"/>
      <c r="I36" s="628"/>
      <c r="J36" s="2135"/>
      <c r="K36" s="2147" t="s">
        <v>2147</v>
      </c>
      <c r="L36" s="2147" t="s">
        <v>2147</v>
      </c>
      <c r="M36" s="691" t="s">
        <v>2147</v>
      </c>
      <c r="N36" s="2141" t="s">
        <v>2147</v>
      </c>
      <c r="O36" s="1880">
        <f t="shared" si="1"/>
        <v>219.12651274499999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187.36926141421932</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9343.4630293335158</v>
      </c>
      <c r="G45" s="2137" t="str">
        <f t="shared" ref="G45:J45" si="9">IF(SUM(G46:G51)=0,"NO",SUM(G46:G51))</f>
        <v>NO</v>
      </c>
      <c r="H45" s="2920" t="str">
        <f t="shared" si="9"/>
        <v>NO</v>
      </c>
      <c r="I45" s="2920" t="str">
        <f t="shared" si="9"/>
        <v>NO</v>
      </c>
      <c r="J45" s="2139" t="str">
        <f t="shared" si="9"/>
        <v>NO</v>
      </c>
      <c r="K45" s="1929"/>
      <c r="L45" s="1929"/>
      <c r="M45" s="1929"/>
      <c r="N45" s="2153"/>
      <c r="O45" s="2941">
        <f t="shared" si="1"/>
        <v>9343.4630293335158</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8929.0844159680291</v>
      </c>
      <c r="G46" s="1878" t="s">
        <v>2146</v>
      </c>
      <c r="H46" s="1878" t="s">
        <v>2146</v>
      </c>
      <c r="I46" s="1878" t="s">
        <v>2146</v>
      </c>
      <c r="J46" s="2139" t="str">
        <f t="shared" ref="J46" si="10">IF(SUM(J47:J52)=0,"NO",SUM(J47:J52))</f>
        <v>NO</v>
      </c>
      <c r="K46" s="628"/>
      <c r="L46" s="628"/>
      <c r="M46" s="628"/>
      <c r="N46" s="1838"/>
      <c r="O46" s="1880">
        <f t="shared" si="1"/>
        <v>8929.0844159680291</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101.94459624832076</v>
      </c>
      <c r="G47" s="1878" t="s">
        <v>2146</v>
      </c>
      <c r="H47" s="1878" t="s">
        <v>2146</v>
      </c>
      <c r="I47" s="1878" t="s">
        <v>2146</v>
      </c>
      <c r="J47" s="2139" t="str">
        <f t="shared" ref="J47" si="11">IF(SUM(J48:J53)=0,"NO",SUM(J48:J53))</f>
        <v>NO</v>
      </c>
      <c r="K47" s="628"/>
      <c r="L47" s="628"/>
      <c r="M47" s="628"/>
      <c r="N47" s="1838"/>
      <c r="O47" s="1880">
        <f t="shared" si="1"/>
        <v>101.94459624832076</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68.128559965542323</v>
      </c>
      <c r="G48" s="1878" t="s">
        <v>2146</v>
      </c>
      <c r="H48" s="1878" t="s">
        <v>2146</v>
      </c>
      <c r="I48" s="1878" t="s">
        <v>2146</v>
      </c>
      <c r="J48" s="2139" t="str">
        <f t="shared" ref="J48" si="12">IF(SUM(J49:J54)=0,"NO",SUM(J49:J54))</f>
        <v>NO</v>
      </c>
      <c r="K48" s="628"/>
      <c r="L48" s="628"/>
      <c r="M48" s="628"/>
      <c r="N48" s="1838"/>
      <c r="O48" s="1880">
        <f t="shared" si="1"/>
        <v>68.128559965542323</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126.00990524770778</v>
      </c>
      <c r="G49" s="1878" t="s">
        <v>2146</v>
      </c>
      <c r="H49" s="1878" t="s">
        <v>2146</v>
      </c>
      <c r="I49" s="1878" t="s">
        <v>2146</v>
      </c>
      <c r="J49" s="2139" t="str">
        <f t="shared" ref="J49" si="13">IF(SUM(J50:J55)=0,"NO",SUM(J50:J55))</f>
        <v>NO</v>
      </c>
      <c r="K49" s="628"/>
      <c r="L49" s="628"/>
      <c r="M49" s="628"/>
      <c r="N49" s="1838"/>
      <c r="O49" s="1880">
        <f t="shared" si="1"/>
        <v>126.00990524770778</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118.2955519039174</v>
      </c>
      <c r="G50" s="1878" t="s">
        <v>2146</v>
      </c>
      <c r="H50" s="1878" t="s">
        <v>2146</v>
      </c>
      <c r="I50" s="1878" t="s">
        <v>2146</v>
      </c>
      <c r="J50" s="2139" t="str">
        <f t="shared" ref="J50" si="14">IF(SUM(J51:J56)=0,"NO",SUM(J51:J56))</f>
        <v>NO</v>
      </c>
      <c r="K50" s="628"/>
      <c r="L50" s="628"/>
      <c r="M50" s="628"/>
      <c r="N50" s="1838"/>
      <c r="O50" s="1880">
        <f t="shared" si="1"/>
        <v>118.2955519039174</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5.095269989652507E-3</v>
      </c>
      <c r="J52" s="2139" t="str">
        <f t="shared" si="16"/>
        <v>NO</v>
      </c>
      <c r="K52" s="2139" t="str">
        <f t="shared" si="16"/>
        <v>NO</v>
      </c>
      <c r="L52" s="2139" t="str">
        <f t="shared" si="16"/>
        <v>NO</v>
      </c>
      <c r="M52" s="2139" t="str">
        <f t="shared" si="16"/>
        <v>NO</v>
      </c>
      <c r="N52" s="2048" t="str">
        <f t="shared" si="16"/>
        <v>NO</v>
      </c>
      <c r="O52" s="2934">
        <f t="shared" si="1"/>
        <v>119.73884475683391</v>
      </c>
    </row>
    <row r="53" spans="2:15" ht="18" customHeight="1" x14ac:dyDescent="0.2">
      <c r="B53" s="1270" t="s">
        <v>481</v>
      </c>
      <c r="C53" s="2135"/>
      <c r="D53" s="2135"/>
      <c r="E53" s="2135"/>
      <c r="F53" s="2920" t="s">
        <v>2146</v>
      </c>
      <c r="G53" s="2920" t="s">
        <v>2146</v>
      </c>
      <c r="H53" s="2920" t="s">
        <v>2146</v>
      </c>
      <c r="I53" s="2920">
        <f>SUM('Table2(II).B-Hs2'!J163:M163)/1000</f>
        <v>4.2711563095431367E-3</v>
      </c>
      <c r="J53" s="2920" t="s">
        <v>2146</v>
      </c>
      <c r="K53" s="2135"/>
      <c r="L53" s="2135"/>
      <c r="M53" s="2135"/>
      <c r="N53" s="2149"/>
      <c r="O53" s="2934">
        <f t="shared" si="1"/>
        <v>100.37217327426372</v>
      </c>
    </row>
    <row r="54" spans="2:15" ht="18" customHeight="1" x14ac:dyDescent="0.2">
      <c r="B54" s="1270" t="s">
        <v>482</v>
      </c>
      <c r="C54" s="2135"/>
      <c r="D54" s="2135"/>
      <c r="E54" s="2135"/>
      <c r="F54" s="2135"/>
      <c r="G54" s="2920" t="s">
        <v>2146</v>
      </c>
      <c r="H54" s="3025"/>
      <c r="I54" s="2920">
        <f>SUM('Table2(II).B-Hs2'!J165:M165)/1000</f>
        <v>8.241136801093702E-4</v>
      </c>
      <c r="J54" s="2135"/>
      <c r="K54" s="2135"/>
      <c r="L54" s="2135"/>
      <c r="M54" s="2135"/>
      <c r="N54" s="2149"/>
      <c r="O54" s="2934">
        <f t="shared" si="1"/>
        <v>19.366671482570201</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215.73207564860138</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50.446843677464372</v>
      </c>
      <c r="N57" s="2073" t="str">
        <f>N58</f>
        <v>NA</v>
      </c>
      <c r="O57" s="2941">
        <f t="shared" si="1"/>
        <v>215.73207564860138</v>
      </c>
    </row>
    <row r="58" spans="2:15" ht="18" customHeight="1" thickBot="1" x14ac:dyDescent="0.25">
      <c r="B58" s="2596" t="s">
        <v>2180</v>
      </c>
      <c r="C58" s="2500">
        <f>'Table2(I).A-H'!H97</f>
        <v>215.73207564860138</v>
      </c>
      <c r="D58" s="2500" t="str">
        <f>'Table2(I).A-H'!I97</f>
        <v>NO</v>
      </c>
      <c r="E58" s="2500" t="str">
        <f>'Table2(I).A-H'!J97</f>
        <v>NO</v>
      </c>
      <c r="F58" s="2500" t="s">
        <v>2146</v>
      </c>
      <c r="G58" s="2500" t="s">
        <v>2146</v>
      </c>
      <c r="H58" s="2500" t="s">
        <v>2146</v>
      </c>
      <c r="I58" s="2500" t="s">
        <v>2146</v>
      </c>
      <c r="J58" s="2500" t="s">
        <v>2146</v>
      </c>
      <c r="K58" s="2912" t="s">
        <v>2147</v>
      </c>
      <c r="L58" s="2912" t="s">
        <v>2147</v>
      </c>
      <c r="M58" s="2912">
        <v>50.446843677464372</v>
      </c>
      <c r="N58" s="2922" t="s">
        <v>2147</v>
      </c>
      <c r="O58" s="2925">
        <f t="shared" si="1"/>
        <v>215.73207564860138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37.663834716425654</v>
      </c>
      <c r="D10" s="2044">
        <f t="shared" ref="D10:X10" si="0">IF(SUM(D11,D16,D20,D26,D33,D37)=0,"NO",SUM(D11,D16,D20,D26,D33,D37))</f>
        <v>362.90220198337607</v>
      </c>
      <c r="E10" s="2044" t="str">
        <f t="shared" si="0"/>
        <v>NO</v>
      </c>
      <c r="F10" s="2044" t="str">
        <f t="shared" si="0"/>
        <v>NO</v>
      </c>
      <c r="G10" s="2044">
        <f t="shared" si="0"/>
        <v>847.67729001103419</v>
      </c>
      <c r="H10" s="2044">
        <f t="shared" si="0"/>
        <v>1.8682964699214968</v>
      </c>
      <c r="I10" s="2044">
        <f t="shared" si="0"/>
        <v>2303.2552556767214</v>
      </c>
      <c r="J10" s="2044" t="str">
        <f t="shared" si="0"/>
        <v>NO</v>
      </c>
      <c r="K10" s="2044">
        <f t="shared" si="0"/>
        <v>554.25441119104084</v>
      </c>
      <c r="L10" s="2044" t="str">
        <f t="shared" si="0"/>
        <v>NO</v>
      </c>
      <c r="M10" s="2044">
        <f t="shared" si="0"/>
        <v>83.280145871631547</v>
      </c>
      <c r="N10" s="2044" t="str">
        <f t="shared" si="0"/>
        <v>NO</v>
      </c>
      <c r="O10" s="2044">
        <f t="shared" si="0"/>
        <v>34.398708890048511</v>
      </c>
      <c r="P10" s="2044" t="str">
        <f t="shared" si="0"/>
        <v>NO</v>
      </c>
      <c r="Q10" s="2044" t="str">
        <f t="shared" si="0"/>
        <v>NO</v>
      </c>
      <c r="R10" s="2044">
        <f t="shared" si="0"/>
        <v>2.8363887096935723</v>
      </c>
      <c r="S10" s="2044" t="str">
        <f t="shared" si="0"/>
        <v>NO</v>
      </c>
      <c r="T10" s="2044">
        <f t="shared" si="0"/>
        <v>96.773239712822672</v>
      </c>
      <c r="U10" s="2044">
        <f t="shared" si="0"/>
        <v>67.46655851167985</v>
      </c>
      <c r="V10" s="2045" t="str">
        <f t="shared" si="0"/>
        <v>NO</v>
      </c>
      <c r="W10" s="2046"/>
      <c r="X10" s="2044">
        <f t="shared" si="0"/>
        <v>19.385565896751203</v>
      </c>
      <c r="Y10" s="2044">
        <f t="shared" ref="Y10" si="1">IF(SUM(Y11,Y16,Y20,Y26,Y33,Y37)=0,"NO",SUM(Y11,Y16,Y20,Y26,Y33,Y37))</f>
        <v>2.3003545159047469</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5.0952699896525067</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19.385565896751203</v>
      </c>
      <c r="Y16" s="2050">
        <f t="shared" ref="Y16" si="35">IF(SUM(Y17:Y19)=0,"NO",SUM(Y17:Y19))</f>
        <v>2.3003545159047469</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19.385565896751203</v>
      </c>
      <c r="Y17" s="2050">
        <f>'Table2(II).B-Hs1'!G26</f>
        <v>2.3003545159047469</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37.663834716425654</v>
      </c>
      <c r="D26" s="2069">
        <f t="shared" ref="D26:AK26" si="58">IF(SUM(D27:D32)=0,"NO",SUM(D27:D32))</f>
        <v>362.90220198337607</v>
      </c>
      <c r="E26" s="2069" t="str">
        <f t="shared" si="58"/>
        <v>NO</v>
      </c>
      <c r="F26" s="2069" t="str">
        <f t="shared" si="58"/>
        <v>NO</v>
      </c>
      <c r="G26" s="2069">
        <f t="shared" si="58"/>
        <v>847.67729001103419</v>
      </c>
      <c r="H26" s="2069">
        <f t="shared" si="58"/>
        <v>1.8682964699214968</v>
      </c>
      <c r="I26" s="2069">
        <f t="shared" si="58"/>
        <v>2303.2552556767214</v>
      </c>
      <c r="J26" s="2069" t="str">
        <f t="shared" si="58"/>
        <v>NO</v>
      </c>
      <c r="K26" s="2069">
        <f t="shared" si="58"/>
        <v>554.25441119104084</v>
      </c>
      <c r="L26" s="2069" t="str">
        <f t="shared" si="58"/>
        <v>NO</v>
      </c>
      <c r="M26" s="2069">
        <f t="shared" si="58"/>
        <v>83.280145871631547</v>
      </c>
      <c r="N26" s="2069" t="str">
        <f t="shared" si="58"/>
        <v>NO</v>
      </c>
      <c r="O26" s="2069">
        <f t="shared" si="58"/>
        <v>34.398708890048511</v>
      </c>
      <c r="P26" s="2069" t="str">
        <f t="shared" si="58"/>
        <v>NO</v>
      </c>
      <c r="Q26" s="2069" t="str">
        <f t="shared" si="58"/>
        <v>NO</v>
      </c>
      <c r="R26" s="2069">
        <f t="shared" si="58"/>
        <v>2.8363887096935723</v>
      </c>
      <c r="S26" s="2069" t="str">
        <f t="shared" si="58"/>
        <v>NO</v>
      </c>
      <c r="T26" s="2069">
        <f t="shared" si="58"/>
        <v>96.773239712822672</v>
      </c>
      <c r="U26" s="2069">
        <f t="shared" si="58"/>
        <v>67.46655851167985</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35.99345965796806</v>
      </c>
      <c r="D27" s="2044">
        <f>IF(SUM('Table2(II).B-Hs2'!J14:M14,'Table2(II).B-Hs2'!J27:M27,'Table2(II).B-Hs2'!J40:M40,'Table2(II).B-Hs2'!J53:M53,'Table2(II).B-Hs2'!J66:M66,'Table2(II).B-Hs2'!J79:M79)=0,"NO",SUM('Table2(II).B-Hs2'!J14:M14,'Table2(II).B-Hs2'!J27:M27,'Table2(II).B-Hs2'!J40:M40,'Table2(II).B-Hs2'!J53:M53,'Table2(II).B-Hs2'!J66:M66,'Table2(II).B-Hs2'!J79:M79))</f>
        <v>346.80764359822024</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810.08316255385694</v>
      </c>
      <c r="H27" s="2044">
        <f>IF(SUM('Table2(II).B-Hs2'!J17:M17,'Table2(II).B-Hs2'!J30:M30,'Table2(II).B-Hs2'!J43:M43,'Table2(II).B-Hs2'!J56:M56,'Table2(II).B-Hs2'!J69:M69,'Table2(II).B-Hs2'!J82:M82)=0,"NO",SUM('Table2(II).B-Hs2'!J17:M17,'Table2(II).B-Hs2'!J30:M30,'Table2(II).B-Hs2'!J43:M43,'Table2(II).B-Hs2'!J56:M56,'Table2(II).B-Hs2'!J69:M69,'Table2(II).B-Hs2'!J82:M82))</f>
        <v>1.785438315709168</v>
      </c>
      <c r="I27" s="2044">
        <f>IF(SUM('Table2(II).B-Hs2'!J18:M18,'Table2(II).B-Hs2'!J31:M31,'Table2(II).B-Hs2'!J44:M44,'Table2(II).B-Hs2'!J57:M57,'Table2(II).B-Hs2'!J70:M70,'Table2(II).B-Hs2'!J83:M83)=0,"NO",SUM('Table2(II).B-Hs2'!J18:M18,'Table2(II).B-Hs2'!J31:M31,'Table2(II).B-Hs2'!J44:M44,'Table2(II).B-Hs2'!J57:M57,'Table2(II).B-Hs2'!J70:M70,'Table2(II).B-Hs2'!J83:M83))</f>
        <v>2201.1068642208211</v>
      </c>
      <c r="J27" s="2044" t="s">
        <v>2146</v>
      </c>
      <c r="K27" s="2044">
        <f>IF(SUM('Table2(II).B-Hs2'!J19:M19,'Table2(II).B-Hs2'!J32:M32,'Table2(II).B-Hs2'!J45:M45,'Table2(II).B-Hs2'!J58:M58,'Table2(II).B-Hs2'!J71:M71,'Table2(II).B-Hs2'!J84:M84)=0,"NO",SUM('Table2(II).B-Hs2'!J19:M19,'Table2(II).B-Hs2'!J32:M32,'Table2(II).B-Hs2'!J45:M45,'Table2(II).B-Hs2'!J58:M58,'Table2(II).B-Hs2'!J71:M71,'Table2(II).B-Hs2'!J84:M84))</f>
        <v>529.67346367297364</v>
      </c>
      <c r="L27" s="2044" t="s">
        <v>2146</v>
      </c>
      <c r="M27" s="2044">
        <f>IF(SUM('Table2(II).B-Hs2'!J20:M20,'Table2(II).B-Hs2'!J33:M33,'Table2(II).B-Hs2'!J46:M46,'Table2(II).B-Hs2'!J59:M59,'Table2(II).B-Hs2'!J72:M72,'Table2(II).B-Hs2'!J85:M85)=0,"NO",SUM('Table2(II).B-Hs2'!J20:M20,'Table2(II).B-Hs2'!J33:M33,'Table2(II).B-Hs2'!J46:M46,'Table2(II).B-Hs2'!J59:M59,'Table2(II).B-Hs2'!J72:M72,'Table2(II).B-Hs2'!J85:M85))</f>
        <v>79.586706805321697</v>
      </c>
      <c r="N27" s="2044" t="s">
        <v>2146</v>
      </c>
      <c r="O27" s="2044">
        <f>IF(SUM('Table2(II).B-Hs2'!J21:M21,'Table2(II).B-Hs2'!J34:M34,'Table2(II).B-Hs2'!J47:M47,'Table2(II).B-Hs2'!J60:M60,'Table2(II).B-Hs2'!J73:M73,'Table2(II).B-Hs2'!J86:M86)=0,"NO",SUM('Table2(II).B-Hs2'!J21:M21,'Table2(II).B-Hs2'!J34:M34,'Table2(II).B-Hs2'!J47:M47,'Table2(II).B-Hs2'!J60:M60,'Table2(II).B-Hs2'!J73:M73,'Table2(II).B-Hs2'!J86:M86))</f>
        <v>32.873140773958028</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2.7105960761915817</v>
      </c>
      <c r="S27" s="2044" t="s">
        <v>2146</v>
      </c>
      <c r="T27" s="2044">
        <f>IF(SUM('Table2(II).B-Hs2'!J23:M23,'Table2(II).B-Hs2'!J36:M36,'Table2(II).B-Hs2'!J49:M49,'Table2(II).B-Hs2'!J62:M62,'Table2(II).B-Hs2'!J75:M75,'Table2(II).B-Hs2'!J88:M88)=0,"NO",SUM('Table2(II).B-Hs2'!J23:M23,'Table2(II).B-Hs2'!J36:M36,'Table2(II).B-Hs2'!J49:M49,'Table2(II).B-Hs2'!J62:M62,'Table2(II).B-Hs2'!J75:M75,'Table2(II).B-Hs2'!J88:M88))</f>
        <v>92.481387670684725</v>
      </c>
      <c r="U27" s="2044">
        <f>IF(SUM('Table2(II).B-Hs2'!J24:M24,'Table2(II).B-Hs2'!J37:M37,'Table2(II).B-Hs2'!J50:M50,'Table2(II).B-Hs2'!J63:M63,'Table2(II).B-Hs2'!J76:M76,'Table2(II).B-Hs2'!J89:M89)=0,"NO",SUM('Table2(II).B-Hs2'!J24:M24,'Table2(II).B-Hs2'!J37:M37,'Table2(II).B-Hs2'!J50:M50,'Table2(II).B-Hs2'!J63:M63,'Table2(II).B-Hs2'!J76:M76,'Table2(II).B-Hs2'!J89:M89))</f>
        <v>64.474445322293619</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0.41094232526795649</v>
      </c>
      <c r="D28" s="2044">
        <f>IF(SUM('Table2(II).B-Hs2'!J93:M93,'Table2(II).B-Hs2'!J106:M106)=0,"NO",SUM('Table2(II).B-Hs2'!J93:M93,'Table2(II).B-Hs2'!J106:M106))</f>
        <v>3.9595510083011249</v>
      </c>
      <c r="E28" s="2044" t="s">
        <v>2146</v>
      </c>
      <c r="F28" s="2044" t="str">
        <f>IF(SUM('Table2(II).B-Hs2'!J94:M94,'Table2(II).B-Hs2'!J107:M107)=0,"NO",SUM('Table2(II).B-Hs2'!J94:M94,'Table2(II).B-Hs2'!J107:M107))</f>
        <v>NO</v>
      </c>
      <c r="G28" s="2044">
        <f>IF(SUM('Table2(II).B-Hs2'!J95:M95,'Table2(II).B-Hs2'!J108:M108)=0,"NO",SUM('Table2(II).B-Hs2'!J95:M95,'Table2(II).B-Hs2'!J108:M108))</f>
        <v>9.2488319167898254</v>
      </c>
      <c r="H28" s="2044">
        <f>IF(SUM('Table2(II).B-Hs2'!J96:M96,'Table2(II).B-Hs2'!J109:M109)=0,"NO",SUM('Table2(II).B-Hs2'!J96:M96,'Table2(II).B-Hs2'!J109:M109))</f>
        <v>2.0384597092144317E-2</v>
      </c>
      <c r="I28" s="2044">
        <f>IF(SUM('Table2(II).B-Hs2'!J97:M97,'Table2(II).B-Hs2'!J110:M110)=0,"NO",SUM('Table2(II).B-Hs2'!J97:M97,'Table2(II).B-Hs2'!J110:M110))</f>
        <v>25.130342610617159</v>
      </c>
      <c r="J28" s="2044" t="s">
        <v>2146</v>
      </c>
      <c r="K28" s="2044">
        <f>IF(SUM('Table2(II).B-Hs2'!J98:M98,'Table2(II).B-Hs2'!J111:M111)=0,"NO",SUM('Table2(II).B-Hs2'!J98:M98,'Table2(II).B-Hs2'!J111:M111))</f>
        <v>6.0473554602111887</v>
      </c>
      <c r="L28" s="2044" t="s">
        <v>2146</v>
      </c>
      <c r="M28" s="2044">
        <f>IF(SUM('Table2(II).B-Hs2'!J99:M99,'Table2(II).B-Hs2'!J112:M112)=0,"NO",SUM('Table2(II).B-Hs2'!J99:M99,'Table2(II).B-Hs2'!J112:M112))</f>
        <v>0.90865247925001302</v>
      </c>
      <c r="N28" s="2044" t="s">
        <v>2146</v>
      </c>
      <c r="O28" s="2044">
        <f>IF(SUM('Table2(II).B-Hs2'!J100:M100,'Table2(II).B-Hs2'!J113:M113)=0,"NO",SUM('Table2(II).B-Hs2'!J100:M100,'Table2(II).B-Hs2'!J113:M113))</f>
        <v>0.37531721142901131</v>
      </c>
      <c r="P28" s="2044" t="s">
        <v>2146</v>
      </c>
      <c r="Q28" s="2044" t="s">
        <v>2146</v>
      </c>
      <c r="R28" s="2044">
        <f>IF(SUM('Table2(II).B-Hs2'!J101:M101,'Table2(II).B-Hs2'!J114:M114)=0,"NO",SUM('Table2(II).B-Hs2'!J101:M101,'Table2(II).B-Hs2'!J114:M114))</f>
        <v>3.094725166731168E-2</v>
      </c>
      <c r="S28" s="2044" t="s">
        <v>2146</v>
      </c>
      <c r="T28" s="2044">
        <f>IF(SUM('Table2(II).B-Hs2'!J102:M102,'Table2(II).B-Hs2'!J115:M115)=0,"NO",SUM('Table2(II).B-Hs2'!J102:M102,'Table2(II).B-Hs2'!J115:M115))</f>
        <v>1.0558728406366256</v>
      </c>
      <c r="U28" s="2044">
        <f>IF(SUM('Table2(II).B-Hs2'!J103:M103,'Table2(II).B-Hs2'!J116:M116)=0,"NO",SUM('Table2(II).B-Hs2'!J103:M103,'Table2(II).B-Hs2'!J116:M116))</f>
        <v>0.73611369212294253</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0.27462866968643812</v>
      </c>
      <c r="D29" s="2044">
        <f>IF(SUM('Table2(II).B-Hs2'!J119:M119)=0,"NO",SUM('Table2(II).B-Hs2'!J119:M119))</f>
        <v>2.6461285662319769</v>
      </c>
      <c r="E29" s="2044" t="s">
        <v>2146</v>
      </c>
      <c r="F29" s="2044" t="str">
        <f>IF(SUM('Table2(II).B-Hs2'!J120:M120)=0,"NO",SUM('Table2(II).B-Hs2'!J120:M120))</f>
        <v>NO</v>
      </c>
      <c r="G29" s="2044">
        <f>IF(SUM('Table2(II).B-Hs2'!J121:M121)=0,"NO",SUM('Table2(II).B-Hs2'!J121:M121))</f>
        <v>6.1809024023145938</v>
      </c>
      <c r="H29" s="2044">
        <f>IF(SUM('Table2(II).B-Hs2'!J122:M122)=0,"NO",SUM('Table2(II).B-Hs2'!J122:M122))</f>
        <v>1.3622823538216223E-2</v>
      </c>
      <c r="I29" s="2044">
        <f>IF(SUM('Table2(II).B-Hs2'!J123:M123)=0,"NO",SUM('Table2(II).B-Hs2'!J123:M123))</f>
        <v>16.79435807790799</v>
      </c>
      <c r="J29" s="2044" t="s">
        <v>2146</v>
      </c>
      <c r="K29" s="2044">
        <f>IF(SUM('Table2(II).B-Hs2'!J124:M124)=0,"NO",SUM('Table2(II).B-Hs2'!J124:M124))</f>
        <v>4.0413875209274206</v>
      </c>
      <c r="L29" s="2044" t="s">
        <v>2146</v>
      </c>
      <c r="M29" s="2044">
        <f>IF(SUM('Table2(II).B-Hs2'!J125:M125)=0,"NO",SUM('Table2(II).B-Hs2'!J125:M125))</f>
        <v>0.60724341650863045</v>
      </c>
      <c r="N29" s="2044" t="s">
        <v>2146</v>
      </c>
      <c r="O29" s="2044">
        <f>IF(SUM('Table2(II).B-Hs2'!J126:M126)=0,"NO",SUM('Table2(II).B-Hs2'!J126:M126))</f>
        <v>0.25082076035357004</v>
      </c>
      <c r="P29" s="2044" t="s">
        <v>2146</v>
      </c>
      <c r="Q29" s="2044" t="s">
        <v>2146</v>
      </c>
      <c r="R29" s="2044">
        <f>IF(SUM('Table2(II).B-Hs2'!J127:M127)=0,"NO",SUM('Table2(II).B-Hs2'!J127:M127))</f>
        <v>2.0681740558856767E-2</v>
      </c>
      <c r="S29" s="2044" t="s">
        <v>2146</v>
      </c>
      <c r="T29" s="2044">
        <f>IF(SUM('Table2(II).B-Hs2'!J128:M128)=0,"NO",SUM('Table2(II).B-Hs2'!J128:M128))</f>
        <v>0.70562932010714374</v>
      </c>
      <c r="U29" s="2044">
        <f>IF(SUM('Table2(II).B-Hs2'!J129:M129)=0,"NO",SUM('Table2(II).B-Hs2'!J129:M129))</f>
        <v>0.49193746074678013</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0.50795044931222511</v>
      </c>
      <c r="D30" s="2044">
        <f>IF(SUM('Table2(II).B-Hs2'!J133:M133)=0,"NO",SUM('Table2(II).B-Hs2'!J133:M133))</f>
        <v>4.8942530133146631</v>
      </c>
      <c r="E30" s="2044" t="s">
        <v>2146</v>
      </c>
      <c r="F30" s="2044" t="str">
        <f>IF(SUM('Table2(II).B-Hs2'!J134:M134)=0,"NO",SUM('Table2(II).B-Hs2'!J134:M134))</f>
        <v>NO</v>
      </c>
      <c r="G30" s="2044">
        <f>IF(SUM('Table2(II).B-Hs2'!J135:M135)=0,"NO",SUM('Table2(II).B-Hs2'!J135:M135))</f>
        <v>11.432135457654121</v>
      </c>
      <c r="H30" s="2044">
        <f>IF(SUM('Table2(II).B-Hs2'!J136:M136)=0,"NO",SUM('Table2(II).B-Hs2'!J136:M136))</f>
        <v>2.5196638592171729E-2</v>
      </c>
      <c r="I30" s="2044">
        <f>IF(SUM('Table2(II).B-Hs2'!J137:M137)=0,"NO",SUM('Table2(II).B-Hs2'!J137:M137))</f>
        <v>31.062677255524104</v>
      </c>
      <c r="J30" s="2044" t="s">
        <v>2146</v>
      </c>
      <c r="K30" s="2044">
        <f>IF(SUM('Table2(II).B-Hs2'!J138:M138)=0,"NO",SUM('Table2(II).B-Hs2'!J138:M138))</f>
        <v>7.4749100647202988</v>
      </c>
      <c r="L30" s="2044" t="s">
        <v>2146</v>
      </c>
      <c r="M30" s="2044">
        <f>IF(SUM('Table2(II).B-Hs2'!J139:M139)=0,"NO",SUM('Table2(II).B-Hs2'!J139:M139))</f>
        <v>1.1231513687541326</v>
      </c>
      <c r="N30" s="2044" t="s">
        <v>2146</v>
      </c>
      <c r="O30" s="2044">
        <f>IF(SUM('Table2(II).B-Hs2'!J140:M140)=0,"NO",SUM('Table2(II).B-Hs2'!J140:M140))</f>
        <v>0.46391557758298185</v>
      </c>
      <c r="P30" s="2044" t="s">
        <v>2146</v>
      </c>
      <c r="Q30" s="2044" t="s">
        <v>2146</v>
      </c>
      <c r="R30" s="2044">
        <f>IF(SUM('Table2(II).B-Hs2'!J141:M141)=0,"NO",SUM('Table2(II).B-Hs2'!J141:M141))</f>
        <v>3.8252741133781742E-2</v>
      </c>
      <c r="S30" s="2044" t="s">
        <v>2146</v>
      </c>
      <c r="T30" s="2044">
        <f>IF(SUM('Table2(II).B-Hs2'!J142:M142)=0,"NO",SUM('Table2(II).B-Hs2'!J142:M142))</f>
        <v>1.3051249551095339</v>
      </c>
      <c r="U30" s="2044">
        <f>IF(SUM('Table2(II).B-Hs2'!J143:M143)=0,"NO",SUM('Table2(II).B-Hs2'!J143:M143))</f>
        <v>0.90988262261600983</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0.47685361419098077</v>
      </c>
      <c r="D31" s="2044">
        <f>IF(SUM('Table2(II).B-Hs2'!J148:M148)=0,"NO",SUM('Table2(II).B-Hs2'!J148:M148))</f>
        <v>4.5946257973081108</v>
      </c>
      <c r="E31" s="2044" t="s">
        <v>2146</v>
      </c>
      <c r="F31" s="2044" t="str">
        <f>IF(SUM('Table2(II).B-Hs2'!J149:M149)=0,"NO",SUM('Table2(II).B-Hs2'!J149:M149))</f>
        <v>NO</v>
      </c>
      <c r="G31" s="2044">
        <f>IF(SUM('Table2(II).B-Hs2'!J150:M150)=0,"NO",SUM('Table2(II).B-Hs2'!J150:M150))</f>
        <v>10.732257680418645</v>
      </c>
      <c r="H31" s="2044">
        <f>IF(SUM('Table2(II).B-Hs2'!J151:M151)=0,"NO",SUM('Table2(II).B-Hs2'!J151:M151))</f>
        <v>2.3654094989796204E-2</v>
      </c>
      <c r="I31" s="2044">
        <f>IF(SUM('Table2(II).B-Hs2'!J152:M152)=0,"NO",SUM('Table2(II).B-Hs2'!J152:M152))</f>
        <v>29.161013511851117</v>
      </c>
      <c r="J31" s="2044" t="s">
        <v>2146</v>
      </c>
      <c r="K31" s="2044">
        <f>IF(SUM('Table2(II).B-Hs2'!J153:M153)=0,"NO",SUM('Table2(II).B-Hs2'!J153:M153))</f>
        <v>7.0172944722083246</v>
      </c>
      <c r="L31" s="2044" t="s">
        <v>2146</v>
      </c>
      <c r="M31" s="2044">
        <f>IF(SUM('Table2(II).B-Hs2'!J154:M154)=0,"NO",SUM('Table2(II).B-Hs2'!J154:M154))</f>
        <v>1.0543918017970837</v>
      </c>
      <c r="N31" s="2044" t="s">
        <v>2146</v>
      </c>
      <c r="O31" s="2044">
        <f>IF(SUM('Table2(II).B-Hs2'!J155:M155)=0,"NO",SUM('Table2(II).B-Hs2'!J155:M155))</f>
        <v>0.43551456672491823</v>
      </c>
      <c r="P31" s="2044" t="s">
        <v>2146</v>
      </c>
      <c r="Q31" s="2044" t="s">
        <v>2146</v>
      </c>
      <c r="R31" s="2044">
        <f>IF(SUM('Table2(II).B-Hs2'!J156:M156)=0,"NO",SUM('Table2(II).B-Hs2'!J156:M156))</f>
        <v>3.5910900142040299E-2</v>
      </c>
      <c r="S31" s="2044" t="s">
        <v>2146</v>
      </c>
      <c r="T31" s="2044">
        <f>IF(SUM('Table2(II).B-Hs2'!J157:M157)=0,"NO",SUM('Table2(II).B-Hs2'!J157:M157))</f>
        <v>1.225224926284644</v>
      </c>
      <c r="U31" s="2044">
        <f>IF(SUM('Table2(II).B-Hs2'!J158:M158)=0,"NO",SUM('Table2(II).B-Hs2'!J158:M158))</f>
        <v>0.85417941390050067</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5.0952699896525067</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4.2711563095431364</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0.82411368010937025</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467.03155048367813</v>
      </c>
      <c r="D39" s="4196">
        <f t="shared" ref="D39:AK39" si="72">IF(SUM(D40:D45)=0,"NO",SUM(D40:D45))</f>
        <v>245.68479074274561</v>
      </c>
      <c r="E39" s="4196" t="str">
        <f t="shared" si="72"/>
        <v>NO</v>
      </c>
      <c r="F39" s="4196" t="str">
        <f t="shared" si="72"/>
        <v>NO</v>
      </c>
      <c r="G39" s="4196">
        <f t="shared" si="72"/>
        <v>2687.1370093349783</v>
      </c>
      <c r="H39" s="4196">
        <f t="shared" si="72"/>
        <v>2.0924920463120764</v>
      </c>
      <c r="I39" s="4196">
        <f t="shared" si="72"/>
        <v>2994.2318323797381</v>
      </c>
      <c r="J39" s="4196" t="str">
        <f t="shared" si="72"/>
        <v>NO</v>
      </c>
      <c r="K39" s="4196">
        <f t="shared" si="72"/>
        <v>2660.4211737169958</v>
      </c>
      <c r="L39" s="4196" t="str">
        <f t="shared" si="72"/>
        <v>NO</v>
      </c>
      <c r="M39" s="4196">
        <f t="shared" si="72"/>
        <v>11.492660130285154</v>
      </c>
      <c r="N39" s="4196" t="str">
        <f t="shared" si="72"/>
        <v>NO</v>
      </c>
      <c r="O39" s="4196">
        <f t="shared" si="72"/>
        <v>115.23567478166251</v>
      </c>
      <c r="P39" s="4196" t="str">
        <f t="shared" si="72"/>
        <v>NO</v>
      </c>
      <c r="Q39" s="4196" t="str">
        <f t="shared" si="72"/>
        <v>NO</v>
      </c>
      <c r="R39" s="4196">
        <f t="shared" si="72"/>
        <v>22.861293000130193</v>
      </c>
      <c r="S39" s="4196" t="str">
        <f t="shared" si="72"/>
        <v>NO</v>
      </c>
      <c r="T39" s="4196">
        <f t="shared" si="72"/>
        <v>83.031439673601852</v>
      </c>
      <c r="U39" s="4196">
        <f t="shared" si="72"/>
        <v>54.243113043390601</v>
      </c>
      <c r="V39" s="4196" t="str">
        <f t="shared" si="72"/>
        <v>NO</v>
      </c>
      <c r="W39" s="4196">
        <f t="shared" si="72"/>
        <v>9343.4630293335194</v>
      </c>
      <c r="X39" s="4196">
        <f t="shared" si="72"/>
        <v>128.52630189546048</v>
      </c>
      <c r="Y39" s="4196">
        <f t="shared" si="72"/>
        <v>25.533935126542691</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154.06023702200318</v>
      </c>
      <c r="AI39" s="4197" t="str">
        <f t="shared" si="72"/>
        <v>NO</v>
      </c>
      <c r="AJ39" s="4197">
        <f t="shared" si="72"/>
        <v>119.7388447568339</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128.52630189546048</v>
      </c>
      <c r="Y41" s="4199">
        <f>IF(SUM(Y16)=0,"NO",Y16*11100/1000)</f>
        <v>25.533935126542691</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154.06023702200318</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467.03155048367813</v>
      </c>
      <c r="D43" s="4199">
        <f>IF(SUM(D26)=0,"NO",D26*677/1000)</f>
        <v>245.68479074274561</v>
      </c>
      <c r="E43" s="4199" t="str">
        <f>IF(SUM(E26)=0,"NO",E26*116/1000)</f>
        <v>NO</v>
      </c>
      <c r="F43" s="4199" t="str">
        <f>IF(SUM(F26)=0,"NO",F26*1650/1000)</f>
        <v>NO</v>
      </c>
      <c r="G43" s="4199">
        <f>IF(SUM(G26)=0,"NO",G26*3170/1000)</f>
        <v>2687.1370093349783</v>
      </c>
      <c r="H43" s="4199">
        <f>IF(SUM(H26)=0,"NO",H26*1120/1000)</f>
        <v>2.0924920463120764</v>
      </c>
      <c r="I43" s="4199">
        <f>IF(SUM(I26)=0,"NO",I26*1300/1000)</f>
        <v>2994.2318323797381</v>
      </c>
      <c r="J43" s="4199" t="str">
        <f>IF(SUM(J26)=0,"NO",J26*328/1000)</f>
        <v>NO</v>
      </c>
      <c r="K43" s="4199">
        <f>IF(SUM(K26)=0,"NO",K26*4800/1000)</f>
        <v>2660.4211737169958</v>
      </c>
      <c r="L43" s="4199" t="str">
        <f>IF(SUM(L26)=0,"NO",L26*16/1000)</f>
        <v>NO</v>
      </c>
      <c r="M43" s="4199">
        <f>IF(SUM(M26)=0,"NO",M26*138/1000)</f>
        <v>11.492660130285154</v>
      </c>
      <c r="N43" s="4199" t="str">
        <f>IF(SUM(N26)=0,"NO",N26*4/1000)</f>
        <v>NO</v>
      </c>
      <c r="O43" s="4199">
        <f>IF(SUM(O26)=0,"NO",O26*3350/1000)</f>
        <v>115.23567478166251</v>
      </c>
      <c r="P43" s="4199" t="str">
        <f>IF(SUM(P26)=0,"NO",P26*1210/1000)</f>
        <v>NO</v>
      </c>
      <c r="Q43" s="4199" t="str">
        <f>IF(SUM(Q26)=0,"NO",Q26*1330/1000)</f>
        <v>NO</v>
      </c>
      <c r="R43" s="4199">
        <f>IF(SUM(R26)=0,"NO",R26*8060/1000)</f>
        <v>22.861293000130193</v>
      </c>
      <c r="S43" s="4199" t="str">
        <f>IF(SUM(S26)=0,"NO",S26*716/1000)</f>
        <v>NO</v>
      </c>
      <c r="T43" s="4199">
        <f>IF(SUM(T26)=0,"NO",T26*858/1000)</f>
        <v>83.031439673601852</v>
      </c>
      <c r="U43" s="4199">
        <f>IF(SUM(U26)=0,"NO",U26*804/1000)</f>
        <v>54.243113043390601</v>
      </c>
      <c r="V43" s="4199" t="str">
        <f>IF(SUM(V26)=0,"NO",V26*1/1000)</f>
        <v>NO</v>
      </c>
      <c r="W43" s="4199">
        <f t="shared" si="73"/>
        <v>9343.4630293335194</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119.7388447568339</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5878.5662145273818</v>
      </c>
      <c r="I10" s="628"/>
      <c r="J10" s="628"/>
      <c r="K10" s="3192" t="str">
        <f>IF(SUM(K11:K14)=0,"NO",SUM(K11:K14))</f>
        <v>NO</v>
      </c>
      <c r="L10" s="3192" t="str">
        <f>IF(SUM(L11:L14)=0,"NO",SUM(L11:L14))</f>
        <v>NO</v>
      </c>
      <c r="M10" s="628"/>
      <c r="N10" s="1838"/>
    </row>
    <row r="11" spans="2:14" ht="18" customHeight="1" x14ac:dyDescent="0.2">
      <c r="B11" s="287" t="s">
        <v>491</v>
      </c>
      <c r="C11" s="2099" t="s">
        <v>2181</v>
      </c>
      <c r="D11" s="691">
        <v>5631.5390800000005</v>
      </c>
      <c r="E11" s="1913">
        <f>IF(SUM($D11)=0,"NA",H11/$D11)</f>
        <v>0.54623721562326444</v>
      </c>
      <c r="F11" s="628"/>
      <c r="G11" s="628"/>
      <c r="H11" s="3180">
        <v>3076.1562267328004</v>
      </c>
      <c r="I11" s="628"/>
      <c r="J11" s="628"/>
      <c r="K11" s="3180" t="s">
        <v>2146</v>
      </c>
      <c r="L11" s="691" t="s">
        <v>2146</v>
      </c>
      <c r="M11" s="628"/>
      <c r="N11" s="1838"/>
    </row>
    <row r="12" spans="2:14" ht="18" customHeight="1" x14ac:dyDescent="0.2">
      <c r="B12" s="287" t="s">
        <v>492</v>
      </c>
      <c r="C12" s="2100" t="s">
        <v>2182</v>
      </c>
      <c r="D12" s="691">
        <v>1570.4905115900001</v>
      </c>
      <c r="E12" s="1913">
        <f>IF(SUM($D12)=0,"NA",H12/$D12)</f>
        <v>0.74443217112403026</v>
      </c>
      <c r="F12" s="628"/>
      <c r="G12" s="628"/>
      <c r="H12" s="3180">
        <v>1169.1236612726327</v>
      </c>
      <c r="I12" s="628"/>
      <c r="J12" s="628"/>
      <c r="K12" s="3180" t="s">
        <v>2146</v>
      </c>
      <c r="L12" s="691" t="s">
        <v>2146</v>
      </c>
      <c r="M12" s="628"/>
      <c r="N12" s="1838"/>
    </row>
    <row r="13" spans="2:14" ht="18" customHeight="1" x14ac:dyDescent="0.2">
      <c r="B13" s="287" t="s">
        <v>493</v>
      </c>
      <c r="C13" s="2100" t="s">
        <v>2267</v>
      </c>
      <c r="D13" s="691">
        <v>185.97998410000002</v>
      </c>
      <c r="E13" s="1913">
        <f>IF(SUM($D13)=0,"NA",H13/$D13)</f>
        <v>0.42568284687984864</v>
      </c>
      <c r="F13" s="628"/>
      <c r="G13" s="628"/>
      <c r="H13" s="3180">
        <v>79.168489094357</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1554.1178374275917</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269.71682476129143</v>
      </c>
      <c r="I15" s="628"/>
      <c r="J15" s="628"/>
      <c r="K15" s="3180" t="s">
        <v>2146</v>
      </c>
      <c r="L15" s="691" t="s">
        <v>2146</v>
      </c>
      <c r="M15" s="628"/>
      <c r="N15" s="1838"/>
    </row>
    <row r="16" spans="2:14" ht="18" customHeight="1" x14ac:dyDescent="0.2">
      <c r="B16" s="160" t="s">
        <v>496</v>
      </c>
      <c r="C16" s="484" t="s">
        <v>2316</v>
      </c>
      <c r="D16" s="2905">
        <v>271.29016200000007</v>
      </c>
      <c r="E16" s="1913">
        <f>IF(SUM($D16)=0,"NA",H16/$D16)</f>
        <v>0.41491999999999996</v>
      </c>
      <c r="F16" s="628"/>
      <c r="G16" s="628"/>
      <c r="H16" s="3180">
        <v>112.56371401704001</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1171.8372986492602</v>
      </c>
      <c r="I18" s="628"/>
      <c r="J18" s="628"/>
      <c r="K18" s="3181" t="str">
        <f>K19</f>
        <v>NO</v>
      </c>
      <c r="L18" s="3193" t="str">
        <f>L19</f>
        <v>NO</v>
      </c>
      <c r="M18" s="628"/>
      <c r="N18" s="1838"/>
    </row>
    <row r="19" spans="2:14" ht="18" customHeight="1" x14ac:dyDescent="0.2">
      <c r="B19" s="3182" t="s">
        <v>2265</v>
      </c>
      <c r="C19" s="484" t="s">
        <v>2267</v>
      </c>
      <c r="D19" s="2905">
        <v>1242.0340150000002</v>
      </c>
      <c r="E19" s="1913">
        <f>IF(SUM($D19)=0,"NA",H19/$D19)</f>
        <v>0.41418630989249511</v>
      </c>
      <c r="F19" s="628"/>
      <c r="G19" s="628"/>
      <c r="H19" s="3180">
        <v>514.43348543381001</v>
      </c>
      <c r="I19" s="628"/>
      <c r="J19" s="628"/>
      <c r="K19" s="3180" t="s">
        <v>2146</v>
      </c>
      <c r="L19" s="3180" t="s">
        <v>2146</v>
      </c>
      <c r="M19" s="628"/>
      <c r="N19" s="1838"/>
    </row>
    <row r="20" spans="2:14" ht="18" customHeight="1" x14ac:dyDescent="0.2">
      <c r="B20" s="3183" t="s">
        <v>2264</v>
      </c>
      <c r="C20" s="484" t="s">
        <v>2267</v>
      </c>
      <c r="D20" s="2905">
        <v>524.90297357716372</v>
      </c>
      <c r="E20" s="1913">
        <f>IF(SUM($D20)=0,"NA",H20/$D20)</f>
        <v>0.5175585404662153</v>
      </c>
      <c r="F20" s="628"/>
      <c r="G20" s="628"/>
      <c r="H20" s="3180">
        <v>271.66801689097321</v>
      </c>
      <c r="I20" s="628"/>
      <c r="J20" s="628"/>
      <c r="K20" s="3180" t="s">
        <v>2146</v>
      </c>
      <c r="L20" s="3180" t="s">
        <v>2146</v>
      </c>
      <c r="M20" s="2135"/>
      <c r="N20" s="2149"/>
    </row>
    <row r="21" spans="2:14" ht="18" customHeight="1" thickBot="1" x14ac:dyDescent="0.25">
      <c r="B21" s="3183" t="s">
        <v>2266</v>
      </c>
      <c r="C21" s="484" t="s">
        <v>2267</v>
      </c>
      <c r="D21" s="2905">
        <v>882.53977729500002</v>
      </c>
      <c r="E21" s="1913">
        <f>IF(SUM($D21)=0,"NA",H21/$D21)</f>
        <v>0.43707468631812157</v>
      </c>
      <c r="F21" s="628"/>
      <c r="G21" s="628"/>
      <c r="H21" s="3180">
        <v>385.73579632447701</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3543.3246032975812</v>
      </c>
      <c r="I22" s="3067">
        <f>IF(SUM(I23:I26,I30,I33:I35,I47)=0,"IE",SUM(I23:I26,I30,I33:I35,I47))</f>
        <v>0.57776359999999993</v>
      </c>
      <c r="J22" s="3067">
        <f>IF(SUM(J23:J26,J30,J33:J35,J47)=0,"IE",SUM(J23:J26,J30,J33:J35,J47))</f>
        <v>5.1857166552448222</v>
      </c>
      <c r="K22" s="3067">
        <f>IF(SUM(K23:K26,K30,K33:K35,K47)=0,"NO",SUM(K23:K26,K30,K33:K35,K47))</f>
        <v>-324.10104000000001</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2019.872688570003</v>
      </c>
      <c r="E23" s="1913">
        <f>IF(SUM($D23)=0,"NA",H23/$D23)</f>
        <v>1.3648106981477277</v>
      </c>
      <c r="F23" s="1913" t="str">
        <f>IFERROR(IF(SUM($D23)=0,"NA",I23/$D23),"NA")</f>
        <v>NA</v>
      </c>
      <c r="G23" s="1913" t="str">
        <f>IFERROR(IF(SUM($D23)=0,"NA",J23/$D23),"NA")</f>
        <v>NA</v>
      </c>
      <c r="H23" s="691">
        <v>2756.7438542567534</v>
      </c>
      <c r="I23" s="691" t="s">
        <v>2146</v>
      </c>
      <c r="J23" s="691" t="s">
        <v>2146</v>
      </c>
      <c r="K23" s="3180">
        <v>-324.10104000000001</v>
      </c>
      <c r="L23" s="691" t="s">
        <v>2146</v>
      </c>
      <c r="M23" s="691" t="s">
        <v>2146</v>
      </c>
      <c r="N23" s="2911" t="s">
        <v>2146</v>
      </c>
    </row>
    <row r="24" spans="2:14" ht="18" customHeight="1" x14ac:dyDescent="0.2">
      <c r="B24" s="287" t="s">
        <v>500</v>
      </c>
      <c r="C24" s="484" t="s">
        <v>220</v>
      </c>
      <c r="D24" s="691">
        <v>1545.1482920000001</v>
      </c>
      <c r="E24" s="2108"/>
      <c r="F24" s="2108"/>
      <c r="G24" s="1913">
        <f>IF(SUM($D24)=0,"NA",J24/$D24)</f>
        <v>3.3561287820035477E-3</v>
      </c>
      <c r="H24" s="2108"/>
      <c r="I24" s="2108"/>
      <c r="J24" s="691">
        <v>5.1857166552448222</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718.27835420182498</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48.294806000000001</v>
      </c>
      <c r="I35" s="3196">
        <f>I46</f>
        <v>0.57776359999999993</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48.294806000000001</v>
      </c>
      <c r="I42" s="3198">
        <f>IF(SUM(I44:I45)=0,"NO",SUM(I44:I45))</f>
        <v>0.57776359999999993</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48.294806000000001</v>
      </c>
      <c r="I45" s="3198">
        <f>I46</f>
        <v>0.57776359999999993</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48.294806000000001</v>
      </c>
      <c r="I46" s="691">
        <v>0.57776359999999993</v>
      </c>
      <c r="J46" s="628"/>
      <c r="K46" s="691" t="s">
        <v>2146</v>
      </c>
      <c r="L46" s="691" t="s">
        <v>2146</v>
      </c>
      <c r="M46" s="691" t="s">
        <v>2146</v>
      </c>
      <c r="N46" s="1838"/>
    </row>
    <row r="47" spans="2:16" ht="18" customHeight="1" x14ac:dyDescent="0.2">
      <c r="B47" s="287" t="s">
        <v>520</v>
      </c>
      <c r="C47" s="2104"/>
      <c r="D47" s="628"/>
      <c r="E47" s="628"/>
      <c r="F47" s="628"/>
      <c r="G47" s="628"/>
      <c r="H47" s="3198">
        <f>H50</f>
        <v>20.007588839002906</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20.007588839002906</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20.007588839002906</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9863.6965812133349</v>
      </c>
      <c r="I52" s="3192">
        <f>IF(SUM(I53,I62:I67)=0,"IE",SUM(I53,I62:I67))</f>
        <v>2.1692209446239814</v>
      </c>
      <c r="J52" s="1909">
        <f>J67</f>
        <v>5.0816014146892859E-2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1649.06</v>
      </c>
      <c r="E63" s="4130">
        <f>IF(SUM($D63)=0,"NA",H63/$D63)</f>
        <v>1.5007560788477612</v>
      </c>
      <c r="F63" s="1892"/>
      <c r="G63" s="2107"/>
      <c r="H63" s="691">
        <v>2474.8368193846891</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7388.8597618286458</v>
      </c>
      <c r="I67" s="3199">
        <f t="shared" ref="I67:N67" si="8">IF(SUM(I69:I70)=0,I70,SUM(I69:I70))</f>
        <v>2.1692209446239814</v>
      </c>
      <c r="J67" s="3199">
        <f t="shared" si="8"/>
        <v>5.0816014146892859E-2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7388.8597618286458</v>
      </c>
      <c r="I70" s="3095">
        <f t="shared" si="9"/>
        <v>2.1692209446239814</v>
      </c>
      <c r="J70" s="3095">
        <f t="shared" si="9"/>
        <v>5.0816014146892859E-2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7388.8597618286458</v>
      </c>
      <c r="I71" s="3123">
        <v>2.1692209446239814</v>
      </c>
      <c r="J71" s="3123">
        <v>5.0816014146892859E-2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219.12651274499999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324.02061855670109</v>
      </c>
      <c r="E73" s="4130">
        <f t="shared" ref="E73:G74" si="11">IF(SUM($D73)=0,"NA",H73/$D73)</f>
        <v>0.67627336100111346</v>
      </c>
      <c r="F73" s="276" t="s">
        <v>2147</v>
      </c>
      <c r="G73" s="276" t="s">
        <v>2147</v>
      </c>
      <c r="H73" s="3122">
        <v>219.12651274499999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248.3124</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215.73207564860138</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215.73207564860138</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21.68592041265595</v>
      </c>
      <c r="H22" s="2611" t="str">
        <f>H23</f>
        <v>NO</v>
      </c>
    </row>
    <row r="23" spans="2:8" ht="18" customHeight="1" x14ac:dyDescent="0.2">
      <c r="B23" s="169" t="s">
        <v>636</v>
      </c>
      <c r="C23" s="2507"/>
      <c r="D23" s="76"/>
      <c r="E23" s="76"/>
      <c r="F23" s="4322"/>
      <c r="G23" s="3188">
        <f>IF(SUM(G24,G27)=0,"NO",SUM(G24,G27))</f>
        <v>21.68592041265595</v>
      </c>
      <c r="H23" s="2611" t="str">
        <f>H24</f>
        <v>NO</v>
      </c>
    </row>
    <row r="24" spans="2:8" ht="18" customHeight="1" x14ac:dyDescent="0.2">
      <c r="B24" s="171" t="s">
        <v>637</v>
      </c>
      <c r="C24" s="2507"/>
      <c r="D24" s="76"/>
      <c r="E24" s="76"/>
      <c r="F24" s="4322"/>
      <c r="G24" s="3188">
        <f>IF(SUM(G25:G26)=0,"NO",SUM(G25:G26))</f>
        <v>21.68592041265595</v>
      </c>
      <c r="H24" s="2611" t="str">
        <f>H25</f>
        <v>NO</v>
      </c>
    </row>
    <row r="25" spans="2:8" ht="18" customHeight="1" x14ac:dyDescent="0.25">
      <c r="B25" s="2609" t="s">
        <v>1741</v>
      </c>
      <c r="C25" s="2620" t="s">
        <v>1741</v>
      </c>
      <c r="D25" s="73" t="s">
        <v>638</v>
      </c>
      <c r="E25" s="691">
        <v>1649060</v>
      </c>
      <c r="F25" s="4320">
        <f t="shared" ref="F25:F28" si="2">IF(SUM(E25)=0,"NA",G25*1000/E25)</f>
        <v>1.1755524903127359E-2</v>
      </c>
      <c r="G25" s="691">
        <v>19.385565896751203</v>
      </c>
      <c r="H25" s="2610" t="s">
        <v>2146</v>
      </c>
    </row>
    <row r="26" spans="2:8" ht="18" customHeight="1" x14ac:dyDescent="0.25">
      <c r="B26" s="2609" t="s">
        <v>1742</v>
      </c>
      <c r="C26" s="2620" t="s">
        <v>1742</v>
      </c>
      <c r="D26" s="73" t="s">
        <v>638</v>
      </c>
      <c r="E26" s="691">
        <v>1649060</v>
      </c>
      <c r="F26" s="4320">
        <f t="shared" si="2"/>
        <v>1.3949489502533244E-3</v>
      </c>
      <c r="G26" s="691">
        <v>2.3003545159047469</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83.48389329513563</v>
      </c>
      <c r="K10" s="3224">
        <f>IF(SUM(K11,K90,K117,K130,K146,K159)=0,"NO",SUM(K11,K90,K117,K130,K146,K159))</f>
        <v>3266.8206039376173</v>
      </c>
      <c r="L10" s="3225">
        <f>IF(SUM(L11,L90,L117,L130,L146,L159)=0,"NO",SUM(L11,L90,L117,L130,L146,L159))</f>
        <v>1411.0825637192463</v>
      </c>
      <c r="M10" s="3498">
        <f>IF(SUM(M11,M90,M117,M130,M146,M159)=0,"NO",SUM(M11,M90,M117,M130,M146,M159))</f>
        <v>-369.01072920760407</v>
      </c>
    </row>
    <row r="11" spans="1:13" ht="18" customHeight="1" x14ac:dyDescent="0.2">
      <c r="B11" s="147" t="s">
        <v>667</v>
      </c>
      <c r="C11" s="2508"/>
      <c r="D11" s="2108"/>
      <c r="E11" s="2108"/>
      <c r="F11" s="2108"/>
      <c r="G11" s="2108"/>
      <c r="H11" s="2108"/>
      <c r="I11" s="2108"/>
      <c r="J11" s="3103">
        <f>IF(SUM(J12,J25,J38,J51,J64,J77)=0,"NO",SUM(J12,J25,J38,J51,J64,J77))</f>
        <v>43.502689029992027</v>
      </c>
      <c r="K11" s="3103">
        <f t="shared" ref="K11:M11" si="0">IF(SUM(K12,K25,K38,K51,K64,K77)=0,"NO",SUM(K12,K25,K38,K51,K64,K77))</f>
        <v>3139.2768788363655</v>
      </c>
      <c r="L11" s="3103">
        <f t="shared" si="0"/>
        <v>1370.2118525897019</v>
      </c>
      <c r="M11" s="3226">
        <f t="shared" si="0"/>
        <v>-355.41511178806172</v>
      </c>
    </row>
    <row r="12" spans="1:13" ht="18" customHeight="1" x14ac:dyDescent="0.2">
      <c r="B12" s="104" t="s">
        <v>668</v>
      </c>
      <c r="C12" s="2508"/>
      <c r="D12" s="2108"/>
      <c r="E12" s="2108"/>
      <c r="F12" s="2108"/>
      <c r="G12" s="2108"/>
      <c r="H12" s="2108"/>
      <c r="I12" s="2108"/>
      <c r="J12" s="3103">
        <f>IF(SUM(J13:J24)=0,"NO",SUM(J13:J24))</f>
        <v>33.335129274645276</v>
      </c>
      <c r="K12" s="3103">
        <f>IF(SUM(K13:K24)=0,"NO",SUM(K13:K24))</f>
        <v>1930.6602554026808</v>
      </c>
      <c r="L12" s="3103">
        <f>IF(SUM(L13:L24)=0,"NO",SUM(L13:L24))</f>
        <v>543.01312607955833</v>
      </c>
      <c r="M12" s="3226">
        <f>IF(SUM(M13:M24)=0,"NO",SUM(M13:M24))</f>
        <v>-133.91619330339836</v>
      </c>
    </row>
    <row r="13" spans="1:13" ht="18" customHeight="1" x14ac:dyDescent="0.2">
      <c r="B13" s="2616" t="s">
        <v>559</v>
      </c>
      <c r="C13" s="2618" t="s">
        <v>559</v>
      </c>
      <c r="D13" s="3227">
        <v>16.333869731477602</v>
      </c>
      <c r="E13" s="3227">
        <v>117.95734180976126</v>
      </c>
      <c r="F13" s="3227">
        <v>5.8182827397866905</v>
      </c>
      <c r="G13" s="3103">
        <f>IF(SUM(D13)=0,"NA",J13/D13)</f>
        <v>1.7500000000000002E-2</v>
      </c>
      <c r="H13" s="3103">
        <f>IF(SUM(E13)=0,"NA",K13/E13)</f>
        <v>0.140347884835023</v>
      </c>
      <c r="I13" s="3103">
        <f>IF(SUM(F13)=0,"NA",(SUM(L13:M13))/F13)</f>
        <v>0.60291542360679418</v>
      </c>
      <c r="J13" s="3227">
        <v>0.28584272030085806</v>
      </c>
      <c r="K13" s="3227">
        <v>16.555063423761815</v>
      </c>
      <c r="L13" s="3227">
        <v>4.6631075712546384</v>
      </c>
      <c r="M13" s="3497">
        <v>-1.155175168532047</v>
      </c>
    </row>
    <row r="14" spans="1:13" ht="18" customHeight="1" x14ac:dyDescent="0.2">
      <c r="B14" s="2616" t="s">
        <v>560</v>
      </c>
      <c r="C14" s="2618" t="s">
        <v>560</v>
      </c>
      <c r="D14" s="3227">
        <v>157.38167228834342</v>
      </c>
      <c r="E14" s="3227">
        <v>1136.5539224873312</v>
      </c>
      <c r="F14" s="3227">
        <v>56.06087733572236</v>
      </c>
      <c r="G14" s="3103">
        <f t="shared" ref="G14:G24" si="1">IF(SUM(D14)=0,"NA",J14/D14)</f>
        <v>1.7500000000000002E-2</v>
      </c>
      <c r="H14" s="3103">
        <f t="shared" ref="H14:H24" si="2">IF(SUM(E14)=0,"NA",K14/E14)</f>
        <v>0.14034788483502297</v>
      </c>
      <c r="I14" s="3103">
        <f t="shared" ref="I14:I78" si="3">IF(SUM(F14)=0,"NA",(SUM(L14:M14))/F14)</f>
        <v>0.60291542360679495</v>
      </c>
      <c r="J14" s="3227">
        <v>2.7541792650460102</v>
      </c>
      <c r="K14" s="3227">
        <v>159.51293902204557</v>
      </c>
      <c r="L14" s="3227">
        <v>44.930422471178986</v>
      </c>
      <c r="M14" s="3497">
        <v>-11.130454864543369</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367.61658852899131</v>
      </c>
      <c r="E16" s="3227">
        <v>2654.7949935272236</v>
      </c>
      <c r="F16" s="3227">
        <v>130.94859252951852</v>
      </c>
      <c r="G16" s="3103">
        <f t="shared" si="1"/>
        <v>1.7499999999999998E-2</v>
      </c>
      <c r="H16" s="3103">
        <f t="shared" si="2"/>
        <v>0.14034788483502295</v>
      </c>
      <c r="I16" s="3103">
        <f t="shared" si="3"/>
        <v>0.60291542360679495</v>
      </c>
      <c r="J16" s="3227">
        <v>6.4332902992573473</v>
      </c>
      <c r="K16" s="3227">
        <v>372.59486201215429</v>
      </c>
      <c r="L16" s="3227">
        <v>104.94975933258337</v>
      </c>
      <c r="M16" s="3497">
        <v>-25.998833196935131</v>
      </c>
    </row>
    <row r="17" spans="2:13" ht="18" customHeight="1" x14ac:dyDescent="0.2">
      <c r="B17" s="2616" t="s">
        <v>564</v>
      </c>
      <c r="C17" s="2618" t="s">
        <v>564</v>
      </c>
      <c r="D17" s="3227">
        <v>0.81023377967853505</v>
      </c>
      <c r="E17" s="3227">
        <v>5.8512174069304264</v>
      </c>
      <c r="F17" s="3227">
        <v>0.2886131267724576</v>
      </c>
      <c r="G17" s="3103">
        <f t="shared" si="1"/>
        <v>1.7500000000000002E-2</v>
      </c>
      <c r="H17" s="3103">
        <f t="shared" si="2"/>
        <v>0.14034788483502297</v>
      </c>
      <c r="I17" s="3103">
        <f t="shared" si="3"/>
        <v>0.60291542360679484</v>
      </c>
      <c r="J17" s="3227">
        <v>1.4179091144374364E-2</v>
      </c>
      <c r="K17" s="3227">
        <v>0.82120598677255319</v>
      </c>
      <c r="L17" s="3227">
        <v>0.2313112161794777</v>
      </c>
      <c r="M17" s="3497">
        <v>-5.7301910592979843E-2</v>
      </c>
    </row>
    <row r="18" spans="2:13" ht="18" customHeight="1" x14ac:dyDescent="0.2">
      <c r="B18" s="2616" t="s">
        <v>565</v>
      </c>
      <c r="C18" s="2618" t="s">
        <v>565</v>
      </c>
      <c r="D18" s="3227">
        <v>998.86460281639074</v>
      </c>
      <c r="E18" s="3227">
        <v>7213.441475477337</v>
      </c>
      <c r="F18" s="3227">
        <v>355.80525457176861</v>
      </c>
      <c r="G18" s="3103">
        <f t="shared" si="1"/>
        <v>1.7500000000000002E-2</v>
      </c>
      <c r="H18" s="3103">
        <f t="shared" si="2"/>
        <v>0.140347884835023</v>
      </c>
      <c r="I18" s="3103">
        <f t="shared" si="3"/>
        <v>0.60291542360679573</v>
      </c>
      <c r="J18" s="3227">
        <v>17.480130549286841</v>
      </c>
      <c r="K18" s="3227">
        <v>1012.3912534644717</v>
      </c>
      <c r="L18" s="3227">
        <v>285.16286517671529</v>
      </c>
      <c r="M18" s="3497">
        <v>-70.642389395053613</v>
      </c>
    </row>
    <row r="19" spans="2:13" ht="18" customHeight="1" x14ac:dyDescent="0.2">
      <c r="B19" s="2616" t="s">
        <v>567</v>
      </c>
      <c r="C19" s="2618" t="s">
        <v>567</v>
      </c>
      <c r="D19" s="3227">
        <v>240.36637317078885</v>
      </c>
      <c r="E19" s="3227">
        <v>1735.8396329707039</v>
      </c>
      <c r="F19" s="3227">
        <v>85.620832248318294</v>
      </c>
      <c r="G19" s="3103">
        <f t="shared" si="1"/>
        <v>1.7500000000000002E-2</v>
      </c>
      <c r="H19" s="3103">
        <f t="shared" si="2"/>
        <v>0.14034788483502297</v>
      </c>
      <c r="I19" s="3103">
        <f t="shared" si="3"/>
        <v>0.6029154236067954</v>
      </c>
      <c r="J19" s="3227">
        <v>4.206411530488805</v>
      </c>
      <c r="K19" s="3227">
        <v>243.62142090024088</v>
      </c>
      <c r="L19" s="3227">
        <v>68.621476296439766</v>
      </c>
      <c r="M19" s="3497">
        <v>-16.99935595187857</v>
      </c>
    </row>
    <row r="20" spans="2:13" ht="18" customHeight="1" x14ac:dyDescent="0.2">
      <c r="B20" s="2616" t="s">
        <v>569</v>
      </c>
      <c r="C20" s="2618" t="s">
        <v>569</v>
      </c>
      <c r="D20" s="3227">
        <v>36.116530993920392</v>
      </c>
      <c r="E20" s="3227">
        <v>260.82061761657724</v>
      </c>
      <c r="F20" s="3227">
        <v>12.865058455678565</v>
      </c>
      <c r="G20" s="3103">
        <f t="shared" si="1"/>
        <v>1.7500000000000002E-2</v>
      </c>
      <c r="H20" s="3103">
        <f t="shared" si="2"/>
        <v>0.14034788483502295</v>
      </c>
      <c r="I20" s="3103">
        <f t="shared" si="3"/>
        <v>0.60291542360679506</v>
      </c>
      <c r="J20" s="3227">
        <v>0.6320392923936069</v>
      </c>
      <c r="K20" s="3227">
        <v>36.605622003850939</v>
      </c>
      <c r="L20" s="3227">
        <v>10.041315352578103</v>
      </c>
      <c r="M20" s="3497">
        <v>-2.2847731840464802</v>
      </c>
    </row>
    <row r="21" spans="2:13" ht="18" customHeight="1" x14ac:dyDescent="0.2">
      <c r="B21" s="2616" t="s">
        <v>571</v>
      </c>
      <c r="C21" s="2618" t="s">
        <v>571</v>
      </c>
      <c r="D21" s="3227">
        <v>14.917865750298578</v>
      </c>
      <c r="E21" s="3227">
        <v>107.73146953590377</v>
      </c>
      <c r="F21" s="3227">
        <v>5.3138883948700038</v>
      </c>
      <c r="G21" s="3103">
        <f t="shared" si="1"/>
        <v>1.7499999999999998E-2</v>
      </c>
      <c r="H21" s="3103">
        <f t="shared" si="2"/>
        <v>0.14034788483502297</v>
      </c>
      <c r="I21" s="3103">
        <f t="shared" si="3"/>
        <v>0.60291542360679518</v>
      </c>
      <c r="J21" s="3227">
        <v>0.2610626506302251</v>
      </c>
      <c r="K21" s="3227">
        <v>15.119883879532807</v>
      </c>
      <c r="L21" s="3227">
        <v>4.2588568337311425</v>
      </c>
      <c r="M21" s="3497">
        <v>-1.0550315611388617</v>
      </c>
    </row>
    <row r="22" spans="2:13" ht="18" customHeight="1" x14ac:dyDescent="0.2">
      <c r="B22" s="2616" t="s">
        <v>574</v>
      </c>
      <c r="C22" s="2618" t="s">
        <v>574</v>
      </c>
      <c r="D22" s="3227">
        <v>1.2300713414017803</v>
      </c>
      <c r="E22" s="3227">
        <v>10.768643346754242</v>
      </c>
      <c r="F22" s="3227">
        <v>0.43816333618676467</v>
      </c>
      <c r="G22" s="3103">
        <f t="shared" si="1"/>
        <v>1.7499999999999998E-2</v>
      </c>
      <c r="H22" s="3103">
        <f t="shared" si="2"/>
        <v>0.11577400788775373</v>
      </c>
      <c r="I22" s="3103">
        <f t="shared" si="3"/>
        <v>0.60291542360679506</v>
      </c>
      <c r="J22" s="3227">
        <v>2.1526248474531155E-2</v>
      </c>
      <c r="K22" s="3227">
        <v>1.2467289997675324</v>
      </c>
      <c r="L22" s="3227">
        <v>0.35116938481638726</v>
      </c>
      <c r="M22" s="3497">
        <v>-8.6993951370377451E-2</v>
      </c>
    </row>
    <row r="23" spans="2:13" ht="18" customHeight="1" x14ac:dyDescent="0.2">
      <c r="B23" s="2616" t="s">
        <v>576</v>
      </c>
      <c r="C23" s="2618" t="s">
        <v>576</v>
      </c>
      <c r="D23" s="3227">
        <v>41.968150690533541</v>
      </c>
      <c r="E23" s="3227">
        <v>303.07891378530076</v>
      </c>
      <c r="F23" s="3227">
        <v>14.94946211753636</v>
      </c>
      <c r="G23" s="3103">
        <f t="shared" si="1"/>
        <v>1.7499999999999998E-2</v>
      </c>
      <c r="H23" s="3103">
        <f t="shared" si="2"/>
        <v>0.14034788483502295</v>
      </c>
      <c r="I23" s="3103">
        <f t="shared" si="3"/>
        <v>0.6029154236067954</v>
      </c>
      <c r="J23" s="3227">
        <v>0.73444263708433688</v>
      </c>
      <c r="K23" s="3227">
        <v>42.536484487863241</v>
      </c>
      <c r="L23" s="3227">
        <v>11.668214644399377</v>
      </c>
      <c r="M23" s="3497">
        <v>-2.6549533591112024</v>
      </c>
    </row>
    <row r="24" spans="2:13" ht="18" customHeight="1" x14ac:dyDescent="0.2">
      <c r="B24" s="2616" t="s">
        <v>577</v>
      </c>
      <c r="C24" s="2618" t="s">
        <v>577</v>
      </c>
      <c r="D24" s="3227">
        <v>29.258570887905325</v>
      </c>
      <c r="E24" s="3227">
        <v>211.2948923817313</v>
      </c>
      <c r="F24" s="3227">
        <v>10.422186584472353</v>
      </c>
      <c r="G24" s="3103">
        <f t="shared" si="1"/>
        <v>1.7499999999999998E-2</v>
      </c>
      <c r="H24" s="3103">
        <f t="shared" si="2"/>
        <v>0.14034788483502297</v>
      </c>
      <c r="I24" s="3103">
        <f t="shared" si="3"/>
        <v>0.60291542360679584</v>
      </c>
      <c r="J24" s="3227">
        <v>0.51202499053834316</v>
      </c>
      <c r="K24" s="3227">
        <v>29.654791222219799</v>
      </c>
      <c r="L24" s="3227">
        <v>8.1346277996819261</v>
      </c>
      <c r="M24" s="3497">
        <v>-1.850930760195713</v>
      </c>
    </row>
    <row r="25" spans="2:13" ht="18" customHeight="1" x14ac:dyDescent="0.2">
      <c r="B25" s="105" t="s">
        <v>669</v>
      </c>
      <c r="C25" s="2508"/>
      <c r="D25" s="2108"/>
      <c r="E25" s="2108"/>
      <c r="F25" s="2108"/>
      <c r="G25" s="2108"/>
      <c r="H25" s="2108"/>
      <c r="I25" s="2108"/>
      <c r="J25" s="3103">
        <f>IF(SUM(J26:J37)=0,"NO",SUM(J26:J37))</f>
        <v>0.29561385945979851</v>
      </c>
      <c r="K25" s="3103">
        <f>IF(SUM(K26:K37)=0,"NO",SUM(K26:K37))</f>
        <v>14.735872029367226</v>
      </c>
      <c r="L25" s="3103">
        <f>IF(SUM(L26:L37)=0,"NO",SUM(L26:L37))</f>
        <v>43.966798554489863</v>
      </c>
      <c r="M25" s="3226">
        <f>IF(SUM(M26:M37)=0,"NO",SUM(M26:M37))</f>
        <v>-8.9135038793298289</v>
      </c>
    </row>
    <row r="26" spans="2:13" ht="18" customHeight="1" x14ac:dyDescent="0.2">
      <c r="B26" s="2616" t="s">
        <v>559</v>
      </c>
      <c r="C26" s="2618" t="s">
        <v>559</v>
      </c>
      <c r="D26" s="3227">
        <v>0.42247258665397558</v>
      </c>
      <c r="E26" s="3227">
        <v>7.2275719008358585</v>
      </c>
      <c r="F26" s="3227">
        <v>0.4534390544425434</v>
      </c>
      <c r="G26" s="3103">
        <f>IF(SUM(D26)=0,"NA",J26/D26)</f>
        <v>6.0000000000000001E-3</v>
      </c>
      <c r="H26" s="3103">
        <f>IF(SUM(E26)=0,"NA",K26/E26)</f>
        <v>1.7482696294607272E-2</v>
      </c>
      <c r="I26" s="3103">
        <f t="shared" si="3"/>
        <v>0.66287999617683036</v>
      </c>
      <c r="J26" s="3227">
        <v>2.5348355199238536E-3</v>
      </c>
      <c r="K26" s="3227">
        <v>0.1263574444897507</v>
      </c>
      <c r="L26" s="3227">
        <v>0.37700736655892103</v>
      </c>
      <c r="M26" s="3497">
        <v>-7.6431687883622312E-2</v>
      </c>
    </row>
    <row r="27" spans="2:13" ht="18" customHeight="1" x14ac:dyDescent="0.2">
      <c r="B27" s="2616" t="s">
        <v>560</v>
      </c>
      <c r="C27" s="2618" t="s">
        <v>560</v>
      </c>
      <c r="D27" s="3227">
        <v>4.0706484915482406</v>
      </c>
      <c r="E27" s="3227">
        <v>69.63979577636124</v>
      </c>
      <c r="F27" s="3227">
        <v>4.3690195796949718</v>
      </c>
      <c r="G27" s="3103">
        <f t="shared" ref="G27:G37" si="6">IF(SUM(D27)=0,"NA",J27/D27)</f>
        <v>6.0000000000000001E-3</v>
      </c>
      <c r="H27" s="3103">
        <f t="shared" ref="H27:H37" si="7">IF(SUM(E27)=0,"NA",K27/E27)</f>
        <v>1.7482696294607272E-2</v>
      </c>
      <c r="I27" s="3103">
        <f t="shared" si="3"/>
        <v>0.66287999617683036</v>
      </c>
      <c r="J27" s="3227">
        <v>2.4423890949289446E-2</v>
      </c>
      <c r="K27" s="3227">
        <v>1.2174913995765977</v>
      </c>
      <c r="L27" s="3227">
        <v>3.6325776309898359</v>
      </c>
      <c r="M27" s="3497">
        <v>-0.7364419487051358</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9.5083365795096029</v>
      </c>
      <c r="E29" s="3227">
        <v>162.66661662012163</v>
      </c>
      <c r="F29" s="3227">
        <v>10.205280257546173</v>
      </c>
      <c r="G29" s="3103">
        <f t="shared" si="6"/>
        <v>6.000000000000001E-3</v>
      </c>
      <c r="H29" s="3103">
        <f t="shared" si="7"/>
        <v>1.7482696294607268E-2</v>
      </c>
      <c r="I29" s="3103">
        <f t="shared" si="3"/>
        <v>0.66287999617683036</v>
      </c>
      <c r="J29" s="3227">
        <v>5.7050019477057623E-2</v>
      </c>
      <c r="K29" s="3227">
        <v>2.8438510556409016</v>
      </c>
      <c r="L29" s="3227">
        <v>8.4850781978259313</v>
      </c>
      <c r="M29" s="3497">
        <v>-1.7202020597202416</v>
      </c>
    </row>
    <row r="30" spans="2:13" ht="18" customHeight="1" x14ac:dyDescent="0.2">
      <c r="B30" s="2616" t="s">
        <v>564</v>
      </c>
      <c r="C30" s="2618" t="s">
        <v>564</v>
      </c>
      <c r="D30" s="3227">
        <v>2.0956550182076948E-2</v>
      </c>
      <c r="E30" s="3227">
        <v>0.3585202401747612</v>
      </c>
      <c r="F30" s="3227">
        <v>2.2492626975396345E-2</v>
      </c>
      <c r="G30" s="3103">
        <f t="shared" si="6"/>
        <v>6.0000000000000001E-3</v>
      </c>
      <c r="H30" s="3103">
        <f t="shared" si="7"/>
        <v>1.7482696294607268E-2</v>
      </c>
      <c r="I30" s="3103">
        <f t="shared" si="3"/>
        <v>0.66287999617683036</v>
      </c>
      <c r="J30" s="3227">
        <v>1.2573930109246168E-4</v>
      </c>
      <c r="K30" s="3227">
        <v>6.2679004744450057E-3</v>
      </c>
      <c r="L30" s="3227">
        <v>1.8701269729426973E-2</v>
      </c>
      <c r="M30" s="3497">
        <v>-3.7913572459693716E-3</v>
      </c>
    </row>
    <row r="31" spans="2:13" ht="18" customHeight="1" x14ac:dyDescent="0.2">
      <c r="B31" s="2616" t="s">
        <v>565</v>
      </c>
      <c r="C31" s="2618" t="s">
        <v>565</v>
      </c>
      <c r="D31" s="3227">
        <v>25.835452308995613</v>
      </c>
      <c r="E31" s="3227">
        <v>441.98746866106148</v>
      </c>
      <c r="F31" s="3227">
        <v>27.729143703426505</v>
      </c>
      <c r="G31" s="3103">
        <f t="shared" si="6"/>
        <v>6.000000000000001E-3</v>
      </c>
      <c r="H31" s="3103">
        <f t="shared" si="7"/>
        <v>1.7482696294607268E-2</v>
      </c>
      <c r="I31" s="3103">
        <f t="shared" si="3"/>
        <v>0.66287999617683047</v>
      </c>
      <c r="J31" s="3227">
        <v>0.15501271385397369</v>
      </c>
      <c r="K31" s="3227">
        <v>7.727132680623586</v>
      </c>
      <c r="L31" s="3227">
        <v>23.055119187770327</v>
      </c>
      <c r="M31" s="3497">
        <v>-4.674024515656181</v>
      </c>
    </row>
    <row r="32" spans="2:13" ht="18" customHeight="1" x14ac:dyDescent="0.2">
      <c r="B32" s="2616" t="s">
        <v>567</v>
      </c>
      <c r="C32" s="2618" t="s">
        <v>567</v>
      </c>
      <c r="D32" s="3227" t="s">
        <v>2146</v>
      </c>
      <c r="E32" s="3227">
        <v>106.35968531615457</v>
      </c>
      <c r="F32" s="3227">
        <v>6.6727299018618051</v>
      </c>
      <c r="G32" s="3103" t="str">
        <f t="shared" si="6"/>
        <v>NA</v>
      </c>
      <c r="H32" s="3103">
        <f t="shared" si="7"/>
        <v>1.7482696294607268E-2</v>
      </c>
      <c r="I32" s="3103">
        <f t="shared" si="3"/>
        <v>0.66287999617683036</v>
      </c>
      <c r="J32" s="3227">
        <v>3.7302196633440997E-2</v>
      </c>
      <c r="K32" s="3227">
        <v>1.8594540763723306</v>
      </c>
      <c r="L32" s="3227">
        <v>5.5479745368484901</v>
      </c>
      <c r="M32" s="3497">
        <v>-1.1247553650133149</v>
      </c>
    </row>
    <row r="33" spans="2:13" ht="18" customHeight="1" x14ac:dyDescent="0.2">
      <c r="B33" s="2616" t="s">
        <v>569</v>
      </c>
      <c r="C33" s="2618" t="s">
        <v>569</v>
      </c>
      <c r="D33" s="3227">
        <v>0.93414754254867771</v>
      </c>
      <c r="E33" s="3227">
        <v>15.981199119292388</v>
      </c>
      <c r="F33" s="3227">
        <v>1.0026188486166288</v>
      </c>
      <c r="G33" s="3103">
        <f t="shared" si="6"/>
        <v>5.9999999999999993E-3</v>
      </c>
      <c r="H33" s="3103">
        <f t="shared" si="7"/>
        <v>1.7482696294607268E-2</v>
      </c>
      <c r="I33" s="3103">
        <f t="shared" si="3"/>
        <v>0.66287999617683036</v>
      </c>
      <c r="J33" s="3227">
        <v>5.6048852552920657E-3</v>
      </c>
      <c r="K33" s="3227">
        <v>0.27939445062623397</v>
      </c>
      <c r="L33" s="3227">
        <v>0.83361741357721886</v>
      </c>
      <c r="M33" s="3497">
        <v>-0.16900143503940987</v>
      </c>
    </row>
    <row r="34" spans="2:13" ht="18" customHeight="1" x14ac:dyDescent="0.2">
      <c r="B34" s="2616" t="s">
        <v>571</v>
      </c>
      <c r="C34" s="2618" t="s">
        <v>571</v>
      </c>
      <c r="D34" s="3227">
        <v>0.38584789976252992</v>
      </c>
      <c r="E34" s="3227">
        <v>6.6010044826986629</v>
      </c>
      <c r="F34" s="3227">
        <v>0.41412984499811312</v>
      </c>
      <c r="G34" s="3103">
        <f t="shared" si="6"/>
        <v>5.9999999999999993E-3</v>
      </c>
      <c r="H34" s="3103">
        <f t="shared" si="7"/>
        <v>1.7482696294607272E-2</v>
      </c>
      <c r="I34" s="3103">
        <f t="shared" si="3"/>
        <v>0.66287999617683024</v>
      </c>
      <c r="J34" s="3227">
        <v>2.3150873985751793E-3</v>
      </c>
      <c r="K34" s="3227">
        <v>0.1154033566103619</v>
      </c>
      <c r="L34" s="3227">
        <v>0.34432411753358683</v>
      </c>
      <c r="M34" s="3497">
        <v>-6.9805727464526263E-2</v>
      </c>
    </row>
    <row r="35" spans="2:13" ht="18" customHeight="1" x14ac:dyDescent="0.2">
      <c r="B35" s="2616" t="s">
        <v>574</v>
      </c>
      <c r="C35" s="2618" t="s">
        <v>574</v>
      </c>
      <c r="D35" s="3227">
        <v>3.1815572789187715E-2</v>
      </c>
      <c r="E35" s="3227">
        <v>0.54429410845648574</v>
      </c>
      <c r="F35" s="3227">
        <v>3.4147596075607842E-2</v>
      </c>
      <c r="G35" s="3103">
        <f t="shared" si="6"/>
        <v>6.000000000000001E-3</v>
      </c>
      <c r="H35" s="3103">
        <f t="shared" si="7"/>
        <v>1.7482696294607268E-2</v>
      </c>
      <c r="I35" s="3103">
        <f t="shared" si="3"/>
        <v>0.66287999617683024</v>
      </c>
      <c r="J35" s="3227">
        <v>1.9089343673512631E-4</v>
      </c>
      <c r="K35" s="3227">
        <v>9.5157285930887701E-3</v>
      </c>
      <c r="L35" s="3227">
        <v>2.8391677215827357E-2</v>
      </c>
      <c r="M35" s="3497">
        <v>-5.7559188597804834E-3</v>
      </c>
    </row>
    <row r="36" spans="2:13" ht="18" customHeight="1" x14ac:dyDescent="0.2">
      <c r="B36" s="2616" t="s">
        <v>576</v>
      </c>
      <c r="C36" s="2618" t="s">
        <v>576</v>
      </c>
      <c r="D36" s="3227">
        <v>1.0854986277467762</v>
      </c>
      <c r="E36" s="3227">
        <v>18.570481560557024</v>
      </c>
      <c r="F36" s="3227">
        <v>1.1650636914989161</v>
      </c>
      <c r="G36" s="3103">
        <f t="shared" si="6"/>
        <v>6.0000000000000001E-3</v>
      </c>
      <c r="H36" s="3103">
        <f t="shared" si="7"/>
        <v>1.7482696294607268E-2</v>
      </c>
      <c r="I36" s="3103">
        <f t="shared" si="3"/>
        <v>0.66287999617683047</v>
      </c>
      <c r="J36" s="3227">
        <v>6.5129917664806568E-3</v>
      </c>
      <c r="K36" s="3227">
        <v>0.32466208916782285</v>
      </c>
      <c r="L36" s="3227">
        <v>0.96868055343274084</v>
      </c>
      <c r="M36" s="3497">
        <v>-0.19638313806617533</v>
      </c>
    </row>
    <row r="37" spans="2:13" ht="18" customHeight="1" x14ac:dyDescent="0.2">
      <c r="B37" s="2616" t="s">
        <v>577</v>
      </c>
      <c r="C37" s="2618" t="s">
        <v>577</v>
      </c>
      <c r="D37" s="3227">
        <v>0.75676764465623481</v>
      </c>
      <c r="E37" s="3227">
        <v>12.946621240679422</v>
      </c>
      <c r="F37" s="3227">
        <v>0.812237328683027</v>
      </c>
      <c r="G37" s="3103">
        <f t="shared" si="6"/>
        <v>6.0000000000000001E-3</v>
      </c>
      <c r="H37" s="3103">
        <f t="shared" si="7"/>
        <v>1.7482696294607275E-2</v>
      </c>
      <c r="I37" s="3103">
        <f t="shared" si="3"/>
        <v>0.66287999617683036</v>
      </c>
      <c r="J37" s="3227">
        <v>4.5406058679374091E-3</v>
      </c>
      <c r="K37" s="3227">
        <v>0.22634184719210995</v>
      </c>
      <c r="L37" s="3227">
        <v>0.67532660300755543</v>
      </c>
      <c r="M37" s="3497">
        <v>-0.13691072567547158</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8.0375999474578137</v>
      </c>
      <c r="K51" s="3103">
        <f>IF(SUM(K52:K63)=0,"NO",SUM(K52:K63))</f>
        <v>147.95494488546061</v>
      </c>
      <c r="L51" s="3103">
        <f>IF(SUM(L52:L63)=0,"NO",SUM(L52:L63))</f>
        <v>69.901326392209526</v>
      </c>
      <c r="M51" s="3226">
        <f>IF(SUM(M52:M63)=0,"NO",SUM(M52:M63))</f>
        <v>-16.533158167692871</v>
      </c>
    </row>
    <row r="52" spans="2:13" ht="18" customHeight="1" x14ac:dyDescent="0.2">
      <c r="B52" s="2616" t="s">
        <v>559</v>
      </c>
      <c r="C52" s="2618" t="s">
        <v>559</v>
      </c>
      <c r="D52" s="3227">
        <v>1.3513915621498154</v>
      </c>
      <c r="E52" s="3227">
        <v>6.3248299795125016</v>
      </c>
      <c r="F52" s="3227">
        <v>0.74116011343015686</v>
      </c>
      <c r="G52" s="3103">
        <f>IF(SUM(D52)=0,"NA",J52/D52)</f>
        <v>5.0999999999999997E-2</v>
      </c>
      <c r="H52" s="3103">
        <f>IF(SUM(E52)=0,"NA",K52/E52)</f>
        <v>0.20058831104241295</v>
      </c>
      <c r="I52" s="3103">
        <f t="shared" si="3"/>
        <v>0.61744069506807175</v>
      </c>
      <c r="J52" s="3227">
        <v>6.8920969669640578E-2</v>
      </c>
      <c r="K52" s="3227">
        <v>1.268686963220832</v>
      </c>
      <c r="L52" s="3227">
        <v>0.59939126451160174</v>
      </c>
      <c r="M52" s="3497">
        <v>-0.14176884891855482</v>
      </c>
    </row>
    <row r="53" spans="2:13" ht="18" customHeight="1" x14ac:dyDescent="0.2">
      <c r="B53" s="2616" t="s">
        <v>560</v>
      </c>
      <c r="C53" s="2618" t="s">
        <v>560</v>
      </c>
      <c r="D53" s="3227">
        <v>13.021057928337891</v>
      </c>
      <c r="E53" s="3227">
        <v>60.941610009098504</v>
      </c>
      <c r="F53" s="3227">
        <v>7.1412971942751273</v>
      </c>
      <c r="G53" s="3103">
        <f t="shared" ref="G53:G63" si="36">IF(SUM(D53)=0,"NA",J53/D53)</f>
        <v>5.0999999999999997E-2</v>
      </c>
      <c r="H53" s="3103">
        <f t="shared" ref="H53:H63" si="37">IF(SUM(E53)=0,"NA",K53/E53)</f>
        <v>0.20058831104241298</v>
      </c>
      <c r="I53" s="3103">
        <f t="shared" si="3"/>
        <v>0.61744069506807142</v>
      </c>
      <c r="J53" s="3227">
        <v>0.66407395434523242</v>
      </c>
      <c r="K53" s="3227">
        <v>12.224174623930478</v>
      </c>
      <c r="L53" s="3227">
        <v>5.7753123487980123</v>
      </c>
      <c r="M53" s="3497">
        <v>-1.3659848454771095</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30.414957631686601</v>
      </c>
      <c r="E55" s="3227">
        <v>142.34914679241419</v>
      </c>
      <c r="F55" s="3227">
        <v>16.680845196645688</v>
      </c>
      <c r="G55" s="3103">
        <f t="shared" si="36"/>
        <v>5.0999999999999997E-2</v>
      </c>
      <c r="H55" s="3103">
        <f t="shared" si="37"/>
        <v>0.20058831104241295</v>
      </c>
      <c r="I55" s="3103">
        <f t="shared" si="3"/>
        <v>0.61744069506807142</v>
      </c>
      <c r="J55" s="3227">
        <v>1.5511628392160166</v>
      </c>
      <c r="K55" s="3227">
        <v>28.553574933418876</v>
      </c>
      <c r="L55" s="3227">
        <v>13.490138924592745</v>
      </c>
      <c r="M55" s="3497">
        <v>-3.1907062720529309</v>
      </c>
    </row>
    <row r="56" spans="2:13" ht="18" customHeight="1" x14ac:dyDescent="0.2">
      <c r="B56" s="2616" t="s">
        <v>564</v>
      </c>
      <c r="C56" s="2618" t="s">
        <v>564</v>
      </c>
      <c r="D56" s="3227">
        <v>6.7035130757546052E-2</v>
      </c>
      <c r="E56" s="3227">
        <v>0.31374015982561299</v>
      </c>
      <c r="F56" s="3227">
        <v>3.6764892210093804E-2</v>
      </c>
      <c r="G56" s="3103">
        <f t="shared" si="36"/>
        <v>5.0999999999999997E-2</v>
      </c>
      <c r="H56" s="3103">
        <f t="shared" si="37"/>
        <v>0.20058831104241298</v>
      </c>
      <c r="I56" s="3103">
        <f t="shared" si="3"/>
        <v>0.61744069506807131</v>
      </c>
      <c r="J56" s="3227">
        <v>3.4187916686348485E-3</v>
      </c>
      <c r="K56" s="3227">
        <v>6.2932608765596421E-2</v>
      </c>
      <c r="L56" s="3227">
        <v>2.9732516405198403E-2</v>
      </c>
      <c r="M56" s="3497">
        <v>-7.0323758048953669E-3</v>
      </c>
    </row>
    <row r="57" spans="2:13" ht="18" customHeight="1" x14ac:dyDescent="0.2">
      <c r="B57" s="2616" t="s">
        <v>565</v>
      </c>
      <c r="C57" s="2618" t="s">
        <v>565</v>
      </c>
      <c r="D57" s="3227">
        <v>82.641604112639499</v>
      </c>
      <c r="E57" s="3227">
        <v>386.7821213972328</v>
      </c>
      <c r="F57" s="3227">
        <v>45.324140237145983</v>
      </c>
      <c r="G57" s="3103">
        <f t="shared" si="36"/>
        <v>5.0999999999999997E-2</v>
      </c>
      <c r="H57" s="3103">
        <f t="shared" si="37"/>
        <v>0.20058831104241298</v>
      </c>
      <c r="I57" s="3103">
        <f t="shared" si="3"/>
        <v>0.6174406950680712</v>
      </c>
      <c r="J57" s="3227">
        <v>4.2147218097446144</v>
      </c>
      <c r="K57" s="3227">
        <v>77.583972472472468</v>
      </c>
      <c r="L57" s="3227">
        <v>36.65455444426604</v>
      </c>
      <c r="M57" s="3497">
        <v>-8.6695857928798947</v>
      </c>
    </row>
    <row r="58" spans="2:13" ht="18" customHeight="1" x14ac:dyDescent="0.2">
      <c r="B58" s="2616" t="s">
        <v>567</v>
      </c>
      <c r="C58" s="2618" t="s">
        <v>567</v>
      </c>
      <c r="D58" s="3227">
        <v>19.886842118103079</v>
      </c>
      <c r="E58" s="3227">
        <v>93.075092925928899</v>
      </c>
      <c r="F58" s="3227">
        <v>10.906782736288019</v>
      </c>
      <c r="G58" s="3103">
        <f t="shared" si="36"/>
        <v>5.1000000000000004E-2</v>
      </c>
      <c r="H58" s="3103">
        <f t="shared" si="37"/>
        <v>0.20058831104241295</v>
      </c>
      <c r="I58" s="3103">
        <f t="shared" si="3"/>
        <v>0.61744069506807153</v>
      </c>
      <c r="J58" s="3227">
        <v>1.0142289480232571</v>
      </c>
      <c r="K58" s="3227">
        <v>18.669775690127715</v>
      </c>
      <c r="L58" s="3227">
        <v>8.8205371249690643</v>
      </c>
      <c r="M58" s="3497">
        <v>-2.0862456113189469</v>
      </c>
    </row>
    <row r="59" spans="2:13" ht="18" customHeight="1" x14ac:dyDescent="0.2">
      <c r="B59" s="2616" t="s">
        <v>569</v>
      </c>
      <c r="C59" s="2618" t="s">
        <v>569</v>
      </c>
      <c r="D59" s="3227">
        <v>2.9881207602168778</v>
      </c>
      <c r="E59" s="3227">
        <v>13.985107126581434</v>
      </c>
      <c r="F59" s="3227">
        <v>1.6388114175155912</v>
      </c>
      <c r="G59" s="3103">
        <f t="shared" si="36"/>
        <v>5.099999999999999E-2</v>
      </c>
      <c r="H59" s="3103">
        <f t="shared" si="37"/>
        <v>0.20058831104241293</v>
      </c>
      <c r="I59" s="3103">
        <f t="shared" si="3"/>
        <v>0.61744069506807142</v>
      </c>
      <c r="J59" s="3227">
        <v>0.15239415877106074</v>
      </c>
      <c r="K59" s="3227">
        <v>2.8052490182681824</v>
      </c>
      <c r="L59" s="3227">
        <v>1.3253401391159541</v>
      </c>
      <c r="M59" s="3497">
        <v>-0.31347127839963601</v>
      </c>
    </row>
    <row r="60" spans="2:13" ht="18" customHeight="1" x14ac:dyDescent="0.2">
      <c r="B60" s="2616" t="s">
        <v>571</v>
      </c>
      <c r="C60" s="2618" t="s">
        <v>571</v>
      </c>
      <c r="D60" s="3227">
        <v>1.2342377055564719</v>
      </c>
      <c r="E60" s="3227">
        <v>5.7765224088937197</v>
      </c>
      <c r="F60" s="3227">
        <v>0.67690799874078267</v>
      </c>
      <c r="G60" s="3103">
        <f t="shared" si="36"/>
        <v>5.0999999999999997E-2</v>
      </c>
      <c r="H60" s="3103">
        <f t="shared" si="37"/>
        <v>0.20058831104241293</v>
      </c>
      <c r="I60" s="3103">
        <f t="shared" si="3"/>
        <v>0.61744069506807198</v>
      </c>
      <c r="J60" s="3227">
        <v>6.2946122983380065E-2</v>
      </c>
      <c r="K60" s="3227">
        <v>1.1587028736986418</v>
      </c>
      <c r="L60" s="3227">
        <v>0.54742927199021452</v>
      </c>
      <c r="M60" s="3497">
        <v>-0.12947872675056807</v>
      </c>
    </row>
    <row r="61" spans="2:13" ht="18" customHeight="1" x14ac:dyDescent="0.2">
      <c r="B61" s="2616" t="s">
        <v>574</v>
      </c>
      <c r="C61" s="2618" t="s">
        <v>574</v>
      </c>
      <c r="D61" s="3227">
        <v>0.10177061890050314</v>
      </c>
      <c r="E61" s="3227">
        <v>0.47631040438898747</v>
      </c>
      <c r="F61" s="3227">
        <v>5.5815298512121539E-2</v>
      </c>
      <c r="G61" s="3103">
        <f t="shared" si="36"/>
        <v>5.1000000000000004E-2</v>
      </c>
      <c r="H61" s="3103">
        <f t="shared" si="37"/>
        <v>0.20058831104241293</v>
      </c>
      <c r="I61" s="3103">
        <f t="shared" si="3"/>
        <v>0.61744069506807131</v>
      </c>
      <c r="J61" s="3227">
        <v>5.1903015639256601E-3</v>
      </c>
      <c r="K61" s="3227">
        <v>9.5542299548315696E-2</v>
      </c>
      <c r="L61" s="3227">
        <v>4.5138967610438854E-2</v>
      </c>
      <c r="M61" s="3497">
        <v>-1.0676330901682641E-2</v>
      </c>
    </row>
    <row r="62" spans="2:13" ht="18" customHeight="1" x14ac:dyDescent="0.2">
      <c r="B62" s="2616" t="s">
        <v>576</v>
      </c>
      <c r="C62" s="2618" t="s">
        <v>576</v>
      </c>
      <c r="D62" s="3227">
        <v>3.4722576863044665</v>
      </c>
      <c r="E62" s="3227">
        <v>16.250981674026878</v>
      </c>
      <c r="F62" s="3227">
        <v>1.9043325211726121</v>
      </c>
      <c r="G62" s="3103">
        <f t="shared" si="36"/>
        <v>5.0999999999999997E-2</v>
      </c>
      <c r="H62" s="3103">
        <f t="shared" si="37"/>
        <v>0.20058831104241298</v>
      </c>
      <c r="I62" s="3103">
        <f t="shared" si="3"/>
        <v>0.61744069506807142</v>
      </c>
      <c r="J62" s="3227">
        <v>0.17708514200152778</v>
      </c>
      <c r="K62" s="3227">
        <v>3.2597569667742565</v>
      </c>
      <c r="L62" s="3227">
        <v>1.5400724583430807</v>
      </c>
      <c r="M62" s="3497">
        <v>-0.36426006282953016</v>
      </c>
    </row>
    <row r="63" spans="2:13" ht="18" customHeight="1" x14ac:dyDescent="0.2">
      <c r="B63" s="2616" t="s">
        <v>577</v>
      </c>
      <c r="C63" s="2618" t="s">
        <v>577</v>
      </c>
      <c r="D63" s="3227">
        <v>2.4207237151083012</v>
      </c>
      <c r="E63" s="3227">
        <v>11.329555662666275</v>
      </c>
      <c r="F63" s="3227">
        <v>1.327626953966315</v>
      </c>
      <c r="G63" s="3103">
        <f t="shared" si="36"/>
        <v>5.0999999999999997E-2</v>
      </c>
      <c r="H63" s="3103">
        <f t="shared" si="37"/>
        <v>0.20058831104241293</v>
      </c>
      <c r="I63" s="3103">
        <f t="shared" si="3"/>
        <v>0.61744069506807142</v>
      </c>
      <c r="J63" s="3227">
        <v>0.12345690947052335</v>
      </c>
      <c r="K63" s="3227">
        <v>2.2725764352352336</v>
      </c>
      <c r="L63" s="3227">
        <v>1.0736789316071911</v>
      </c>
      <c r="M63" s="3497">
        <v>-0.25394802235912306</v>
      </c>
    </row>
    <row r="64" spans="2:13" ht="18" customHeight="1" x14ac:dyDescent="0.2">
      <c r="B64" s="104" t="s">
        <v>672</v>
      </c>
      <c r="C64" s="2508"/>
      <c r="D64" s="2108"/>
      <c r="E64" s="2108"/>
      <c r="F64" s="2108"/>
      <c r="G64" s="2108"/>
      <c r="H64" s="2108"/>
      <c r="I64" s="2108"/>
      <c r="J64" s="3103">
        <f>IF(SUM(J65:J76)=0,"NO",SUM(J65:J76))</f>
        <v>0.45872691567637791</v>
      </c>
      <c r="K64" s="3103">
        <f>IF(SUM(K65:K76)=0,"NO",SUM(K65:K76))</f>
        <v>466.85779435798094</v>
      </c>
      <c r="L64" s="3103">
        <f>IF(SUM(L65:L76)=0,"NO",SUM(L65:L76))</f>
        <v>132.0238522287456</v>
      </c>
      <c r="M64" s="3226">
        <f>IF(SUM(M65:M76)=0,"NO",SUM(M65:M76))</f>
        <v>-45.500149328815738</v>
      </c>
    </row>
    <row r="65" spans="2:13" ht="18" customHeight="1" x14ac:dyDescent="0.2">
      <c r="B65" s="2616" t="s">
        <v>559</v>
      </c>
      <c r="C65" s="2618" t="s">
        <v>559</v>
      </c>
      <c r="D65" s="3227">
        <v>1.1238573009944024</v>
      </c>
      <c r="E65" s="3227">
        <v>40.758788841786519</v>
      </c>
      <c r="F65" s="3227">
        <v>1.6471780049911464</v>
      </c>
      <c r="G65" s="3103">
        <f>IF(SUM(D65)=0,"NA",J65/D65)</f>
        <v>3.5000000000000001E-3</v>
      </c>
      <c r="H65" s="3103">
        <f>IF(SUM(E65)=0,"NA",K65/E65)</f>
        <v>9.8217378023875354E-2</v>
      </c>
      <c r="I65" s="3103">
        <f t="shared" si="3"/>
        <v>0.45042195946881686</v>
      </c>
      <c r="J65" s="3227">
        <v>3.9335005534804086E-3</v>
      </c>
      <c r="K65" s="3227">
        <v>4.003221371469059</v>
      </c>
      <c r="L65" s="3227">
        <v>1.1320807174540262</v>
      </c>
      <c r="M65" s="3497">
        <v>-0.39015557285197744</v>
      </c>
    </row>
    <row r="66" spans="2:13" ht="18" customHeight="1" x14ac:dyDescent="0.2">
      <c r="B66" s="2616" t="s">
        <v>560</v>
      </c>
      <c r="C66" s="2618" t="s">
        <v>560</v>
      </c>
      <c r="D66" s="3227">
        <v>10.828697935744017</v>
      </c>
      <c r="E66" s="3227">
        <v>392.72300158032095</v>
      </c>
      <c r="F66" s="3227">
        <v>15.871047904986131</v>
      </c>
      <c r="G66" s="3103">
        <f t="shared" ref="G66:G76" si="38">IF(SUM(D66)=0,"NA",J66/D66)</f>
        <v>3.5000000000000001E-3</v>
      </c>
      <c r="H66" s="3103">
        <f t="shared" ref="H66:H76" si="39">IF(SUM(E66)=0,"NA",K66/E66)</f>
        <v>9.8217378023875354E-2</v>
      </c>
      <c r="I66" s="3103">
        <f t="shared" si="3"/>
        <v>0.45042195946881719</v>
      </c>
      <c r="J66" s="3227">
        <v>3.7900442775104064E-2</v>
      </c>
      <c r="K66" s="3227">
        <v>38.572223504885379</v>
      </c>
      <c r="L66" s="3227">
        <v>10.907932988772821</v>
      </c>
      <c r="M66" s="3497">
        <v>-3.7592644925855012</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25.293980775955873</v>
      </c>
      <c r="E68" s="3227">
        <v>917.33356227983234</v>
      </c>
      <c r="F68" s="3227">
        <v>37.072045317460564</v>
      </c>
      <c r="G68" s="3103">
        <f t="shared" si="38"/>
        <v>3.5000000000000001E-3</v>
      </c>
      <c r="H68" s="3103">
        <f t="shared" si="39"/>
        <v>9.8217378023875354E-2</v>
      </c>
      <c r="I68" s="3103">
        <f t="shared" si="3"/>
        <v>0.45042195946881669</v>
      </c>
      <c r="J68" s="3227">
        <v>8.8528932715845554E-2</v>
      </c>
      <c r="K68" s="3227">
        <v>90.098097260426499</v>
      </c>
      <c r="L68" s="3227">
        <v>25.479060267505517</v>
      </c>
      <c r="M68" s="3497">
        <v>-8.7809969740981568</v>
      </c>
    </row>
    <row r="69" spans="2:13" ht="18" customHeight="1" x14ac:dyDescent="0.2">
      <c r="B69" s="2616" t="s">
        <v>564</v>
      </c>
      <c r="C69" s="2618" t="s">
        <v>564</v>
      </c>
      <c r="D69" s="3227">
        <v>5.5748402783523221E-2</v>
      </c>
      <c r="E69" s="3227">
        <v>2.0218201859880107</v>
      </c>
      <c r="F69" s="3227">
        <v>8.170747549280194E-2</v>
      </c>
      <c r="G69" s="3103">
        <f t="shared" si="38"/>
        <v>3.4999999999999996E-3</v>
      </c>
      <c r="H69" s="3103">
        <f t="shared" si="39"/>
        <v>9.8217378023875354E-2</v>
      </c>
      <c r="I69" s="3103">
        <f t="shared" si="3"/>
        <v>0.4504219594688168</v>
      </c>
      <c r="J69" s="3227">
        <v>1.9511940974233126E-4</v>
      </c>
      <c r="K69" s="3227">
        <v>0.19857787750348643</v>
      </c>
      <c r="L69" s="3227">
        <v>5.615632141575716E-2</v>
      </c>
      <c r="M69" s="3497">
        <v>-1.9353480201038983E-2</v>
      </c>
    </row>
    <row r="70" spans="2:13" ht="18" customHeight="1" x14ac:dyDescent="0.2">
      <c r="B70" s="2616" t="s">
        <v>565</v>
      </c>
      <c r="C70" s="2618" t="s">
        <v>565</v>
      </c>
      <c r="D70" s="3227">
        <v>68.727208863231397</v>
      </c>
      <c r="E70" s="3227">
        <v>2492.520884335795</v>
      </c>
      <c r="F70" s="3227">
        <v>100.72982280204202</v>
      </c>
      <c r="G70" s="3103">
        <f t="shared" si="38"/>
        <v>3.5000000000000005E-3</v>
      </c>
      <c r="H70" s="3103">
        <f t="shared" si="39"/>
        <v>9.8217378023875354E-2</v>
      </c>
      <c r="I70" s="3103">
        <f t="shared" si="3"/>
        <v>0.45042195946881675</v>
      </c>
      <c r="J70" s="3227">
        <v>0.24054523102130992</v>
      </c>
      <c r="K70" s="3227">
        <v>244.80886592921289</v>
      </c>
      <c r="L70" s="3227">
        <v>69.23009518170781</v>
      </c>
      <c r="M70" s="3497">
        <v>-23.859171018265339</v>
      </c>
    </row>
    <row r="71" spans="2:13" ht="18" customHeight="1" x14ac:dyDescent="0.2">
      <c r="B71" s="2616" t="s">
        <v>567</v>
      </c>
      <c r="C71" s="2618" t="s">
        <v>567</v>
      </c>
      <c r="D71" s="3227">
        <v>16.538487684944869</v>
      </c>
      <c r="E71" s="3227">
        <v>599.79921536009329</v>
      </c>
      <c r="F71" s="3227">
        <v>24.23958373216443</v>
      </c>
      <c r="G71" s="3103">
        <f t="shared" si="38"/>
        <v>3.5000000000000005E-3</v>
      </c>
      <c r="H71" s="3103">
        <f t="shared" si="39"/>
        <v>9.8217378023875354E-2</v>
      </c>
      <c r="I71" s="3103">
        <f t="shared" si="3"/>
        <v>0.4504219594688173</v>
      </c>
      <c r="J71" s="3227">
        <v>5.7884706897307049E-2</v>
      </c>
      <c r="K71" s="3227">
        <v>58.91070627344611</v>
      </c>
      <c r="L71" s="3227">
        <v>16.65950204479762</v>
      </c>
      <c r="M71" s="3497">
        <v>-5.7414612434476489</v>
      </c>
    </row>
    <row r="72" spans="2:13" ht="18" customHeight="1" x14ac:dyDescent="0.2">
      <c r="B72" s="2616" t="s">
        <v>569</v>
      </c>
      <c r="C72" s="2618" t="s">
        <v>569</v>
      </c>
      <c r="D72" s="3227">
        <v>2.485009842210625</v>
      </c>
      <c r="E72" s="3227">
        <v>90.123533778536668</v>
      </c>
      <c r="F72" s="3227">
        <v>3.6421470507457672</v>
      </c>
      <c r="G72" s="3103">
        <f t="shared" si="38"/>
        <v>3.5000000000000001E-3</v>
      </c>
      <c r="H72" s="3103">
        <f t="shared" si="39"/>
        <v>9.8217378023875382E-2</v>
      </c>
      <c r="I72" s="3103">
        <f t="shared" si="3"/>
        <v>0.4504219594688168</v>
      </c>
      <c r="J72" s="3227">
        <v>8.6975344477371874E-3</v>
      </c>
      <c r="K72" s="3227">
        <v>8.8516971859740377</v>
      </c>
      <c r="L72" s="3227">
        <v>2.5031929966206024</v>
      </c>
      <c r="M72" s="3497">
        <v>-0.86268998535012176</v>
      </c>
    </row>
    <row r="73" spans="2:13" ht="18" customHeight="1" x14ac:dyDescent="0.2">
      <c r="B73" s="2616" t="s">
        <v>571</v>
      </c>
      <c r="C73" s="2618" t="s">
        <v>571</v>
      </c>
      <c r="D73" s="3227">
        <v>1.0264286794462358</v>
      </c>
      <c r="E73" s="3227">
        <v>37.225357498399411</v>
      </c>
      <c r="F73" s="3227">
        <v>1.5043820447489076</v>
      </c>
      <c r="G73" s="3103">
        <f t="shared" si="38"/>
        <v>3.4999999999999992E-3</v>
      </c>
      <c r="H73" s="3103">
        <f t="shared" si="39"/>
        <v>9.8217378023875354E-2</v>
      </c>
      <c r="I73" s="3103">
        <f t="shared" si="3"/>
        <v>0.45042195946881769</v>
      </c>
      <c r="J73" s="3227">
        <v>3.5925003780618247E-3</v>
      </c>
      <c r="K73" s="3227">
        <v>3.6561770094941979</v>
      </c>
      <c r="L73" s="3227">
        <v>1.0339391974539232</v>
      </c>
      <c r="M73" s="3497">
        <v>-0.35633248906841369</v>
      </c>
    </row>
    <row r="74" spans="2:13" ht="18" customHeight="1" x14ac:dyDescent="0.2">
      <c r="B74" s="2616" t="s">
        <v>574</v>
      </c>
      <c r="C74" s="2618" t="s">
        <v>574</v>
      </c>
      <c r="D74" s="3227">
        <v>8.4635464865637292E-2</v>
      </c>
      <c r="E74" s="3227">
        <v>3.0694635679571327</v>
      </c>
      <c r="F74" s="3227">
        <v>0.12404570940236573</v>
      </c>
      <c r="G74" s="3103">
        <f t="shared" si="38"/>
        <v>3.4999999999999996E-3</v>
      </c>
      <c r="H74" s="3103">
        <f t="shared" si="39"/>
        <v>9.8217378023875354E-2</v>
      </c>
      <c r="I74" s="3103">
        <f t="shared" si="3"/>
        <v>0.45042195946881658</v>
      </c>
      <c r="J74" s="3227">
        <v>2.9622412702973047E-4</v>
      </c>
      <c r="K74" s="3227">
        <v>0.30147466358455893</v>
      </c>
      <c r="L74" s="3227">
        <v>8.5254754053177506E-2</v>
      </c>
      <c r="M74" s="3497">
        <v>-2.9381842560464527E-2</v>
      </c>
    </row>
    <row r="75" spans="2:13" ht="18" customHeight="1" x14ac:dyDescent="0.2">
      <c r="B75" s="2616" t="s">
        <v>576</v>
      </c>
      <c r="C75" s="2618" t="s">
        <v>576</v>
      </c>
      <c r="D75" s="3227">
        <v>2.8876324678832015</v>
      </c>
      <c r="E75" s="3227">
        <v>104.72539699390582</v>
      </c>
      <c r="F75" s="3227">
        <v>4.2322496667387881</v>
      </c>
      <c r="G75" s="3103">
        <f t="shared" si="38"/>
        <v>3.5000000000000001E-3</v>
      </c>
      <c r="H75" s="3103">
        <f t="shared" si="39"/>
        <v>9.821737802387534E-2</v>
      </c>
      <c r="I75" s="3103">
        <f t="shared" si="3"/>
        <v>0.45042195946881725</v>
      </c>
      <c r="J75" s="3227">
        <v>1.0106713637591205E-2</v>
      </c>
      <c r="K75" s="3227">
        <v>10.285853905250866</v>
      </c>
      <c r="L75" s="3227">
        <v>2.9087616667100686</v>
      </c>
      <c r="M75" s="3497">
        <v>-1.0024634788563349</v>
      </c>
    </row>
    <row r="76" spans="2:13" ht="18" customHeight="1" x14ac:dyDescent="0.2">
      <c r="B76" s="2616" t="s">
        <v>577</v>
      </c>
      <c r="C76" s="2618" t="s">
        <v>577</v>
      </c>
      <c r="D76" s="3227">
        <v>2.0131456323338788</v>
      </c>
      <c r="E76" s="3227">
        <v>73.010494894200122</v>
      </c>
      <c r="F76" s="3227">
        <v>2.9505607193104622</v>
      </c>
      <c r="G76" s="3103">
        <f t="shared" si="38"/>
        <v>3.4999999999999996E-3</v>
      </c>
      <c r="H76" s="3103">
        <f t="shared" si="39"/>
        <v>9.8217378023875354E-2</v>
      </c>
      <c r="I76" s="3103">
        <f t="shared" si="3"/>
        <v>0.45042195946881686</v>
      </c>
      <c r="J76" s="3227">
        <v>7.0460097131685752E-3</v>
      </c>
      <c r="K76" s="3227">
        <v>7.1708993767338747</v>
      </c>
      <c r="L76" s="3227">
        <v>2.0278760922542851</v>
      </c>
      <c r="M76" s="3497">
        <v>-0.69887875153074508</v>
      </c>
    </row>
    <row r="77" spans="2:13" ht="18" customHeight="1" x14ac:dyDescent="0.2">
      <c r="B77" s="104" t="s">
        <v>673</v>
      </c>
      <c r="C77" s="2508"/>
      <c r="D77" s="2108"/>
      <c r="E77" s="2108"/>
      <c r="F77" s="2108"/>
      <c r="G77" s="2108"/>
      <c r="H77" s="2108"/>
      <c r="I77" s="2108"/>
      <c r="J77" s="3103">
        <f>IF(SUM(J78:J89)=0,"NO",SUM(J78:J89))</f>
        <v>1.375619032752758</v>
      </c>
      <c r="K77" s="3103">
        <f>IF(SUM(K78:K89)=0,"NO",SUM(K78:K89))</f>
        <v>579.06801216087626</v>
      </c>
      <c r="L77" s="3103">
        <f>IF(SUM(L78:L89)=0,"NO",SUM(L78:L89))</f>
        <v>581.30674933469868</v>
      </c>
      <c r="M77" s="3226">
        <f>IF(SUM(M78:M89)=0,"NO",SUM(M78:M89))</f>
        <v>-150.55210710882494</v>
      </c>
    </row>
    <row r="78" spans="2:13" ht="18" customHeight="1" x14ac:dyDescent="0.2">
      <c r="B78" s="2616" t="s">
        <v>559</v>
      </c>
      <c r="C78" s="2618" t="s">
        <v>559</v>
      </c>
      <c r="D78" s="3227">
        <v>0.92998393736705087</v>
      </c>
      <c r="E78" s="3227">
        <v>127.3967954985018</v>
      </c>
      <c r="F78" s="3227">
        <v>4.7818775248904215</v>
      </c>
      <c r="G78" s="3103">
        <f>IF(SUM(D78)=0,"NA",J78/D78)</f>
        <v>1.2683751393860652E-2</v>
      </c>
      <c r="H78" s="3103">
        <f>IF(SUM(E78)=0,"NA",K78/E78)</f>
        <v>3.8975892042002053E-2</v>
      </c>
      <c r="I78" s="3103">
        <f t="shared" si="3"/>
        <v>0.77242533612691877</v>
      </c>
      <c r="J78" s="3227">
        <v>1.1795685061847349E-2</v>
      </c>
      <c r="K78" s="3227">
        <v>4.9654037478466195</v>
      </c>
      <c r="L78" s="3227">
        <v>4.2251512366202988</v>
      </c>
      <c r="M78" s="3497">
        <v>-0.53150788213905653</v>
      </c>
    </row>
    <row r="79" spans="2:13" ht="18" customHeight="1" x14ac:dyDescent="0.2">
      <c r="B79" s="2616" t="s">
        <v>560</v>
      </c>
      <c r="C79" s="2618" t="s">
        <v>560</v>
      </c>
      <c r="D79" s="3227">
        <v>8.9606706598170103</v>
      </c>
      <c r="E79" s="3227">
        <v>1227.5058543592634</v>
      </c>
      <c r="F79" s="3227">
        <v>46.07480614927244</v>
      </c>
      <c r="G79" s="3103">
        <f t="shared" ref="G79:G89" si="40">IF(SUM(D79)=0,"NA",J79/D79)</f>
        <v>1.2683751393860654E-2</v>
      </c>
      <c r="H79" s="3103">
        <f t="shared" ref="H79:H89" si="41">IF(SUM(E79)=0,"NA",K79/E79)</f>
        <v>3.8975892042002046E-2</v>
      </c>
      <c r="I79" s="3103">
        <f t="shared" ref="I79:I89" si="42">IF(SUM(F79)=0,"NA",(SUM(L79:M79))/F79)</f>
        <v>0.77242533612691888</v>
      </c>
      <c r="J79" s="3227">
        <v>0.11365491897138028</v>
      </c>
      <c r="K79" s="3227">
        <v>47.843135660432132</v>
      </c>
      <c r="L79" s="3227">
        <v>117.95311709487757</v>
      </c>
      <c r="M79" s="3497">
        <v>-82.363769468043174</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20.930589508914082</v>
      </c>
      <c r="E81" s="3227">
        <v>2867.2431040900774</v>
      </c>
      <c r="F81" s="3227">
        <v>107.62284329205615</v>
      </c>
      <c r="G81" s="3103">
        <f t="shared" si="40"/>
        <v>1.2683751393860656E-2</v>
      </c>
      <c r="H81" s="3103">
        <f t="shared" si="41"/>
        <v>3.897589204200206E-2</v>
      </c>
      <c r="I81" s="3103">
        <f t="shared" si="42"/>
        <v>0.77242533612691833</v>
      </c>
      <c r="J81" s="3227">
        <v>0.26547839385801419</v>
      </c>
      <c r="K81" s="3227">
        <v>111.75335768318973</v>
      </c>
      <c r="L81" s="3227">
        <v>95.092939343828888</v>
      </c>
      <c r="M81" s="3497">
        <v>-11.962328439027758</v>
      </c>
    </row>
    <row r="82" spans="2:13" ht="18" customHeight="1" x14ac:dyDescent="0.2">
      <c r="B82" s="2616" t="s">
        <v>564</v>
      </c>
      <c r="C82" s="2618" t="s">
        <v>564</v>
      </c>
      <c r="D82" s="3227">
        <v>4.6131407498685106E-2</v>
      </c>
      <c r="E82" s="3227">
        <v>6.3194569831032235</v>
      </c>
      <c r="F82" s="3227">
        <v>0.23720274280657636</v>
      </c>
      <c r="G82" s="3103">
        <f t="shared" si="40"/>
        <v>1.2683751393860656E-2</v>
      </c>
      <c r="H82" s="3103">
        <f t="shared" si="41"/>
        <v>3.8975892042002046E-2</v>
      </c>
      <c r="I82" s="3103">
        <f t="shared" si="42"/>
        <v>0.77242533612691877</v>
      </c>
      <c r="J82" s="3227">
        <v>5.8511930416220112E-4</v>
      </c>
      <c r="K82" s="3227">
        <v>0.2463064731375072</v>
      </c>
      <c r="L82" s="3227">
        <v>0.45461175365964335</v>
      </c>
      <c r="M82" s="3497">
        <v>-0.27139034531704653</v>
      </c>
    </row>
    <row r="83" spans="2:13" ht="18" customHeight="1" x14ac:dyDescent="0.2">
      <c r="B83" s="2616" t="s">
        <v>565</v>
      </c>
      <c r="C83" s="2618" t="s">
        <v>565</v>
      </c>
      <c r="D83" s="3227">
        <v>56.871277382210963</v>
      </c>
      <c r="E83" s="3227">
        <v>7790.6920789541791</v>
      </c>
      <c r="F83" s="3227">
        <v>292.42600027667828</v>
      </c>
      <c r="G83" s="3103">
        <f t="shared" si="40"/>
        <v>1.2683751393860652E-2</v>
      </c>
      <c r="H83" s="3103">
        <f t="shared" si="41"/>
        <v>3.8975892042002053E-2</v>
      </c>
      <c r="I83" s="3103">
        <f t="shared" si="42"/>
        <v>0.77242533612691844</v>
      </c>
      <c r="J83" s="3227">
        <v>0.72134114376725411</v>
      </c>
      <c r="K83" s="3227">
        <v>303.64917340179863</v>
      </c>
      <c r="L83" s="3227">
        <v>263.48053573261427</v>
      </c>
      <c r="M83" s="3497">
        <v>-37.603284176650696</v>
      </c>
    </row>
    <row r="84" spans="2:13" ht="18" customHeight="1" x14ac:dyDescent="0.2">
      <c r="B84" s="2616" t="s">
        <v>567</v>
      </c>
      <c r="C84" s="2618" t="s">
        <v>567</v>
      </c>
      <c r="D84" s="3227">
        <v>13.685481138693175</v>
      </c>
      <c r="E84" s="3227">
        <v>1874.7489842252733</v>
      </c>
      <c r="F84" s="3227">
        <v>70.369274183065343</v>
      </c>
      <c r="G84" s="3103">
        <f t="shared" si="40"/>
        <v>1.2683751393860652E-2</v>
      </c>
      <c r="H84" s="3103">
        <f t="shared" si="41"/>
        <v>3.8975892042002039E-2</v>
      </c>
      <c r="I84" s="3103">
        <f t="shared" si="42"/>
        <v>0.77242533612691877</v>
      </c>
      <c r="J84" s="3227">
        <v>0.17358324046855322</v>
      </c>
      <c r="K84" s="3227">
        <v>73.070014015017236</v>
      </c>
      <c r="L84" s="3227">
        <v>67.008644140625762</v>
      </c>
      <c r="M84" s="3497">
        <v>-12.653633876764211</v>
      </c>
    </row>
    <row r="85" spans="2:13" ht="18" customHeight="1" x14ac:dyDescent="0.2">
      <c r="B85" s="2616" t="s">
        <v>569</v>
      </c>
      <c r="C85" s="2618" t="s">
        <v>569</v>
      </c>
      <c r="D85" s="3227" t="s">
        <v>2146</v>
      </c>
      <c r="E85" s="3227">
        <v>252.53420196114931</v>
      </c>
      <c r="F85" s="3227">
        <v>10.328392579573983</v>
      </c>
      <c r="G85" s="3103" t="str">
        <f t="shared" si="40"/>
        <v>NA</v>
      </c>
      <c r="H85" s="3103">
        <f t="shared" si="41"/>
        <v>4.3476172626446243E-2</v>
      </c>
      <c r="I85" s="3103">
        <f t="shared" si="42"/>
        <v>0.79074993345366007</v>
      </c>
      <c r="J85" s="3227">
        <v>2.6081953152212074E-2</v>
      </c>
      <c r="K85" s="3227">
        <v>10.979220558544766</v>
      </c>
      <c r="L85" s="3227">
        <v>9.6271402376619353</v>
      </c>
      <c r="M85" s="3497">
        <v>-1.4599644926805324</v>
      </c>
    </row>
    <row r="86" spans="2:13" ht="18" customHeight="1" x14ac:dyDescent="0.2">
      <c r="B86" s="2616" t="s">
        <v>571</v>
      </c>
      <c r="C86" s="2618" t="s">
        <v>571</v>
      </c>
      <c r="D86" s="3227">
        <v>0.84936244476346301</v>
      </c>
      <c r="E86" s="3227">
        <v>116.35260495572531</v>
      </c>
      <c r="F86" s="3227">
        <v>4.3673304687383583</v>
      </c>
      <c r="G86" s="3103">
        <f t="shared" si="40"/>
        <v>1.2683751393860654E-2</v>
      </c>
      <c r="H86" s="3103">
        <f t="shared" si="41"/>
        <v>3.8975892042002046E-2</v>
      </c>
      <c r="I86" s="3103">
        <f t="shared" si="42"/>
        <v>0.77242533612691855</v>
      </c>
      <c r="J86" s="3227">
        <v>1.0773102092661467E-2</v>
      </c>
      <c r="K86" s="3227">
        <v>4.5349465695600619</v>
      </c>
      <c r="L86" s="3227">
        <v>3.8692696734966434</v>
      </c>
      <c r="M86" s="3497">
        <v>-0.49583296820408468</v>
      </c>
    </row>
    <row r="87" spans="2:13" ht="18" customHeight="1" x14ac:dyDescent="0.2">
      <c r="B87" s="2616" t="s">
        <v>574</v>
      </c>
      <c r="C87" s="2618" t="s">
        <v>574</v>
      </c>
      <c r="D87" s="3227">
        <v>7.0035246278146557E-2</v>
      </c>
      <c r="E87" s="3227">
        <v>9.5940000566512627</v>
      </c>
      <c r="F87" s="3227">
        <v>0.36011371451833418</v>
      </c>
      <c r="G87" s="3103">
        <f t="shared" si="40"/>
        <v>1.2683751393860654E-2</v>
      </c>
      <c r="H87" s="3103">
        <f t="shared" si="41"/>
        <v>3.8975892042002046E-2</v>
      </c>
      <c r="I87" s="3103">
        <f t="shared" si="42"/>
        <v>0.77242533612691833</v>
      </c>
      <c r="J87" s="3227">
        <v>8.8830965259981555E-4</v>
      </c>
      <c r="K87" s="3227">
        <v>0.37393471045900112</v>
      </c>
      <c r="L87" s="3227">
        <v>0.97232375955576555</v>
      </c>
      <c r="M87" s="3497">
        <v>-0.69416280257502816</v>
      </c>
    </row>
    <row r="88" spans="2:13" ht="18" customHeight="1" x14ac:dyDescent="0.2">
      <c r="B88" s="2616" t="s">
        <v>576</v>
      </c>
      <c r="C88" s="2618" t="s">
        <v>576</v>
      </c>
      <c r="D88" s="3227" t="s">
        <v>2146</v>
      </c>
      <c r="E88" s="3227">
        <v>293.449928626955</v>
      </c>
      <c r="F88" s="3227">
        <v>12.00180427747935</v>
      </c>
      <c r="G88" s="3103" t="str">
        <f t="shared" si="40"/>
        <v>NA</v>
      </c>
      <c r="H88" s="3103">
        <f t="shared" si="41"/>
        <v>4.3476172626446222E-2</v>
      </c>
      <c r="I88" s="3103">
        <f t="shared" si="42"/>
        <v>0.7907499334536604</v>
      </c>
      <c r="J88" s="3227">
        <v>3.0307765172123864E-2</v>
      </c>
      <c r="K88" s="3227">
        <v>12.758079754203818</v>
      </c>
      <c r="L88" s="3227">
        <v>11.054577957321474</v>
      </c>
      <c r="M88" s="3497">
        <v>-1.5641520235808213</v>
      </c>
    </row>
    <row r="89" spans="2:13" ht="18" customHeight="1" x14ac:dyDescent="0.2">
      <c r="B89" s="2616" t="s">
        <v>577</v>
      </c>
      <c r="C89" s="2618" t="s">
        <v>577</v>
      </c>
      <c r="D89" s="3227" t="s">
        <v>2146</v>
      </c>
      <c r="E89" s="3227">
        <v>204.58193648068431</v>
      </c>
      <c r="F89" s="3227">
        <v>8.3671935850774251</v>
      </c>
      <c r="G89" s="3103" t="str">
        <f t="shared" si="40"/>
        <v>NA</v>
      </c>
      <c r="H89" s="3103">
        <f t="shared" si="41"/>
        <v>4.3476172626446229E-2</v>
      </c>
      <c r="I89" s="3103">
        <f t="shared" si="42"/>
        <v>0.79074993345366063</v>
      </c>
      <c r="J89" s="3227">
        <v>2.1129401251949724E-2</v>
      </c>
      <c r="K89" s="3227">
        <v>8.8944395866868877</v>
      </c>
      <c r="L89" s="3227">
        <v>7.5684384044363702</v>
      </c>
      <c r="M89" s="3497">
        <v>-0.95208063384249986</v>
      </c>
    </row>
    <row r="90" spans="2:13" ht="18" customHeight="1" x14ac:dyDescent="0.2">
      <c r="B90" s="88" t="s">
        <v>475</v>
      </c>
      <c r="C90" s="2508" t="s">
        <v>623</v>
      </c>
      <c r="D90" s="2108"/>
      <c r="E90" s="2108"/>
      <c r="F90" s="2108"/>
      <c r="G90" s="2108"/>
      <c r="H90" s="2108"/>
      <c r="I90" s="2108"/>
      <c r="J90" s="3103">
        <f>IF(SUM(J91,J104)=0,"NO",SUM(J91,J104))</f>
        <v>39.74813671679685</v>
      </c>
      <c r="K90" s="3103">
        <f t="shared" ref="K90:M90" si="43">IF(SUM(K91,K104)=0,"NO",SUM(K91,K104))</f>
        <v>4.5632799793204448</v>
      </c>
      <c r="L90" s="3103">
        <f t="shared" si="43"/>
        <v>3.6128946972680023</v>
      </c>
      <c r="M90" s="3226" t="str">
        <f t="shared" si="43"/>
        <v>NO</v>
      </c>
    </row>
    <row r="91" spans="2:13" ht="18" customHeight="1" x14ac:dyDescent="0.2">
      <c r="B91" s="104" t="s">
        <v>674</v>
      </c>
      <c r="C91" s="2508"/>
      <c r="D91" s="2108"/>
      <c r="E91" s="2108"/>
      <c r="F91" s="2108"/>
      <c r="G91" s="2108"/>
      <c r="H91" s="2108"/>
      <c r="I91" s="2108"/>
      <c r="J91" s="3103">
        <f>IF(SUM(J92:J103)=0,"NO",SUM(J92:J103))</f>
        <v>39.74813671679685</v>
      </c>
      <c r="K91" s="3103">
        <f>IF(SUM(K92:K103)=0,"NO",SUM(K92:K103))</f>
        <v>4.5632799793204448</v>
      </c>
      <c r="L91" s="3103">
        <f>IF(SUM(L92:L103)=0,"NO",SUM(L92:L103))</f>
        <v>3.6128946972680023</v>
      </c>
      <c r="M91" s="3226" t="str">
        <f>IF(SUM(M92:M103)=0,"NO",SUM(M92:M103))</f>
        <v>NO</v>
      </c>
    </row>
    <row r="92" spans="2:13" ht="18" customHeight="1" x14ac:dyDescent="0.2">
      <c r="B92" s="2616" t="s">
        <v>559</v>
      </c>
      <c r="C92" s="2618" t="s">
        <v>559</v>
      </c>
      <c r="D92" s="3227">
        <v>0.56805517048853715</v>
      </c>
      <c r="E92" s="3227">
        <v>1.6398880240830676</v>
      </c>
      <c r="F92" s="3227">
        <v>3.097992030926728E-2</v>
      </c>
      <c r="G92" s="3103">
        <f>IF(SUM(D92)=0,"NA",J92/D92)</f>
        <v>0.6</v>
      </c>
      <c r="H92" s="3103">
        <f>IF(SUM(E92)=0,"NA",K92/E92)</f>
        <v>2.3860960072225618E-2</v>
      </c>
      <c r="I92" s="3103">
        <f t="shared" ref="I92:I103" si="44">IF(SUM(F92)=0,"NA",(SUM(L92:M92))/F92)</f>
        <v>0.99999999999999623</v>
      </c>
      <c r="J92" s="3227">
        <v>0.3408331022931223</v>
      </c>
      <c r="K92" s="3227">
        <v>3.9129302665567037E-2</v>
      </c>
      <c r="L92" s="3227">
        <v>3.0979920309267162E-2</v>
      </c>
      <c r="M92" s="3497" t="s">
        <v>2146</v>
      </c>
    </row>
    <row r="93" spans="2:13" ht="18" customHeight="1" x14ac:dyDescent="0.2">
      <c r="B93" s="2616" t="s">
        <v>560</v>
      </c>
      <c r="C93" s="2618" t="s">
        <v>560</v>
      </c>
      <c r="D93" s="3227">
        <v>5.4733798024137013</v>
      </c>
      <c r="E93" s="3227">
        <v>15.800806779941981</v>
      </c>
      <c r="F93" s="3227">
        <v>0.29850070716775778</v>
      </c>
      <c r="G93" s="3103">
        <f t="shared" ref="G93:G103" si="45">IF(SUM(D93)=0,"NA",J93/D93)</f>
        <v>0.60000000000000009</v>
      </c>
      <c r="H93" s="3103">
        <f t="shared" ref="H93:H103" si="46">IF(SUM(E93)=0,"NA",K93/E93)</f>
        <v>2.3860960072225622E-2</v>
      </c>
      <c r="I93" s="3103">
        <f t="shared" si="44"/>
        <v>0.99999999999999589</v>
      </c>
      <c r="J93" s="3227">
        <v>3.2840278814482211</v>
      </c>
      <c r="K93" s="3227">
        <v>0.37702241968514749</v>
      </c>
      <c r="L93" s="3227">
        <v>0.29850070716775656</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12.784876291061225</v>
      </c>
      <c r="E95" s="3227">
        <v>36.907974098825534</v>
      </c>
      <c r="F95" s="3227">
        <v>0.69724644583427797</v>
      </c>
      <c r="G95" s="3103">
        <f t="shared" si="45"/>
        <v>0.6</v>
      </c>
      <c r="H95" s="3103">
        <f t="shared" si="46"/>
        <v>2.3860960072225622E-2</v>
      </c>
      <c r="I95" s="3103">
        <f t="shared" si="44"/>
        <v>0.99999999999999711</v>
      </c>
      <c r="J95" s="3227">
        <v>7.6709257746367356</v>
      </c>
      <c r="K95" s="3227">
        <v>0.88065969631881347</v>
      </c>
      <c r="L95" s="3227">
        <v>0.69724644583427597</v>
      </c>
      <c r="M95" s="3497" t="s">
        <v>2146</v>
      </c>
    </row>
    <row r="96" spans="2:13" ht="18" customHeight="1" x14ac:dyDescent="0.2">
      <c r="B96" s="2616" t="s">
        <v>564</v>
      </c>
      <c r="C96" s="2618" t="s">
        <v>564</v>
      </c>
      <c r="D96" s="3227">
        <v>2.8178104479667967E-2</v>
      </c>
      <c r="E96" s="3227">
        <v>8.1345859483733698E-2</v>
      </c>
      <c r="F96" s="3227">
        <v>1.5367440991612916E-3</v>
      </c>
      <c r="G96" s="3103">
        <f t="shared" si="45"/>
        <v>0.6</v>
      </c>
      <c r="H96" s="3103">
        <f t="shared" si="46"/>
        <v>2.3860960072225622E-2</v>
      </c>
      <c r="I96" s="3103">
        <f t="shared" si="44"/>
        <v>1.0000000000000011</v>
      </c>
      <c r="J96" s="3227">
        <v>1.690686268780078E-2</v>
      </c>
      <c r="K96" s="3227">
        <v>1.9409903051822457E-3</v>
      </c>
      <c r="L96" s="3227">
        <v>1.5367440991612934E-3</v>
      </c>
      <c r="M96" s="3497" t="s">
        <v>2146</v>
      </c>
    </row>
    <row r="97" spans="2:13" ht="18" customHeight="1" x14ac:dyDescent="0.2">
      <c r="B97" s="2616" t="s">
        <v>565</v>
      </c>
      <c r="C97" s="2618" t="s">
        <v>565</v>
      </c>
      <c r="D97" s="3227">
        <v>34.738259308775596</v>
      </c>
      <c r="E97" s="3227">
        <v>100.28401883739703</v>
      </c>
      <c r="F97" s="3227">
        <v>1.8945140559903533</v>
      </c>
      <c r="G97" s="3103">
        <f t="shared" si="45"/>
        <v>0.6</v>
      </c>
      <c r="H97" s="3103">
        <f t="shared" si="46"/>
        <v>2.3860960072225622E-2</v>
      </c>
      <c r="I97" s="3103">
        <f t="shared" si="44"/>
        <v>0.99999999999999789</v>
      </c>
      <c r="J97" s="3227">
        <v>20.842955585265358</v>
      </c>
      <c r="K97" s="3227">
        <v>2.3928729693614526</v>
      </c>
      <c r="L97" s="3227">
        <v>1.8945140559903493</v>
      </c>
      <c r="M97" s="3497" t="s">
        <v>2146</v>
      </c>
    </row>
    <row r="98" spans="2:13" ht="18" customHeight="1" x14ac:dyDescent="0.2">
      <c r="B98" s="2616" t="s">
        <v>567</v>
      </c>
      <c r="C98" s="2618" t="s">
        <v>567</v>
      </c>
      <c r="D98" s="3227">
        <v>8.3594006402603984</v>
      </c>
      <c r="E98" s="3227">
        <v>24.132305646801569</v>
      </c>
      <c r="F98" s="3227">
        <v>0.4558950945658734</v>
      </c>
      <c r="G98" s="3103">
        <f t="shared" si="45"/>
        <v>0.6</v>
      </c>
      <c r="H98" s="3103">
        <f t="shared" si="46"/>
        <v>2.3860960072225625E-2</v>
      </c>
      <c r="I98" s="3103">
        <f t="shared" si="44"/>
        <v>0.99999999999999778</v>
      </c>
      <c r="J98" s="3227">
        <v>5.0156403841562387</v>
      </c>
      <c r="K98" s="3227">
        <v>0.5758199814890772</v>
      </c>
      <c r="L98" s="3227">
        <v>0.45589509456587241</v>
      </c>
      <c r="M98" s="3497" t="s">
        <v>2146</v>
      </c>
    </row>
    <row r="99" spans="2:13" ht="18" customHeight="1" x14ac:dyDescent="0.2">
      <c r="B99" s="2616" t="s">
        <v>569</v>
      </c>
      <c r="C99" s="2618" t="s">
        <v>569</v>
      </c>
      <c r="D99" s="3227">
        <v>1.2560515363771083</v>
      </c>
      <c r="E99" s="3227">
        <v>3.6260278563515369</v>
      </c>
      <c r="F99" s="3227">
        <v>6.8501051522566442E-2</v>
      </c>
      <c r="G99" s="3103">
        <f t="shared" si="45"/>
        <v>0.6</v>
      </c>
      <c r="H99" s="3103">
        <f t="shared" si="46"/>
        <v>2.3860960072225622E-2</v>
      </c>
      <c r="I99" s="3103">
        <f t="shared" si="44"/>
        <v>0.99999999999999711</v>
      </c>
      <c r="J99" s="3227">
        <v>0.7536309218262649</v>
      </c>
      <c r="K99" s="3227">
        <v>8.6520505901181891E-2</v>
      </c>
      <c r="L99" s="3227">
        <v>6.8501051522566248E-2</v>
      </c>
      <c r="M99" s="3497" t="s">
        <v>2146</v>
      </c>
    </row>
    <row r="100" spans="2:13" ht="18" customHeight="1" x14ac:dyDescent="0.2">
      <c r="B100" s="2616" t="s">
        <v>571</v>
      </c>
      <c r="C100" s="2618" t="s">
        <v>571</v>
      </c>
      <c r="D100" s="3227">
        <v>0.51880974388941536</v>
      </c>
      <c r="E100" s="3227">
        <v>1.4977240415753312</v>
      </c>
      <c r="F100" s="3227">
        <v>2.8294231540120774E-2</v>
      </c>
      <c r="G100" s="3103">
        <f t="shared" si="45"/>
        <v>0.6</v>
      </c>
      <c r="H100" s="3103">
        <f t="shared" si="46"/>
        <v>2.3860960072225622E-2</v>
      </c>
      <c r="I100" s="3103">
        <f t="shared" si="44"/>
        <v>0.99999999999999845</v>
      </c>
      <c r="J100" s="3227">
        <v>0.3112858463336492</v>
      </c>
      <c r="K100" s="3227">
        <v>3.5737133555241364E-2</v>
      </c>
      <c r="L100" s="3227">
        <v>2.8294231540120729E-2</v>
      </c>
      <c r="M100" s="3497" t="s">
        <v>2146</v>
      </c>
    </row>
    <row r="101" spans="2:13" ht="18" customHeight="1" x14ac:dyDescent="0.2">
      <c r="B101" s="2616" t="s">
        <v>574</v>
      </c>
      <c r="C101" s="2618" t="s">
        <v>574</v>
      </c>
      <c r="D101" s="3227">
        <v>4.2779108505222624E-2</v>
      </c>
      <c r="E101" s="3227">
        <v>0.12349671539532321</v>
      </c>
      <c r="F101" s="3227">
        <v>2.333036369079292E-3</v>
      </c>
      <c r="G101" s="3103">
        <f t="shared" si="45"/>
        <v>0.6</v>
      </c>
      <c r="H101" s="3103">
        <f t="shared" si="46"/>
        <v>2.3860960072225622E-2</v>
      </c>
      <c r="I101" s="3103">
        <f t="shared" si="44"/>
        <v>0.99999999999999833</v>
      </c>
      <c r="J101" s="3227">
        <v>2.5667465103133575E-2</v>
      </c>
      <c r="K101" s="3227">
        <v>2.9467501950988183E-3</v>
      </c>
      <c r="L101" s="3227">
        <v>2.3330363690792881E-3</v>
      </c>
      <c r="M101" s="3497" t="s">
        <v>2146</v>
      </c>
    </row>
    <row r="102" spans="2:13" ht="18" customHeight="1" x14ac:dyDescent="0.2">
      <c r="B102" s="2616" t="s">
        <v>576</v>
      </c>
      <c r="C102" s="2618" t="s">
        <v>576</v>
      </c>
      <c r="D102" s="3227">
        <v>1.4595576790756617</v>
      </c>
      <c r="E102" s="3227">
        <v>4.213518831834933</v>
      </c>
      <c r="F102" s="3227">
        <v>7.9599628581244544E-2</v>
      </c>
      <c r="G102" s="3103">
        <f t="shared" si="45"/>
        <v>0.6</v>
      </c>
      <c r="H102" s="3103">
        <f t="shared" si="46"/>
        <v>2.3860960072225622E-2</v>
      </c>
      <c r="I102" s="3103">
        <f t="shared" si="44"/>
        <v>0.99999999999999911</v>
      </c>
      <c r="J102" s="3227">
        <v>0.875734607445397</v>
      </c>
      <c r="K102" s="3227">
        <v>0.10053860460998408</v>
      </c>
      <c r="L102" s="3227">
        <v>7.9599628581244475E-2</v>
      </c>
      <c r="M102" s="3497" t="s">
        <v>2146</v>
      </c>
    </row>
    <row r="103" spans="2:13" ht="18" customHeight="1" x14ac:dyDescent="0.2">
      <c r="B103" s="2616" t="s">
        <v>577</v>
      </c>
      <c r="C103" s="2618" t="s">
        <v>577</v>
      </c>
      <c r="D103" s="3227">
        <v>1.0175471426682232</v>
      </c>
      <c r="E103" s="3227">
        <v>2.937502305923005</v>
      </c>
      <c r="F103" s="3227">
        <v>5.5493781288309375E-2</v>
      </c>
      <c r="G103" s="3103">
        <f t="shared" si="45"/>
        <v>0.6</v>
      </c>
      <c r="H103" s="3103">
        <f t="shared" si="46"/>
        <v>2.3860960072225618E-2</v>
      </c>
      <c r="I103" s="3103">
        <f t="shared" si="44"/>
        <v>0.99999999999999634</v>
      </c>
      <c r="J103" s="3227">
        <v>0.61052828560093386</v>
      </c>
      <c r="K103" s="3227">
        <v>7.0091625233699509E-2</v>
      </c>
      <c r="L103" s="3227">
        <v>5.5493781288309174E-2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0.23306754834675594</v>
      </c>
      <c r="K117" s="3103">
        <f>IF(SUM(K118:K129)=0,"NO",SUM(K118:K129))</f>
        <v>21.721013791414556</v>
      </c>
      <c r="L117" s="3103">
        <f>IF(SUM(L118:L129)=0,"NO",SUM(L118:L129))</f>
        <v>23.668876838662669</v>
      </c>
      <c r="M117" s="3226">
        <f>IF(SUM(M118:M129)=0,"NO",SUM(M118:M129))</f>
        <v>-13.595617419542359</v>
      </c>
    </row>
    <row r="118" spans="2:13" ht="18" customHeight="1" x14ac:dyDescent="0.2">
      <c r="B118" s="2616" t="s">
        <v>559</v>
      </c>
      <c r="C118" s="2618" t="s">
        <v>559</v>
      </c>
      <c r="D118" s="3227">
        <v>0.55329630829027987</v>
      </c>
      <c r="E118" s="3227">
        <v>3.7665419075012578</v>
      </c>
      <c r="F118" s="3227">
        <v>0.31953631622790135</v>
      </c>
      <c r="G118" s="3103">
        <f>IF(SUM(D118)=0,"NA",J118/D118)</f>
        <v>3.6120106979501353E-3</v>
      </c>
      <c r="H118" s="3103">
        <f>IF(SUM(E118)=0,"NA",K118/E118)</f>
        <v>4.9449542748616009E-2</v>
      </c>
      <c r="I118" s="3103">
        <f t="shared" ref="I118:I129" si="72">IF(SUM(F118)=0,"NA",(SUM(L118:M118))/F118)</f>
        <v>0.27031788890848429</v>
      </c>
      <c r="J118" s="3227">
        <v>1.9985121846808071E-3</v>
      </c>
      <c r="K118" s="3227">
        <v>0.18625377506943713</v>
      </c>
      <c r="L118" s="3227">
        <v>0.20295634933011081</v>
      </c>
      <c r="M118" s="3497">
        <v>-0.11657996689779067</v>
      </c>
    </row>
    <row r="119" spans="2:13" ht="18" customHeight="1" x14ac:dyDescent="0.2">
      <c r="B119" s="2616" t="s">
        <v>560</v>
      </c>
      <c r="C119" s="2618" t="s">
        <v>560</v>
      </c>
      <c r="D119" s="3227">
        <v>5.3311737941608843</v>
      </c>
      <c r="E119" s="3227">
        <v>36.29174677475833</v>
      </c>
      <c r="F119" s="3227">
        <v>3.0788270404710008</v>
      </c>
      <c r="G119" s="3103">
        <f t="shared" ref="G119:G129" si="73">IF(SUM(D119)=0,"NA",J119/D119)</f>
        <v>3.6120106979501349E-3</v>
      </c>
      <c r="H119" s="3103">
        <f t="shared" ref="H119:H129" si="74">IF(SUM(E119)=0,"NA",K119/E119)</f>
        <v>4.9449542748616002E-2</v>
      </c>
      <c r="I119" s="3103">
        <f t="shared" si="72"/>
        <v>0.27031788890848424</v>
      </c>
      <c r="J119" s="3227">
        <v>1.9256256777140525E-2</v>
      </c>
      <c r="K119" s="3227">
        <v>1.794610283560359</v>
      </c>
      <c r="L119" s="3227">
        <v>1.9555445331827397</v>
      </c>
      <c r="M119" s="3497">
        <v>-1.1232825072882624</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12.45270745041981</v>
      </c>
      <c r="E121" s="3227">
        <v>84.771294821746679</v>
      </c>
      <c r="F121" s="3227">
        <v>7.19161181115871</v>
      </c>
      <c r="G121" s="3103">
        <f t="shared" si="73"/>
        <v>3.6120106979501353E-3</v>
      </c>
      <c r="H121" s="3103">
        <f t="shared" si="74"/>
        <v>4.9449542748616009E-2</v>
      </c>
      <c r="I121" s="3103">
        <f t="shared" si="72"/>
        <v>0.27031788890848413</v>
      </c>
      <c r="J121" s="3227">
        <v>4.4979312529359709E-2</v>
      </c>
      <c r="K121" s="3227">
        <v>4.1919017671434933</v>
      </c>
      <c r="L121" s="3227">
        <v>4.5678165669002269</v>
      </c>
      <c r="M121" s="3497">
        <v>-2.6237952442584844</v>
      </c>
    </row>
    <row r="122" spans="2:13" ht="18" customHeight="1" x14ac:dyDescent="0.2">
      <c r="B122" s="2616" t="s">
        <v>564</v>
      </c>
      <c r="C122" s="2618" t="s">
        <v>564</v>
      </c>
      <c r="D122" s="3227">
        <v>2.7445998193819262E-2</v>
      </c>
      <c r="E122" s="3227">
        <v>0.18683750612698632</v>
      </c>
      <c r="F122" s="3227">
        <v>1.5850445821969185E-2</v>
      </c>
      <c r="G122" s="3103">
        <f t="shared" si="73"/>
        <v>3.6120106979501358E-3</v>
      </c>
      <c r="H122" s="3103">
        <f t="shared" si="74"/>
        <v>4.9449542748616002E-2</v>
      </c>
      <c r="I122" s="3103">
        <f t="shared" si="72"/>
        <v>0.27031788890848429</v>
      </c>
      <c r="J122" s="3227">
        <v>9.9135239091995272E-5</v>
      </c>
      <c r="K122" s="3227">
        <v>9.2390292462712145E-3</v>
      </c>
      <c r="L122" s="3227">
        <v>1.0067552437411104E-2</v>
      </c>
      <c r="M122" s="3497">
        <v>-5.7828933845580893E-3</v>
      </c>
    </row>
    <row r="123" spans="2:13" ht="18" customHeight="1" x14ac:dyDescent="0.2">
      <c r="B123" s="2616" t="s">
        <v>565</v>
      </c>
      <c r="C123" s="2618" t="s">
        <v>565</v>
      </c>
      <c r="D123" s="3227">
        <v>33.835711090255522</v>
      </c>
      <c r="E123" s="3227">
        <v>230.33521439056994</v>
      </c>
      <c r="F123" s="3227">
        <v>19.540593921800678</v>
      </c>
      <c r="G123" s="3103">
        <f t="shared" si="73"/>
        <v>3.6120106979501358E-3</v>
      </c>
      <c r="H123" s="3103">
        <f t="shared" si="74"/>
        <v>4.9449542748616009E-2</v>
      </c>
      <c r="I123" s="3103">
        <f t="shared" si="72"/>
        <v>0.27031788890848418</v>
      </c>
      <c r="J123" s="3227">
        <v>0.12221495043075299</v>
      </c>
      <c r="K123" s="3227">
        <v>11.389971030518122</v>
      </c>
      <c r="L123" s="3227">
        <v>12.4113830093799</v>
      </c>
      <c r="M123" s="3497">
        <v>-7.1292109124207839</v>
      </c>
    </row>
    <row r="124" spans="2:13" ht="18" customHeight="1" x14ac:dyDescent="0.2">
      <c r="B124" s="2616" t="s">
        <v>567</v>
      </c>
      <c r="C124" s="2618" t="s">
        <v>567</v>
      </c>
      <c r="D124" s="3227">
        <v>8.1422118027685713</v>
      </c>
      <c r="E124" s="3227">
        <v>55.427772633519226</v>
      </c>
      <c r="F124" s="3227">
        <v>4.7022406013217841</v>
      </c>
      <c r="G124" s="3103">
        <f t="shared" si="73"/>
        <v>3.6120106979501362E-3</v>
      </c>
      <c r="H124" s="3103">
        <f t="shared" si="74"/>
        <v>4.9449542748616009E-2</v>
      </c>
      <c r="I124" s="3103">
        <f t="shared" si="72"/>
        <v>0.27031788890848435</v>
      </c>
      <c r="J124" s="3227">
        <v>2.9409756136575944E-2</v>
      </c>
      <c r="K124" s="3227">
        <v>2.7408780123017773</v>
      </c>
      <c r="L124" s="3227">
        <v>2.9866701769054265</v>
      </c>
      <c r="M124" s="3497">
        <v>-1.7155704244163599</v>
      </c>
    </row>
    <row r="125" spans="2:13" ht="18" customHeight="1" x14ac:dyDescent="0.2">
      <c r="B125" s="2616" t="s">
        <v>569</v>
      </c>
      <c r="C125" s="2618" t="s">
        <v>569</v>
      </c>
      <c r="D125" s="3227">
        <v>1.223417573159493</v>
      </c>
      <c r="E125" s="3227">
        <v>8.3283649115930096</v>
      </c>
      <c r="F125" s="3227">
        <v>0.70654067030349454</v>
      </c>
      <c r="G125" s="3103">
        <f t="shared" si="73"/>
        <v>3.6120106979501353E-3</v>
      </c>
      <c r="H125" s="3103">
        <f t="shared" si="74"/>
        <v>4.9449542748616016E-2</v>
      </c>
      <c r="I125" s="3103">
        <f t="shared" si="72"/>
        <v>0.27031788890848424</v>
      </c>
      <c r="J125" s="3227">
        <v>4.4189973623122809E-3</v>
      </c>
      <c r="K125" s="3227">
        <v>0.41183383672189217</v>
      </c>
      <c r="L125" s="3227">
        <v>0.44876562636396045</v>
      </c>
      <c r="M125" s="3497">
        <v>-0.25777504393953443</v>
      </c>
    </row>
    <row r="126" spans="2:13" ht="18" customHeight="1" x14ac:dyDescent="0.2">
      <c r="B126" s="2616" t="s">
        <v>571</v>
      </c>
      <c r="C126" s="2618" t="s">
        <v>571</v>
      </c>
      <c r="D126" s="3227">
        <v>0.50533034626225903</v>
      </c>
      <c r="E126" s="3227">
        <v>3.4400155898570595</v>
      </c>
      <c r="F126" s="3227">
        <v>0.29183530579079553</v>
      </c>
      <c r="G126" s="3103">
        <f t="shared" si="73"/>
        <v>3.6120106979501353E-3</v>
      </c>
      <c r="H126" s="3103">
        <f t="shared" si="74"/>
        <v>4.9449542748616009E-2</v>
      </c>
      <c r="I126" s="3103">
        <f t="shared" si="72"/>
        <v>0.27031788890848407</v>
      </c>
      <c r="J126" s="3227">
        <v>1.8252586166981259E-3</v>
      </c>
      <c r="K126" s="3227">
        <v>0.17010719796654217</v>
      </c>
      <c r="L126" s="3227">
        <v>0.18536180478056266</v>
      </c>
      <c r="M126" s="3497">
        <v>-0.10647350101023292</v>
      </c>
    </row>
    <row r="127" spans="2:13" ht="18" customHeight="1" x14ac:dyDescent="0.2">
      <c r="B127" s="2616" t="s">
        <v>574</v>
      </c>
      <c r="C127" s="2618" t="s">
        <v>574</v>
      </c>
      <c r="D127" s="3227">
        <v>4.1667647858099406E-2</v>
      </c>
      <c r="E127" s="3227">
        <v>0.2836508024597163</v>
      </c>
      <c r="F127" s="3227">
        <v>2.4063646373496669E-2</v>
      </c>
      <c r="G127" s="3103">
        <f t="shared" si="73"/>
        <v>3.6120106979501358E-3</v>
      </c>
      <c r="H127" s="3103">
        <f t="shared" si="74"/>
        <v>4.9449542748616002E-2</v>
      </c>
      <c r="I127" s="3103">
        <f t="shared" si="72"/>
        <v>0.27031788890848407</v>
      </c>
      <c r="J127" s="3227">
        <v>1.5050398982187411E-4</v>
      </c>
      <c r="K127" s="3227">
        <v>1.4026402481910975E-2</v>
      </c>
      <c r="L127" s="3227">
        <v>1.5284240230310298E-2</v>
      </c>
      <c r="M127" s="3497">
        <v>-8.7794061431863794E-3</v>
      </c>
    </row>
    <row r="128" spans="2:13" ht="18" customHeight="1" x14ac:dyDescent="0.2">
      <c r="B128" s="2616" t="s">
        <v>576</v>
      </c>
      <c r="C128" s="2618" t="s">
        <v>576</v>
      </c>
      <c r="D128" s="3227">
        <v>1.4216363436579063</v>
      </c>
      <c r="E128" s="3227">
        <v>9.6777310554638927</v>
      </c>
      <c r="F128" s="3227">
        <v>0.82101476814811158</v>
      </c>
      <c r="G128" s="3103">
        <f t="shared" si="73"/>
        <v>3.6120106979501362E-3</v>
      </c>
      <c r="H128" s="3103">
        <f t="shared" si="74"/>
        <v>4.9449542748616002E-2</v>
      </c>
      <c r="I128" s="3103">
        <f t="shared" si="72"/>
        <v>0.27031788890848424</v>
      </c>
      <c r="J128" s="3227">
        <v>5.1349656818870737E-3</v>
      </c>
      <c r="K128" s="3227">
        <v>0.47855937553677041</v>
      </c>
      <c r="L128" s="3227">
        <v>0.52147487351829902</v>
      </c>
      <c r="M128" s="3497">
        <v>-0.29953989462981284</v>
      </c>
    </row>
    <row r="129" spans="2:13" ht="18" customHeight="1" x14ac:dyDescent="0.2">
      <c r="B129" s="2616" t="s">
        <v>577</v>
      </c>
      <c r="C129" s="2618" t="s">
        <v>577</v>
      </c>
      <c r="D129" s="3227">
        <v>0.99110985481472957</v>
      </c>
      <c r="E129" s="3227">
        <v>6.746939654509073</v>
      </c>
      <c r="F129" s="3227">
        <v>0.57237973078706772</v>
      </c>
      <c r="G129" s="3103">
        <f t="shared" si="73"/>
        <v>3.6120106979501362E-3</v>
      </c>
      <c r="H129" s="3103">
        <f t="shared" si="74"/>
        <v>4.9449542748616009E-2</v>
      </c>
      <c r="I129" s="3103">
        <f t="shared" si="72"/>
        <v>0.27031788890848402</v>
      </c>
      <c r="J129" s="3227">
        <v>3.5798993984346096E-3</v>
      </c>
      <c r="K129" s="3227">
        <v>0.33363308086797894</v>
      </c>
      <c r="L129" s="3227">
        <v>0.3635521056337172</v>
      </c>
      <c r="M129" s="3497">
        <v>-0.20882762515335065</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59.237450144314018</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59.237450144314018</v>
      </c>
      <c r="L131" s="3229"/>
      <c r="M131" s="3226" t="str">
        <f>IF(SUM(M132:M143)=0,"NO",SUM(M132:M143))</f>
        <v>NO</v>
      </c>
    </row>
    <row r="132" spans="2:13" ht="18" customHeight="1" x14ac:dyDescent="0.2">
      <c r="B132" s="2616" t="s">
        <v>559</v>
      </c>
      <c r="C132" s="2618" t="s">
        <v>559</v>
      </c>
      <c r="D132" s="3227" t="s">
        <v>2146</v>
      </c>
      <c r="E132" s="3227">
        <v>0.63824458504128145</v>
      </c>
      <c r="F132" s="3229"/>
      <c r="G132" s="3103" t="str">
        <f>IF(SUM(D132)=0,"NA",J132/D132)</f>
        <v>NA</v>
      </c>
      <c r="H132" s="3103">
        <f>IF(SUM(E132)=0,"NA",K132/E132)</f>
        <v>0.795855478005146</v>
      </c>
      <c r="I132" s="4327"/>
      <c r="J132" s="3227" t="s">
        <v>2146</v>
      </c>
      <c r="K132" s="3227">
        <v>0.50795044931222511</v>
      </c>
      <c r="L132" s="3229"/>
      <c r="M132" s="3497" t="s">
        <v>2146</v>
      </c>
    </row>
    <row r="133" spans="2:13" ht="18" customHeight="1" x14ac:dyDescent="0.2">
      <c r="B133" s="2616" t="s">
        <v>560</v>
      </c>
      <c r="C133" s="2618" t="s">
        <v>560</v>
      </c>
      <c r="D133" s="3227" t="s">
        <v>2146</v>
      </c>
      <c r="E133" s="3227">
        <v>6.1496755988692415</v>
      </c>
      <c r="F133" s="3229"/>
      <c r="G133" s="3103" t="str">
        <f t="shared" ref="G133:G143" si="75">IF(SUM(D133)=0,"NA",J133/D133)</f>
        <v>NA</v>
      </c>
      <c r="H133" s="3103">
        <f t="shared" ref="H133:H143" si="76">IF(SUM(E133)=0,"NA",K133/E133)</f>
        <v>0.79585547800514611</v>
      </c>
      <c r="I133" s="4327"/>
      <c r="J133" s="3227" t="s">
        <v>2146</v>
      </c>
      <c r="K133" s="3227">
        <v>4.8942530133146631</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14.364587256858965</v>
      </c>
      <c r="F135" s="3229"/>
      <c r="G135" s="3103" t="str">
        <f t="shared" si="75"/>
        <v>NA</v>
      </c>
      <c r="H135" s="3103">
        <f t="shared" si="76"/>
        <v>0.79585547800514611</v>
      </c>
      <c r="I135" s="4327"/>
      <c r="J135" s="3227" t="s">
        <v>2146</v>
      </c>
      <c r="K135" s="3227">
        <v>11.432135457654121</v>
      </c>
      <c r="L135" s="3229"/>
      <c r="M135" s="3497" t="s">
        <v>2146</v>
      </c>
    </row>
    <row r="136" spans="2:13" ht="18" customHeight="1" x14ac:dyDescent="0.2">
      <c r="B136" s="2616" t="s">
        <v>564</v>
      </c>
      <c r="C136" s="2618" t="s">
        <v>564</v>
      </c>
      <c r="D136" s="3227" t="s">
        <v>2146</v>
      </c>
      <c r="E136" s="3227">
        <v>3.1659816748800224E-2</v>
      </c>
      <c r="F136" s="3229"/>
      <c r="G136" s="3103" t="str">
        <f t="shared" si="75"/>
        <v>NA</v>
      </c>
      <c r="H136" s="3103">
        <f t="shared" si="76"/>
        <v>0.795855478005146</v>
      </c>
      <c r="I136" s="4327"/>
      <c r="J136" s="3227" t="s">
        <v>2146</v>
      </c>
      <c r="K136" s="3227">
        <v>2.5196638592171729E-2</v>
      </c>
      <c r="L136" s="3229"/>
      <c r="M136" s="3497" t="s">
        <v>2146</v>
      </c>
    </row>
    <row r="137" spans="2:13" ht="18" customHeight="1" x14ac:dyDescent="0.2">
      <c r="B137" s="2616" t="s">
        <v>565</v>
      </c>
      <c r="C137" s="2618" t="s">
        <v>565</v>
      </c>
      <c r="D137" s="3227" t="s">
        <v>2146</v>
      </c>
      <c r="E137" s="3227">
        <v>39.030550287075179</v>
      </c>
      <c r="F137" s="3229"/>
      <c r="G137" s="3103" t="str">
        <f t="shared" si="75"/>
        <v>NA</v>
      </c>
      <c r="H137" s="3103">
        <f t="shared" si="76"/>
        <v>0.795855478005146</v>
      </c>
      <c r="I137" s="4327"/>
      <c r="J137" s="3227" t="s">
        <v>2146</v>
      </c>
      <c r="K137" s="3227">
        <v>31.062677255524104</v>
      </c>
      <c r="L137" s="3229"/>
      <c r="M137" s="3497" t="s">
        <v>2146</v>
      </c>
    </row>
    <row r="138" spans="2:13" ht="18" customHeight="1" x14ac:dyDescent="0.2">
      <c r="B138" s="2616" t="s">
        <v>567</v>
      </c>
      <c r="C138" s="2618" t="s">
        <v>567</v>
      </c>
      <c r="D138" s="3227" t="s">
        <v>2146</v>
      </c>
      <c r="E138" s="3227">
        <v>9.3922958015650728</v>
      </c>
      <c r="F138" s="3229"/>
      <c r="G138" s="3103" t="str">
        <f t="shared" si="75"/>
        <v>NA</v>
      </c>
      <c r="H138" s="3103">
        <f t="shared" si="76"/>
        <v>0.79585547800514622</v>
      </c>
      <c r="I138" s="4327"/>
      <c r="J138" s="3227" t="s">
        <v>2146</v>
      </c>
      <c r="K138" s="3227">
        <v>7.4749100647202988</v>
      </c>
      <c r="L138" s="3229"/>
      <c r="M138" s="3497" t="s">
        <v>2146</v>
      </c>
    </row>
    <row r="139" spans="2:13" ht="18" customHeight="1" x14ac:dyDescent="0.2">
      <c r="B139" s="2616" t="s">
        <v>569</v>
      </c>
      <c r="C139" s="2618" t="s">
        <v>569</v>
      </c>
      <c r="D139" s="3227" t="s">
        <v>2146</v>
      </c>
      <c r="E139" s="3227">
        <v>1.4112504088925433</v>
      </c>
      <c r="F139" s="3229"/>
      <c r="G139" s="3103" t="str">
        <f t="shared" si="75"/>
        <v>NA</v>
      </c>
      <c r="H139" s="3103">
        <f t="shared" si="76"/>
        <v>0.79585547800514589</v>
      </c>
      <c r="I139" s="4327"/>
      <c r="J139" s="3227" t="s">
        <v>2146</v>
      </c>
      <c r="K139" s="3227">
        <v>1.1231513687541326</v>
      </c>
      <c r="L139" s="3229"/>
      <c r="M139" s="3497" t="s">
        <v>2146</v>
      </c>
    </row>
    <row r="140" spans="2:13" ht="18" customHeight="1" x14ac:dyDescent="0.2">
      <c r="B140" s="2616" t="s">
        <v>571</v>
      </c>
      <c r="C140" s="2618" t="s">
        <v>571</v>
      </c>
      <c r="D140" s="3227" t="s">
        <v>2146</v>
      </c>
      <c r="E140" s="3227">
        <v>0.58291434865261071</v>
      </c>
      <c r="F140" s="3229"/>
      <c r="G140" s="3103" t="str">
        <f t="shared" si="75"/>
        <v>NA</v>
      </c>
      <c r="H140" s="3103">
        <f t="shared" si="76"/>
        <v>0.795855478005146</v>
      </c>
      <c r="I140" s="4327"/>
      <c r="J140" s="3227" t="s">
        <v>2146</v>
      </c>
      <c r="K140" s="3227">
        <v>0.46391557758298185</v>
      </c>
      <c r="L140" s="3229"/>
      <c r="M140" s="3497" t="s">
        <v>2146</v>
      </c>
    </row>
    <row r="141" spans="2:13" ht="18" customHeight="1" x14ac:dyDescent="0.2">
      <c r="B141" s="2616" t="s">
        <v>574</v>
      </c>
      <c r="C141" s="2618" t="s">
        <v>574</v>
      </c>
      <c r="D141" s="3227" t="s">
        <v>2146</v>
      </c>
      <c r="E141" s="3227">
        <v>4.8064934138122989E-2</v>
      </c>
      <c r="F141" s="3229"/>
      <c r="G141" s="3103" t="str">
        <f t="shared" si="75"/>
        <v>NA</v>
      </c>
      <c r="H141" s="3103">
        <f t="shared" si="76"/>
        <v>0.79585547800514622</v>
      </c>
      <c r="I141" s="4327"/>
      <c r="J141" s="3227" t="s">
        <v>2146</v>
      </c>
      <c r="K141" s="3227">
        <v>3.8252741133781742E-2</v>
      </c>
      <c r="L141" s="3229"/>
      <c r="M141" s="3497" t="s">
        <v>2146</v>
      </c>
    </row>
    <row r="142" spans="2:13" ht="18" customHeight="1" x14ac:dyDescent="0.2">
      <c r="B142" s="2616" t="s">
        <v>576</v>
      </c>
      <c r="C142" s="2618" t="s">
        <v>576</v>
      </c>
      <c r="D142" s="3227" t="s">
        <v>2146</v>
      </c>
      <c r="E142" s="3227">
        <v>1.6399019560447066</v>
      </c>
      <c r="F142" s="3229"/>
      <c r="G142" s="3103" t="str">
        <f t="shared" si="75"/>
        <v>NA</v>
      </c>
      <c r="H142" s="3103">
        <f t="shared" si="76"/>
        <v>0.795855478005146</v>
      </c>
      <c r="I142" s="4327"/>
      <c r="J142" s="3227" t="s">
        <v>2146</v>
      </c>
      <c r="K142" s="3227">
        <v>1.3051249551095339</v>
      </c>
      <c r="L142" s="3229"/>
      <c r="M142" s="3497" t="s">
        <v>2146</v>
      </c>
    </row>
    <row r="143" spans="2:13" ht="18" customHeight="1" x14ac:dyDescent="0.2">
      <c r="B143" s="2616" t="s">
        <v>577</v>
      </c>
      <c r="C143" s="2618" t="s">
        <v>577</v>
      </c>
      <c r="D143" s="3227" t="s">
        <v>2146</v>
      </c>
      <c r="E143" s="3227">
        <v>1.1432761949401651</v>
      </c>
      <c r="F143" s="3229"/>
      <c r="G143" s="3103" t="str">
        <f t="shared" si="75"/>
        <v>NA</v>
      </c>
      <c r="H143" s="3103">
        <f t="shared" si="76"/>
        <v>0.79585547800514622</v>
      </c>
      <c r="I143" s="4327"/>
      <c r="J143" s="3227" t="s">
        <v>2146</v>
      </c>
      <c r="K143" s="3227">
        <v>0.90988262261600983</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42.021981186202623</v>
      </c>
      <c r="L146" s="3103">
        <f>IF(SUM(L147:L158)=0,"NO",SUM(L147:L158))</f>
        <v>13.588939593613544</v>
      </c>
      <c r="M146" s="3226" t="str">
        <f>IF(SUM(M147:M158)=0,"NO",SUM(M147:M158))</f>
        <v>NO</v>
      </c>
    </row>
    <row r="147" spans="2:13" ht="18" customHeight="1" x14ac:dyDescent="0.2">
      <c r="B147" s="2616" t="s">
        <v>559</v>
      </c>
      <c r="C147" s="2618" t="s">
        <v>559</v>
      </c>
      <c r="D147" s="3227">
        <v>0.65664155608261576</v>
      </c>
      <c r="E147" s="3227">
        <v>1.048982594933179</v>
      </c>
      <c r="F147" s="3227">
        <v>0.11652270574504503</v>
      </c>
      <c r="G147" s="3103" t="str">
        <f>IFERROR(J147/D147,"NA")</f>
        <v>NA</v>
      </c>
      <c r="H147" s="3103">
        <f>IF(SUM(E147)=0,"NA",K147/E147)</f>
        <v>0.34350513553457851</v>
      </c>
      <c r="I147" s="3103">
        <f t="shared" ref="I147:I158" si="77">IF(SUM(F147)=0,"NA",(SUM(L147:M147))/F147)</f>
        <v>1.000000000000002</v>
      </c>
      <c r="J147" s="3227" t="s">
        <v>2146</v>
      </c>
      <c r="K147" s="3227">
        <v>0.36033090844593552</v>
      </c>
      <c r="L147" s="3227">
        <v>0.11652270574504525</v>
      </c>
      <c r="M147" s="3497" t="s">
        <v>2146</v>
      </c>
    </row>
    <row r="148" spans="2:13" ht="18" customHeight="1" x14ac:dyDescent="0.2">
      <c r="B148" s="2616" t="s">
        <v>560</v>
      </c>
      <c r="C148" s="2618" t="s">
        <v>560</v>
      </c>
      <c r="D148" s="3227">
        <v>6.3269358632844588</v>
      </c>
      <c r="E148" s="3227">
        <v>10.107257968012163</v>
      </c>
      <c r="F148" s="3227">
        <v>1.1227307791231418</v>
      </c>
      <c r="G148" s="3103" t="str">
        <f t="shared" ref="G148:G158" si="78">IFERROR(J148/D148,"NA")</f>
        <v>NA</v>
      </c>
      <c r="H148" s="3103">
        <f t="shared" ref="H148:H158" si="79">IF(SUM(E148)=0,"NA",K148/E148)</f>
        <v>0.34350513553457857</v>
      </c>
      <c r="I148" s="3103">
        <f t="shared" si="77"/>
        <v>1.0000000000000016</v>
      </c>
      <c r="J148" s="3227" t="s">
        <v>2146</v>
      </c>
      <c r="K148" s="3227">
        <v>3.4718950181849673</v>
      </c>
      <c r="L148" s="3227">
        <v>1.1227307791231436</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14.778636826536182</v>
      </c>
      <c r="E150" s="3227">
        <v>23.608820770284154</v>
      </c>
      <c r="F150" s="3227">
        <v>2.6225065019106117</v>
      </c>
      <c r="G150" s="3103" t="str">
        <f t="shared" si="78"/>
        <v>NA</v>
      </c>
      <c r="H150" s="3103">
        <f t="shared" si="79"/>
        <v>0.34350513553457851</v>
      </c>
      <c r="I150" s="3103">
        <f t="shared" si="77"/>
        <v>1.0000000000000009</v>
      </c>
      <c r="J150" s="3227" t="s">
        <v>2146</v>
      </c>
      <c r="K150" s="3227">
        <v>8.1097511785080307</v>
      </c>
      <c r="L150" s="3227">
        <v>2.622506501910614</v>
      </c>
      <c r="M150" s="3497" t="s">
        <v>2146</v>
      </c>
    </row>
    <row r="151" spans="2:13" ht="18" customHeight="1" x14ac:dyDescent="0.2">
      <c r="B151" s="2616" t="s">
        <v>564</v>
      </c>
      <c r="C151" s="2618" t="s">
        <v>564</v>
      </c>
      <c r="D151" s="3227">
        <v>3.2572389680169407E-2</v>
      </c>
      <c r="E151" s="3227">
        <v>5.2034278874637588E-2</v>
      </c>
      <c r="F151" s="3227">
        <v>5.7800529725197565E-3</v>
      </c>
      <c r="G151" s="3103" t="str">
        <f t="shared" si="78"/>
        <v>NA</v>
      </c>
      <c r="H151" s="3103">
        <f t="shared" si="79"/>
        <v>0.34350513553457851</v>
      </c>
      <c r="I151" s="3103">
        <f t="shared" si="77"/>
        <v>1.0000000000000011</v>
      </c>
      <c r="J151" s="3227" t="s">
        <v>2146</v>
      </c>
      <c r="K151" s="3227">
        <v>1.787404201727644E-2</v>
      </c>
      <c r="L151" s="3227">
        <v>5.7800529725197634E-3</v>
      </c>
      <c r="M151" s="3497" t="s">
        <v>2146</v>
      </c>
    </row>
    <row r="152" spans="2:13" ht="18" customHeight="1" x14ac:dyDescent="0.2">
      <c r="B152" s="2616" t="s">
        <v>565</v>
      </c>
      <c r="C152" s="2618" t="s">
        <v>565</v>
      </c>
      <c r="D152" s="3227">
        <v>40.155579656987065</v>
      </c>
      <c r="E152" s="3227">
        <v>64.14839840616574</v>
      </c>
      <c r="F152" s="3227">
        <v>7.1257092230150061</v>
      </c>
      <c r="G152" s="3103" t="str">
        <f t="shared" si="78"/>
        <v>NA</v>
      </c>
      <c r="H152" s="3103">
        <f t="shared" si="79"/>
        <v>0.34350513553457857</v>
      </c>
      <c r="I152" s="3103">
        <f t="shared" si="77"/>
        <v>1.0000000000000007</v>
      </c>
      <c r="J152" s="3227" t="s">
        <v>2146</v>
      </c>
      <c r="K152" s="3227">
        <v>22.035304288836105</v>
      </c>
      <c r="L152" s="3227">
        <v>7.1257092230150114</v>
      </c>
      <c r="M152" s="3497" t="s">
        <v>2146</v>
      </c>
    </row>
    <row r="153" spans="2:13" ht="18" customHeight="1" x14ac:dyDescent="0.2">
      <c r="B153" s="2616" t="s">
        <v>567</v>
      </c>
      <c r="C153" s="2618" t="s">
        <v>567</v>
      </c>
      <c r="D153" s="3227">
        <v>9.6630224131537386</v>
      </c>
      <c r="E153" s="3227">
        <v>15.436644592399462</v>
      </c>
      <c r="F153" s="3227">
        <v>1.7147277792970272</v>
      </c>
      <c r="G153" s="3103" t="str">
        <f t="shared" si="78"/>
        <v>NA</v>
      </c>
      <c r="H153" s="3103">
        <f t="shared" si="79"/>
        <v>0.34350513553457851</v>
      </c>
      <c r="I153" s="3103">
        <f t="shared" si="77"/>
        <v>1.0000000000000007</v>
      </c>
      <c r="J153" s="3227" t="s">
        <v>2146</v>
      </c>
      <c r="K153" s="3227">
        <v>5.302566692911296</v>
      </c>
      <c r="L153" s="3227">
        <v>1.7147277792970286</v>
      </c>
      <c r="M153" s="3497" t="s">
        <v>2146</v>
      </c>
    </row>
    <row r="154" spans="2:13" ht="18" customHeight="1" x14ac:dyDescent="0.2">
      <c r="B154" s="2616" t="s">
        <v>569</v>
      </c>
      <c r="C154" s="2618" t="s">
        <v>569</v>
      </c>
      <c r="D154" s="3227">
        <v>1.4519287530774581</v>
      </c>
      <c r="E154" s="3227">
        <v>2.3194511175129824</v>
      </c>
      <c r="F154" s="3227">
        <v>0.25764843130995652</v>
      </c>
      <c r="G154" s="3103" t="str">
        <f t="shared" si="78"/>
        <v>NA</v>
      </c>
      <c r="H154" s="3103">
        <f t="shared" si="79"/>
        <v>0.34350513553457857</v>
      </c>
      <c r="I154" s="3103">
        <f t="shared" si="77"/>
        <v>1.0000000000000018</v>
      </c>
      <c r="J154" s="3227" t="s">
        <v>2146</v>
      </c>
      <c r="K154" s="3227">
        <v>0.79674337048712673</v>
      </c>
      <c r="L154" s="3227">
        <v>0.25764843130995696</v>
      </c>
      <c r="M154" s="3497" t="s">
        <v>2146</v>
      </c>
    </row>
    <row r="155" spans="2:13" ht="18" customHeight="1" x14ac:dyDescent="0.2">
      <c r="B155" s="2616" t="s">
        <v>571</v>
      </c>
      <c r="C155" s="2618" t="s">
        <v>571</v>
      </c>
      <c r="D155" s="3227">
        <v>0.59971646283121638</v>
      </c>
      <c r="E155" s="3227">
        <v>0.95804495706587156</v>
      </c>
      <c r="F155" s="3227">
        <v>0.10642120389978635</v>
      </c>
      <c r="G155" s="3103" t="str">
        <f t="shared" si="78"/>
        <v>NA</v>
      </c>
      <c r="H155" s="3103">
        <f t="shared" si="79"/>
        <v>0.34350513553457851</v>
      </c>
      <c r="I155" s="3103">
        <f t="shared" si="77"/>
        <v>1.0000000000000018</v>
      </c>
      <c r="J155" s="3227" t="s">
        <v>2146</v>
      </c>
      <c r="K155" s="3227">
        <v>0.32909336282513169</v>
      </c>
      <c r="L155" s="3227">
        <v>0.10642120389978654</v>
      </c>
      <c r="M155" s="3497" t="s">
        <v>2146</v>
      </c>
    </row>
    <row r="156" spans="2:13" ht="18" customHeight="1" x14ac:dyDescent="0.2">
      <c r="B156" s="2616" t="s">
        <v>574</v>
      </c>
      <c r="C156" s="2618" t="s">
        <v>574</v>
      </c>
      <c r="D156" s="3227">
        <v>4.9450373548291272E-2</v>
      </c>
      <c r="E156" s="3227">
        <v>7.8996799219596209E-2</v>
      </c>
      <c r="F156" s="3227">
        <v>8.775093919315002E-3</v>
      </c>
      <c r="G156" s="3103" t="str">
        <f t="shared" si="78"/>
        <v>NA</v>
      </c>
      <c r="H156" s="3103">
        <f t="shared" si="79"/>
        <v>0.34350513553457845</v>
      </c>
      <c r="I156" s="3103">
        <f t="shared" si="77"/>
        <v>1.0000000000000022</v>
      </c>
      <c r="J156" s="3227" t="s">
        <v>2146</v>
      </c>
      <c r="K156" s="3227">
        <v>2.7135806222725278E-2</v>
      </c>
      <c r="L156" s="3227">
        <v>8.7750939193150211E-3</v>
      </c>
      <c r="M156" s="3497" t="s">
        <v>2146</v>
      </c>
    </row>
    <row r="157" spans="2:13" ht="18" customHeight="1" x14ac:dyDescent="0.2">
      <c r="B157" s="2616" t="s">
        <v>576</v>
      </c>
      <c r="C157" s="2618" t="s">
        <v>576</v>
      </c>
      <c r="D157" s="3227">
        <v>1.6871710273428686</v>
      </c>
      <c r="E157" s="3227">
        <v>2.6952498299323744</v>
      </c>
      <c r="F157" s="3227">
        <v>0.29939276815417365</v>
      </c>
      <c r="G157" s="3103" t="str">
        <f t="shared" si="78"/>
        <v>NA</v>
      </c>
      <c r="H157" s="3103">
        <f t="shared" si="79"/>
        <v>0.34350513553457857</v>
      </c>
      <c r="I157" s="3103">
        <f t="shared" si="77"/>
        <v>1.0000000000000009</v>
      </c>
      <c r="J157" s="3227" t="s">
        <v>2146</v>
      </c>
      <c r="K157" s="3227">
        <v>0.92583215813047004</v>
      </c>
      <c r="L157" s="3227">
        <v>0.29939276815417393</v>
      </c>
      <c r="M157" s="3497" t="s">
        <v>2146</v>
      </c>
    </row>
    <row r="158" spans="2:13" ht="18" customHeight="1" x14ac:dyDescent="0.2">
      <c r="B158" s="2616" t="s">
        <v>577</v>
      </c>
      <c r="C158" s="2618" t="s">
        <v>577</v>
      </c>
      <c r="D158" s="3227">
        <v>1.1762303625798338</v>
      </c>
      <c r="E158" s="3227">
        <v>1.8790239005570206</v>
      </c>
      <c r="F158" s="3227">
        <v>0.20872505426694871</v>
      </c>
      <c r="G158" s="3103" t="str">
        <f t="shared" si="78"/>
        <v>NA</v>
      </c>
      <c r="H158" s="3103">
        <f t="shared" si="79"/>
        <v>0.34350513553457851</v>
      </c>
      <c r="I158" s="3103">
        <f t="shared" si="77"/>
        <v>1.0000000000000013</v>
      </c>
      <c r="J158" s="3227" t="s">
        <v>2146</v>
      </c>
      <c r="K158" s="3227">
        <v>0.64545435963355169</v>
      </c>
      <c r="L158" s="3227">
        <v>0.20872505426694898</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1.1933824241884099</v>
      </c>
      <c r="K162" s="3233">
        <f t="shared" ref="K162:M162" si="85">IF(SUM(K163,K165,K175)=0,"NO",SUM(K163,K165,K175))</f>
        <v>2.7618875654640966</v>
      </c>
      <c r="L162" s="3233">
        <f t="shared" si="85"/>
        <v>1.1399999999999999</v>
      </c>
      <c r="M162" s="3234" t="str">
        <f t="shared" si="85"/>
        <v>NO</v>
      </c>
    </row>
    <row r="163" spans="2:13" ht="18" customHeight="1" x14ac:dyDescent="0.2">
      <c r="B163" s="88" t="s">
        <v>681</v>
      </c>
      <c r="C163" s="2508"/>
      <c r="D163" s="4326"/>
      <c r="E163" s="4326"/>
      <c r="F163" s="4326"/>
      <c r="G163" s="4327"/>
      <c r="H163" s="4327"/>
      <c r="I163" s="4327"/>
      <c r="J163" s="3230">
        <f>J164</f>
        <v>1.1933824241884099</v>
      </c>
      <c r="K163" s="3230">
        <f t="shared" ref="K163:M163" si="86">K164</f>
        <v>1.9377738853547266</v>
      </c>
      <c r="L163" s="3230">
        <f t="shared" si="86"/>
        <v>1.1399999999999999</v>
      </c>
      <c r="M163" s="3226" t="str">
        <f t="shared" si="86"/>
        <v>NO</v>
      </c>
    </row>
    <row r="164" spans="2:13" ht="18" customHeight="1" x14ac:dyDescent="0.2">
      <c r="B164" s="2616" t="s">
        <v>1621</v>
      </c>
      <c r="C164" s="2618" t="s">
        <v>1621</v>
      </c>
      <c r="D164" s="3235">
        <v>14.039793225745997</v>
      </c>
      <c r="E164" s="3235">
        <v>634.25714837484509</v>
      </c>
      <c r="F164" s="3235">
        <v>1.1399999999999999</v>
      </c>
      <c r="G164" s="3103">
        <f t="shared" ref="G164" si="87">IF(SUM(D164)=0,"NA",J164/D164)</f>
        <v>8.5000000000000006E-2</v>
      </c>
      <c r="H164" s="3103">
        <f t="shared" ref="H164" si="88">IF(SUM(E164)=0,"NA",K164/E164)</f>
        <v>3.0551865127888237E-3</v>
      </c>
      <c r="I164" s="3103">
        <f t="shared" ref="I164" si="89">IF(SUM(F164)=0,"NA",(SUM(L164:M164))/F164)</f>
        <v>1</v>
      </c>
      <c r="J164" s="3142">
        <v>1.1933824241884099</v>
      </c>
      <c r="K164" s="3142">
        <v>1.9377738853547266</v>
      </c>
      <c r="L164" s="3142">
        <v>1.1399999999999999</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0.82411368010937025</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0.82411368010937025</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0.82411368010937025</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0.82411368010937025</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2532.9696484659198</v>
      </c>
      <c r="D10" s="2500">
        <f t="shared" ref="D10:I10" si="0">IF(SUM(D11,D20,D31:D32,D42:D47)=0,"NO",SUM(D11,D20,D31:D32,D42:D47))</f>
        <v>2296.3539998167125</v>
      </c>
      <c r="E10" s="2500">
        <f t="shared" si="0"/>
        <v>45.696315514849573</v>
      </c>
      <c r="F10" s="2500">
        <f t="shared" si="0"/>
        <v>20.488964480289933</v>
      </c>
      <c r="G10" s="2500">
        <f t="shared" si="0"/>
        <v>329.99325058892867</v>
      </c>
      <c r="H10" s="2915">
        <f t="shared" si="0"/>
        <v>19.249606284354172</v>
      </c>
      <c r="I10" s="2924" t="str">
        <f t="shared" si="0"/>
        <v>NO</v>
      </c>
      <c r="J10" s="2925">
        <f>IF(SUM(C10:E10)=0,"NO",SUM(C10)+28*SUM(D10)+265*SUM(E10))</f>
        <v>78940.405254769008</v>
      </c>
    </row>
    <row r="11" spans="1:10" ht="18" customHeight="1" x14ac:dyDescent="0.2">
      <c r="B11" s="234" t="s">
        <v>694</v>
      </c>
      <c r="C11" s="2926"/>
      <c r="D11" s="2137">
        <f>SUM(D16:D19)</f>
        <v>2032.0161462685974</v>
      </c>
      <c r="E11" s="1929"/>
      <c r="F11" s="1929"/>
      <c r="G11" s="1929"/>
      <c r="H11" s="2927"/>
      <c r="I11" s="2928"/>
      <c r="J11" s="1880">
        <f>IF(SUM(C11:E11)=0,"NO",SUM(C11)+28*SUM(D11)+265*SUM(E11))</f>
        <v>56896.452095520726</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1539.758914089979</v>
      </c>
      <c r="E16" s="628"/>
      <c r="F16" s="628"/>
      <c r="G16" s="628"/>
      <c r="H16" s="2930"/>
      <c r="I16" s="2931"/>
      <c r="J16" s="2934">
        <f>IF(SUM(C16:E16)=0,"NO",SUM(C16)+28*SUM(D16)+265*SUM(E16))</f>
        <v>43113.24959451941</v>
      </c>
    </row>
    <row r="17" spans="2:10" ht="18" customHeight="1" x14ac:dyDescent="0.2">
      <c r="B17" s="228" t="s">
        <v>699</v>
      </c>
      <c r="C17" s="2936"/>
      <c r="D17" s="2920">
        <f>Table3.A!G24</f>
        <v>479.09911359289674</v>
      </c>
      <c r="E17" s="628"/>
      <c r="F17" s="628"/>
      <c r="G17" s="628"/>
      <c r="H17" s="2930"/>
      <c r="I17" s="2931"/>
      <c r="J17" s="2934">
        <f t="shared" ref="J17:J21" si="1">IF(SUM(C17:E17)=0,"NO",SUM(C17)+28*SUM(D17)+265*SUM(E17))</f>
        <v>13414.775180601109</v>
      </c>
    </row>
    <row r="18" spans="2:10" ht="18" customHeight="1" x14ac:dyDescent="0.2">
      <c r="B18" s="228" t="s">
        <v>700</v>
      </c>
      <c r="C18" s="2936"/>
      <c r="D18" s="2920">
        <f>Table3.A!G27</f>
        <v>3.5836326524104432</v>
      </c>
      <c r="E18" s="628"/>
      <c r="F18" s="628"/>
      <c r="G18" s="628"/>
      <c r="H18" s="2930"/>
      <c r="I18" s="2931"/>
      <c r="J18" s="2934">
        <f t="shared" si="1"/>
        <v>100.34171426749241</v>
      </c>
    </row>
    <row r="19" spans="2:10" ht="18" customHeight="1" thickBot="1" x14ac:dyDescent="0.25">
      <c r="B19" s="1297" t="s">
        <v>701</v>
      </c>
      <c r="C19" s="2937"/>
      <c r="D19" s="2500">
        <f>Table3.A!G30</f>
        <v>9.5744859333113475</v>
      </c>
      <c r="E19" s="1923"/>
      <c r="F19" s="1923"/>
      <c r="G19" s="1923"/>
      <c r="H19" s="2938"/>
      <c r="I19" s="2939"/>
      <c r="J19" s="2934">
        <f t="shared" si="1"/>
        <v>268.08560613271771</v>
      </c>
    </row>
    <row r="20" spans="2:10" ht="18" customHeight="1" x14ac:dyDescent="0.2">
      <c r="B20" s="1456" t="s">
        <v>702</v>
      </c>
      <c r="C20" s="2940"/>
      <c r="D20" s="2920">
        <f>IF(SUM(D26:D30)=0,"NO",SUM(D26:D30))</f>
        <v>244.80689602739886</v>
      </c>
      <c r="E20" s="2920">
        <f>IF(SUM(E26:E30)=0,"NO",SUM(E26:E30))</f>
        <v>1.8558823680409184</v>
      </c>
      <c r="F20" s="2134"/>
      <c r="G20" s="2134"/>
      <c r="H20" s="2920" t="str">
        <f>IF(SUM(H26:H30)=0,"NE",SUM(H26:H30))</f>
        <v>NE</v>
      </c>
      <c r="I20" s="2931"/>
      <c r="J20" s="2941">
        <f t="shared" si="1"/>
        <v>7346.4019162980121</v>
      </c>
    </row>
    <row r="21" spans="2:10" ht="18" customHeight="1" x14ac:dyDescent="0.2">
      <c r="B21" s="228" t="s">
        <v>2019</v>
      </c>
      <c r="C21" s="2936"/>
      <c r="D21" s="2920">
        <f>D26</f>
        <v>163.06856050704133</v>
      </c>
      <c r="E21" s="2920">
        <f>E26</f>
        <v>0.89462425528329836</v>
      </c>
      <c r="F21" s="2942"/>
      <c r="G21" s="2942"/>
      <c r="H21" s="2920" t="str">
        <f>H26</f>
        <v>NE</v>
      </c>
      <c r="I21" s="2931"/>
      <c r="J21" s="2934">
        <f t="shared" si="1"/>
        <v>4802.9951218472306</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163.06856050704133</v>
      </c>
      <c r="E26" s="2920">
        <f>'Table3.B(b)'!X15</f>
        <v>0.89462425528329836</v>
      </c>
      <c r="F26" s="628"/>
      <c r="G26" s="628"/>
      <c r="H26" s="2944" t="s">
        <v>2154</v>
      </c>
      <c r="I26" s="2931"/>
      <c r="J26" s="2934">
        <f t="shared" ref="J26:J48" si="2">IF(SUM(C26:E26)=0,"NO",SUM(C26)+28*SUM(D26)+265*SUM(E26))</f>
        <v>4802.9951218472306</v>
      </c>
    </row>
    <row r="27" spans="2:10" ht="18" customHeight="1" x14ac:dyDescent="0.2">
      <c r="B27" s="228" t="s">
        <v>705</v>
      </c>
      <c r="C27" s="2936"/>
      <c r="D27" s="2920">
        <f>'Table3.B(a)'!K24</f>
        <v>24.273207528250609</v>
      </c>
      <c r="E27" s="2920" t="str">
        <f>'Table3.B(b)'!X24</f>
        <v>NA</v>
      </c>
      <c r="F27" s="2942"/>
      <c r="G27" s="2942"/>
      <c r="H27" s="2944" t="s">
        <v>2154</v>
      </c>
      <c r="I27" s="2931"/>
      <c r="J27" s="2934">
        <f t="shared" si="2"/>
        <v>679.64981079101699</v>
      </c>
    </row>
    <row r="28" spans="2:10" ht="18" customHeight="1" x14ac:dyDescent="0.2">
      <c r="B28" s="228" t="s">
        <v>706</v>
      </c>
      <c r="C28" s="2936"/>
      <c r="D28" s="2920">
        <f>'Table3.B(a)'!K27</f>
        <v>52.932335754965841</v>
      </c>
      <c r="E28" s="2920">
        <f>'Table3.B(b)'!X27</f>
        <v>0.1796293827171459</v>
      </c>
      <c r="F28" s="2942"/>
      <c r="G28" s="2942"/>
      <c r="H28" s="2944" t="s">
        <v>2154</v>
      </c>
      <c r="I28" s="2931"/>
      <c r="J28" s="2934">
        <f t="shared" si="2"/>
        <v>1529.7071875590873</v>
      </c>
    </row>
    <row r="29" spans="2:10" ht="18" customHeight="1" x14ac:dyDescent="0.2">
      <c r="B29" s="228" t="s">
        <v>707</v>
      </c>
      <c r="C29" s="2936"/>
      <c r="D29" s="2920">
        <f>'Table3.B(a)'!K30</f>
        <v>4.5327922371411127</v>
      </c>
      <c r="E29" s="2920">
        <f>'Table3.B(b)'!X30</f>
        <v>0.41990212875231214</v>
      </c>
      <c r="F29" s="2942"/>
      <c r="G29" s="2942"/>
      <c r="H29" s="2944" t="s">
        <v>2154</v>
      </c>
      <c r="I29" s="2931"/>
      <c r="J29" s="2934">
        <f t="shared" si="2"/>
        <v>238.19224675931389</v>
      </c>
    </row>
    <row r="30" spans="2:10" ht="18" customHeight="1" thickBot="1" x14ac:dyDescent="0.25">
      <c r="B30" s="1297" t="s">
        <v>708</v>
      </c>
      <c r="C30" s="2945"/>
      <c r="D30" s="2946"/>
      <c r="E30" s="2947">
        <f>SUM('Table3.B(b)'!Y46:Z46)</f>
        <v>0.36172660128816209</v>
      </c>
      <c r="F30" s="2948"/>
      <c r="G30" s="2948"/>
      <c r="H30" s="2949"/>
      <c r="I30" s="2950"/>
      <c r="J30" s="2934">
        <f t="shared" si="2"/>
        <v>95.857549341362954</v>
      </c>
    </row>
    <row r="31" spans="2:10" ht="18" customHeight="1" thickBot="1" x14ac:dyDescent="0.25">
      <c r="B31" s="2639" t="s">
        <v>709</v>
      </c>
      <c r="C31" s="2951"/>
      <c r="D31" s="2952">
        <f>Table3.C!G11</f>
        <v>11.069592121000001</v>
      </c>
      <c r="E31" s="2953"/>
      <c r="F31" s="2953"/>
      <c r="G31" s="2953"/>
      <c r="H31" s="2954" t="s">
        <v>2154</v>
      </c>
      <c r="I31" s="2955"/>
      <c r="J31" s="2956">
        <f t="shared" si="2"/>
        <v>309.94857938800004</v>
      </c>
    </row>
    <row r="32" spans="2:10" ht="18" customHeight="1" x14ac:dyDescent="0.2">
      <c r="B32" s="2638" t="s">
        <v>2020</v>
      </c>
      <c r="C32" s="2957"/>
      <c r="D32" s="2958" t="s">
        <v>2154</v>
      </c>
      <c r="E32" s="2958">
        <f>IF(SUM(E33,E41)=0,"NO",SUM(E33,E41))</f>
        <v>43.485800138412749</v>
      </c>
      <c r="F32" s="2958" t="str">
        <f>IF(SUM(F33,F41)=0,"NO",SUM(F33,F41))</f>
        <v>NO</v>
      </c>
      <c r="G32" s="2958" t="str">
        <f>IF(SUM(G33,G41)=0,"NO",SUM(G33,G41))</f>
        <v>NO</v>
      </c>
      <c r="H32" s="2958" t="str">
        <f>IF(SUM(H33,H41)=0,"NO",SUM(H33,H41))</f>
        <v>NO</v>
      </c>
      <c r="I32" s="2959"/>
      <c r="J32" s="2960">
        <f t="shared" si="2"/>
        <v>11523.737036679378</v>
      </c>
    </row>
    <row r="33" spans="2:10" ht="18" customHeight="1" x14ac:dyDescent="0.2">
      <c r="B33" s="228" t="s">
        <v>710</v>
      </c>
      <c r="C33" s="2961"/>
      <c r="D33" s="2962" t="s">
        <v>2154</v>
      </c>
      <c r="E33" s="2962">
        <f>IF(SUM(E34:E40)=0,"NO",SUM(E34:E40))</f>
        <v>33.27022774684545</v>
      </c>
      <c r="F33" s="2962" t="str">
        <f>IF(SUM(F34:F40)=0,"NO",SUM(F34:F40))</f>
        <v>NO</v>
      </c>
      <c r="G33" s="2962" t="str">
        <f>IF(SUM(G34:G40)=0,"NO",SUM(G34:G40))</f>
        <v>NO</v>
      </c>
      <c r="H33" s="2962" t="str">
        <f>IF(SUM(H34:H40)=0,"NO",SUM(H34:H40))</f>
        <v>NO</v>
      </c>
      <c r="I33" s="2931"/>
      <c r="J33" s="2963">
        <f t="shared" si="2"/>
        <v>8816.6103529140437</v>
      </c>
    </row>
    <row r="34" spans="2:10" ht="18" customHeight="1" x14ac:dyDescent="0.2">
      <c r="B34" s="232" t="s">
        <v>711</v>
      </c>
      <c r="C34" s="2961"/>
      <c r="D34" s="2905" t="s">
        <v>2154</v>
      </c>
      <c r="E34" s="2962">
        <f>Table3.D!F11</f>
        <v>8.0209800492924757</v>
      </c>
      <c r="F34" s="2964" t="s">
        <v>2147</v>
      </c>
      <c r="G34" s="2964" t="s">
        <v>2147</v>
      </c>
      <c r="H34" s="2964" t="s">
        <v>2147</v>
      </c>
      <c r="I34" s="2931"/>
      <c r="J34" s="2963">
        <f t="shared" si="2"/>
        <v>2125.559713062506</v>
      </c>
    </row>
    <row r="35" spans="2:10" ht="18" customHeight="1" x14ac:dyDescent="0.2">
      <c r="B35" s="232" t="s">
        <v>712</v>
      </c>
      <c r="C35" s="2961"/>
      <c r="D35" s="2905" t="s">
        <v>2154</v>
      </c>
      <c r="E35" s="2962">
        <f>Table3.D!F12</f>
        <v>1.5715923519868653</v>
      </c>
      <c r="F35" s="2964" t="s">
        <v>2147</v>
      </c>
      <c r="G35" s="2964" t="s">
        <v>2147</v>
      </c>
      <c r="H35" s="2965" t="s">
        <v>2147</v>
      </c>
      <c r="I35" s="2931"/>
      <c r="J35" s="2963">
        <f t="shared" si="2"/>
        <v>416.47197327651929</v>
      </c>
    </row>
    <row r="36" spans="2:10" ht="18" customHeight="1" x14ac:dyDescent="0.2">
      <c r="B36" s="232" t="s">
        <v>713</v>
      </c>
      <c r="C36" s="2961"/>
      <c r="D36" s="2905" t="s">
        <v>2154</v>
      </c>
      <c r="E36" s="2962">
        <f>Table3.D!F16</f>
        <v>10.313812198432261</v>
      </c>
      <c r="F36" s="2964" t="s">
        <v>2147</v>
      </c>
      <c r="G36" s="2964" t="s">
        <v>2147</v>
      </c>
      <c r="H36" s="2965" t="s">
        <v>2147</v>
      </c>
      <c r="I36" s="2931"/>
      <c r="J36" s="2963">
        <f t="shared" si="2"/>
        <v>2733.1602325845492</v>
      </c>
    </row>
    <row r="37" spans="2:10" ht="18" customHeight="1" x14ac:dyDescent="0.2">
      <c r="B37" s="232" t="s">
        <v>714</v>
      </c>
      <c r="C37" s="2961"/>
      <c r="D37" s="2905" t="s">
        <v>2154</v>
      </c>
      <c r="E37" s="2962">
        <f>Table3.D!F17</f>
        <v>13.179192039441215</v>
      </c>
      <c r="F37" s="2964" t="s">
        <v>2147</v>
      </c>
      <c r="G37" s="2964" t="s">
        <v>2147</v>
      </c>
      <c r="H37" s="2965" t="s">
        <v>2147</v>
      </c>
      <c r="I37" s="2931"/>
      <c r="J37" s="2963">
        <f t="shared" si="2"/>
        <v>3492.4858904519219</v>
      </c>
    </row>
    <row r="38" spans="2:10" ht="18" customHeight="1" x14ac:dyDescent="0.2">
      <c r="B38" s="1705" t="s">
        <v>715</v>
      </c>
      <c r="C38" s="2961"/>
      <c r="D38" s="2905" t="s">
        <v>2154</v>
      </c>
      <c r="E38" s="2962">
        <f>Table3.D!F18</f>
        <v>9.6651107692632868E-2</v>
      </c>
      <c r="F38" s="2964" t="s">
        <v>2147</v>
      </c>
      <c r="G38" s="2964" t="s">
        <v>2147</v>
      </c>
      <c r="H38" s="2965" t="s">
        <v>2147</v>
      </c>
      <c r="I38" s="2931"/>
      <c r="J38" s="2963">
        <f t="shared" si="2"/>
        <v>25.612543538547708</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10.215572391567299</v>
      </c>
      <c r="F41" s="2969" t="s">
        <v>2147</v>
      </c>
      <c r="G41" s="2969" t="s">
        <v>2147</v>
      </c>
      <c r="H41" s="2970" t="s">
        <v>2147</v>
      </c>
      <c r="I41" s="2971"/>
      <c r="J41" s="2972">
        <f t="shared" si="2"/>
        <v>2707.1266837653343</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8.4613653997161151</v>
      </c>
      <c r="E43" s="2979">
        <f>SUM(Table3.F!J10,Table3.F!J20,Table3.F!J23,Table3.F!J26:J27)</f>
        <v>0.35463300839590872</v>
      </c>
      <c r="F43" s="2909">
        <v>20.488964480289933</v>
      </c>
      <c r="G43" s="2909">
        <v>329.99325058892867</v>
      </c>
      <c r="H43" s="2910">
        <v>19.249606284354172</v>
      </c>
      <c r="I43" s="2980" t="s">
        <v>2146</v>
      </c>
      <c r="J43" s="2981">
        <f t="shared" si="2"/>
        <v>330.89597841696707</v>
      </c>
    </row>
    <row r="44" spans="2:10" ht="18" customHeight="1" thickBot="1" x14ac:dyDescent="0.25">
      <c r="B44" s="2641" t="s">
        <v>721</v>
      </c>
      <c r="C44" s="2982">
        <f>'Table3.G-J'!E10</f>
        <v>1224.3892800541203</v>
      </c>
      <c r="D44" s="2983"/>
      <c r="E44" s="2983"/>
      <c r="F44" s="2983"/>
      <c r="G44" s="2983"/>
      <c r="H44" s="2984"/>
      <c r="I44" s="2985"/>
      <c r="J44" s="2981">
        <f t="shared" si="2"/>
        <v>1224.3892800541203</v>
      </c>
    </row>
    <row r="45" spans="2:10" ht="18" customHeight="1" thickBot="1" x14ac:dyDescent="0.25">
      <c r="B45" s="2641" t="s">
        <v>722</v>
      </c>
      <c r="C45" s="2982">
        <f>'Table3.G-J'!E13</f>
        <v>1308.5803684117998</v>
      </c>
      <c r="D45" s="2983"/>
      <c r="E45" s="2983"/>
      <c r="F45" s="2983"/>
      <c r="G45" s="2983"/>
      <c r="H45" s="2984"/>
      <c r="I45" s="2985"/>
      <c r="J45" s="2981">
        <f t="shared" si="2"/>
        <v>1308.5803684117998</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27412.872000000003</v>
      </c>
      <c r="D10" s="3241"/>
      <c r="E10" s="3241"/>
      <c r="F10" s="3131">
        <f>IF(SUM(C10)=0,"NA",G10*1000/C10)</f>
        <v>56.169193585042052</v>
      </c>
      <c r="G10" s="3242">
        <f>G15</f>
        <v>1539.758914089979</v>
      </c>
      <c r="I10" s="275" t="s">
        <v>738</v>
      </c>
      <c r="J10" s="276" t="s">
        <v>739</v>
      </c>
      <c r="K10" s="691">
        <v>454.77372462851002</v>
      </c>
      <c r="L10" s="691">
        <v>360.19484311901698</v>
      </c>
      <c r="M10" s="3147">
        <v>536.87463798096803</v>
      </c>
      <c r="N10" s="3147">
        <v>44.048710667103798</v>
      </c>
      <c r="O10" s="2911">
        <v>58.7020076951436</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16.711708465240001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27412.872000000003</v>
      </c>
      <c r="D15" s="3248"/>
      <c r="E15" s="3248"/>
      <c r="F15" s="3131">
        <f>IF(SUM(C15)=0,"NA",G15*1000/C15)</f>
        <v>56.169193585042052</v>
      </c>
      <c r="G15" s="3249">
        <f>G20</f>
        <v>1539.758914089979</v>
      </c>
      <c r="I15" s="1777" t="s">
        <v>748</v>
      </c>
      <c r="J15" s="1849" t="s">
        <v>297</v>
      </c>
      <c r="K15" s="3445">
        <v>75</v>
      </c>
      <c r="L15" s="3445">
        <v>57.754792946780299</v>
      </c>
      <c r="M15" s="1560">
        <v>80.265392375277798</v>
      </c>
      <c r="N15" s="1560">
        <v>66.776024270940297</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1539.758914089979</v>
      </c>
      <c r="I20" s="72"/>
      <c r="J20" s="288"/>
      <c r="K20" s="288"/>
      <c r="L20" s="288"/>
      <c r="M20" s="288"/>
      <c r="N20" s="288"/>
      <c r="O20" s="288"/>
    </row>
    <row r="21" spans="2:15" ht="18" customHeight="1" x14ac:dyDescent="0.2">
      <c r="B21" s="2633" t="s">
        <v>2196</v>
      </c>
      <c r="C21" s="3272">
        <v>2810.5949999999998</v>
      </c>
      <c r="D21" s="3257">
        <v>234.22688231545499</v>
      </c>
      <c r="E21" s="3257">
        <v>6.1478990922391903</v>
      </c>
      <c r="F21" s="3131">
        <f t="shared" ref="F21:F30" si="0">IF(SUM(C21)=0,"NA",G21*1000/C21)</f>
        <v>95.183121428081392</v>
      </c>
      <c r="G21" s="3239">
        <v>267.5212051701584</v>
      </c>
      <c r="I21" s="72"/>
      <c r="J21" s="288"/>
      <c r="K21" s="288"/>
      <c r="L21" s="288"/>
      <c r="M21" s="288"/>
      <c r="N21" s="288"/>
      <c r="O21" s="288"/>
    </row>
    <row r="22" spans="2:15" ht="18" customHeight="1" x14ac:dyDescent="0.2">
      <c r="B22" s="2633" t="s">
        <v>2197</v>
      </c>
      <c r="C22" s="3272">
        <v>23676.536</v>
      </c>
      <c r="D22" s="3257">
        <v>124.40330601233001</v>
      </c>
      <c r="E22" s="3257">
        <v>6.21225</v>
      </c>
      <c r="F22" s="3131">
        <f t="shared" si="0"/>
        <v>51.083106541799374</v>
      </c>
      <c r="G22" s="3239">
        <v>1209.4710110287485</v>
      </c>
      <c r="I22" s="72"/>
      <c r="J22" s="288"/>
      <c r="K22" s="288"/>
      <c r="L22" s="288"/>
      <c r="M22" s="288"/>
      <c r="N22" s="288"/>
      <c r="O22" s="288"/>
    </row>
    <row r="23" spans="2:15" ht="18" customHeight="1" x14ac:dyDescent="0.2">
      <c r="B23" s="2633" t="s">
        <v>2198</v>
      </c>
      <c r="C23" s="3272">
        <v>925.74099999999999</v>
      </c>
      <c r="D23" s="3257">
        <v>203.35009408734399</v>
      </c>
      <c r="E23" s="3257">
        <v>5.0442782792730796</v>
      </c>
      <c r="F23" s="3131">
        <f t="shared" si="0"/>
        <v>67.801575052927262</v>
      </c>
      <c r="G23" s="3239">
        <v>62.766697891071942</v>
      </c>
      <c r="I23" s="72"/>
      <c r="J23" s="288"/>
      <c r="K23" s="288"/>
      <c r="L23" s="288"/>
      <c r="M23" s="288"/>
      <c r="N23" s="288"/>
      <c r="O23" s="288"/>
    </row>
    <row r="24" spans="2:15" ht="18" customHeight="1" x14ac:dyDescent="0.2">
      <c r="B24" s="287" t="s">
        <v>753</v>
      </c>
      <c r="C24" s="2635">
        <f>C25</f>
        <v>70909.645999999993</v>
      </c>
      <c r="D24" s="3258"/>
      <c r="E24" s="3258"/>
      <c r="F24" s="3131">
        <f t="shared" si="0"/>
        <v>6.7564730698683331</v>
      </c>
      <c r="G24" s="3128">
        <f>G25</f>
        <v>479.09911359289674</v>
      </c>
      <c r="I24" s="72"/>
    </row>
    <row r="25" spans="2:15" ht="18" customHeight="1" x14ac:dyDescent="0.2">
      <c r="B25" s="282" t="s">
        <v>754</v>
      </c>
      <c r="C25" s="2635">
        <f>C26</f>
        <v>70909.645999999993</v>
      </c>
      <c r="D25" s="3258"/>
      <c r="E25" s="3258"/>
      <c r="F25" s="3131">
        <f t="shared" si="0"/>
        <v>6.7564730698683331</v>
      </c>
      <c r="G25" s="3128">
        <f>G26</f>
        <v>479.09911359289674</v>
      </c>
    </row>
    <row r="26" spans="2:15" ht="18" customHeight="1" x14ac:dyDescent="0.2">
      <c r="B26" s="2634" t="s">
        <v>2201</v>
      </c>
      <c r="C26" s="289">
        <v>70909.645999999993</v>
      </c>
      <c r="D26" s="3259">
        <v>16.570653606325099</v>
      </c>
      <c r="E26" s="3259">
        <v>6.1685622389131201</v>
      </c>
      <c r="F26" s="3131">
        <f t="shared" si="0"/>
        <v>6.7564730698683331</v>
      </c>
      <c r="G26" s="3240">
        <v>479.09911359289674</v>
      </c>
    </row>
    <row r="27" spans="2:15" ht="18" customHeight="1" x14ac:dyDescent="0.2">
      <c r="B27" s="287" t="s">
        <v>755</v>
      </c>
      <c r="C27" s="2635">
        <f>C28</f>
        <v>2272.1640000000002</v>
      </c>
      <c r="D27" s="3258"/>
      <c r="E27" s="3258"/>
      <c r="F27" s="3131">
        <f t="shared" si="0"/>
        <v>1.5771892576462099</v>
      </c>
      <c r="G27" s="3128">
        <f>G28</f>
        <v>3.5836326524104432</v>
      </c>
    </row>
    <row r="28" spans="2:15" ht="18" customHeight="1" x14ac:dyDescent="0.2">
      <c r="B28" s="282" t="s">
        <v>756</v>
      </c>
      <c r="C28" s="2635">
        <f>C29</f>
        <v>2272.1640000000002</v>
      </c>
      <c r="D28" s="3258"/>
      <c r="E28" s="3258"/>
      <c r="F28" s="3131">
        <f t="shared" si="0"/>
        <v>1.5771892576462099</v>
      </c>
      <c r="G28" s="3128">
        <f>G29</f>
        <v>3.5836326524104432</v>
      </c>
    </row>
    <row r="29" spans="2:15" ht="18" customHeight="1" x14ac:dyDescent="0.2">
      <c r="B29" s="2634" t="s">
        <v>817</v>
      </c>
      <c r="C29" s="289">
        <v>2272.1640000000002</v>
      </c>
      <c r="D29" s="3259">
        <v>34.087039461438501</v>
      </c>
      <c r="E29" s="3259">
        <v>0.7</v>
      </c>
      <c r="F29" s="3131">
        <f t="shared" si="0"/>
        <v>1.5771892576462099</v>
      </c>
      <c r="G29" s="3240">
        <v>3.5836326524104432</v>
      </c>
    </row>
    <row r="30" spans="2:15" ht="18" customHeight="1" x14ac:dyDescent="0.2">
      <c r="B30" s="287" t="s">
        <v>757</v>
      </c>
      <c r="C30" s="2635">
        <f>SUM(C32:C39)</f>
        <v>93679.226999999999</v>
      </c>
      <c r="D30" s="3258"/>
      <c r="E30" s="3258"/>
      <c r="F30" s="3131">
        <f t="shared" si="0"/>
        <v>0.1022050057406147</v>
      </c>
      <c r="G30" s="3128">
        <f>SUM(G32:G39)</f>
        <v>9.5744859333113475</v>
      </c>
    </row>
    <row r="31" spans="2:15" ht="18" customHeight="1" x14ac:dyDescent="0.2">
      <c r="B31" s="1305" t="s">
        <v>345</v>
      </c>
      <c r="C31" s="3273"/>
      <c r="D31" s="3261"/>
      <c r="E31" s="3261"/>
      <c r="F31" s="3261"/>
      <c r="G31" s="3262"/>
    </row>
    <row r="32" spans="2:15" ht="18" customHeight="1" x14ac:dyDescent="0.2">
      <c r="B32" s="286" t="s">
        <v>758</v>
      </c>
      <c r="C32" s="3267">
        <v>5.0890000000000004</v>
      </c>
      <c r="D32" s="3263" t="s">
        <v>2147</v>
      </c>
      <c r="E32" s="3263" t="s">
        <v>2147</v>
      </c>
      <c r="F32" s="3131">
        <f t="shared" ref="F32:F40" si="1">IF(SUM(C32)=0,"NA",G32*1000/C32)</f>
        <v>76.000917856735185</v>
      </c>
      <c r="G32" s="3239">
        <v>0.38676867097292539</v>
      </c>
    </row>
    <row r="33" spans="2:7" ht="18" customHeight="1" x14ac:dyDescent="0.2">
      <c r="B33" s="286" t="s">
        <v>759</v>
      </c>
      <c r="C33" s="3267">
        <v>3.2629999999999999</v>
      </c>
      <c r="D33" s="3263" t="s">
        <v>2147</v>
      </c>
      <c r="E33" s="3263" t="s">
        <v>2147</v>
      </c>
      <c r="F33" s="3131">
        <f t="shared" si="1"/>
        <v>46.002614614974689</v>
      </c>
      <c r="G33" s="3239">
        <v>0.1501065314886624</v>
      </c>
    </row>
    <row r="34" spans="2:7" ht="18" customHeight="1" x14ac:dyDescent="0.2">
      <c r="B34" s="286" t="s">
        <v>760</v>
      </c>
      <c r="C34" s="3267">
        <v>38.395000000000003</v>
      </c>
      <c r="D34" s="3263" t="s">
        <v>2147</v>
      </c>
      <c r="E34" s="3263" t="s">
        <v>2147</v>
      </c>
      <c r="F34" s="3131">
        <f t="shared" si="1"/>
        <v>20.000104477061658</v>
      </c>
      <c r="G34" s="3239">
        <v>0.76790401139678233</v>
      </c>
    </row>
    <row r="35" spans="2:7" ht="18" customHeight="1" x14ac:dyDescent="0.2">
      <c r="B35" s="286" t="s">
        <v>761</v>
      </c>
      <c r="C35" s="3267">
        <v>516.14300000000003</v>
      </c>
      <c r="D35" s="3263" t="s">
        <v>2147</v>
      </c>
      <c r="E35" s="3263" t="s">
        <v>2147</v>
      </c>
      <c r="F35" s="3131">
        <f t="shared" si="1"/>
        <v>5</v>
      </c>
      <c r="G35" s="3239">
        <v>2.5807150000000001</v>
      </c>
    </row>
    <row r="36" spans="2:7" ht="18" customHeight="1" x14ac:dyDescent="0.2">
      <c r="B36" s="286" t="s">
        <v>762</v>
      </c>
      <c r="C36" s="3267">
        <v>254.21799999999999</v>
      </c>
      <c r="D36" s="3263" t="s">
        <v>2147</v>
      </c>
      <c r="E36" s="3263" t="s">
        <v>2147</v>
      </c>
      <c r="F36" s="3131">
        <f t="shared" si="1"/>
        <v>17.999968534089721</v>
      </c>
      <c r="G36" s="3239">
        <v>4.5759160007992206</v>
      </c>
    </row>
    <row r="37" spans="2:7" ht="18" customHeight="1" x14ac:dyDescent="0.2">
      <c r="B37" s="286" t="s">
        <v>763</v>
      </c>
      <c r="C37" s="3267">
        <v>0.86099999999999999</v>
      </c>
      <c r="D37" s="3263" t="s">
        <v>2147</v>
      </c>
      <c r="E37" s="3263" t="s">
        <v>2147</v>
      </c>
      <c r="F37" s="3131">
        <f t="shared" si="1"/>
        <v>10.00183900665497</v>
      </c>
      <c r="G37" s="3239">
        <v>8.6115833847299292E-3</v>
      </c>
    </row>
    <row r="38" spans="2:7" ht="18" customHeight="1" x14ac:dyDescent="0.2">
      <c r="B38" s="286" t="s">
        <v>764</v>
      </c>
      <c r="C38" s="3274">
        <v>92719.573000000004</v>
      </c>
      <c r="D38" s="3263" t="s">
        <v>2147</v>
      </c>
      <c r="E38" s="3263" t="s">
        <v>2147</v>
      </c>
      <c r="F38" s="3131" t="s">
        <v>2147</v>
      </c>
      <c r="G38" s="3264" t="s">
        <v>2154</v>
      </c>
    </row>
    <row r="39" spans="2:7" ht="18" customHeight="1" x14ac:dyDescent="0.2">
      <c r="B39" s="286" t="s">
        <v>765</v>
      </c>
      <c r="C39" s="2635">
        <f>SUM(C40:C44)</f>
        <v>141.685</v>
      </c>
      <c r="D39" s="3258"/>
      <c r="E39" s="3258"/>
      <c r="F39" s="3131">
        <f t="shared" si="1"/>
        <v>7.7952086337228925</v>
      </c>
      <c r="G39" s="3128">
        <f>SUM(G40:G44)</f>
        <v>1.1044641352690281</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9.673</v>
      </c>
      <c r="D42" s="2967" t="s">
        <v>2147</v>
      </c>
      <c r="E42" s="2967" t="s">
        <v>2147</v>
      </c>
      <c r="F42" s="3131">
        <f t="shared" si="2"/>
        <v>5.0000868744065352</v>
      </c>
      <c r="G42" s="3201">
        <v>4.8365840336134419E-2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132.012</v>
      </c>
      <c r="D44" s="3258"/>
      <c r="E44" s="3258"/>
      <c r="F44" s="3131">
        <f>IF(SUM(C44)=0,"NA",G44*1000/C44)</f>
        <v>8.0000173842748659</v>
      </c>
      <c r="G44" s="3128">
        <f>G45</f>
        <v>1.0560982949328936</v>
      </c>
    </row>
    <row r="45" spans="2:7" ht="18" customHeight="1" thickBot="1" x14ac:dyDescent="0.25">
      <c r="B45" s="2636" t="s">
        <v>2199</v>
      </c>
      <c r="C45" s="3276">
        <v>132.012</v>
      </c>
      <c r="D45" s="3137" t="s">
        <v>2147</v>
      </c>
      <c r="E45" s="3137" t="s">
        <v>2147</v>
      </c>
      <c r="F45" s="3265">
        <f>IF(SUM(C45)=0,"NA",G45*1000/C45)</f>
        <v>8.0000173842748659</v>
      </c>
      <c r="G45" s="3203">
        <v>1.0560982949328936</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27412.872000000003</v>
      </c>
      <c r="D10" s="2942"/>
      <c r="E10" s="2942"/>
      <c r="F10" s="2942"/>
      <c r="G10" s="2942"/>
      <c r="H10" s="2942"/>
      <c r="I10" s="3279"/>
      <c r="J10" s="3280">
        <f>IF(SUM(C10)=0,"NA",K10*1000/C10)</f>
        <v>5.9486127723881426</v>
      </c>
      <c r="K10" s="3281">
        <f>K15</f>
        <v>163.06856050704133</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27412.872000000003</v>
      </c>
      <c r="D15" s="3293"/>
      <c r="E15" s="3293"/>
      <c r="F15" s="3293"/>
      <c r="G15" s="3293"/>
      <c r="H15" s="3293"/>
      <c r="I15" s="3288"/>
      <c r="J15" s="3287">
        <f>IF(SUM(C15)=0,"NA",K15*1000/C15)</f>
        <v>5.9486127723881426</v>
      </c>
      <c r="K15" s="3281">
        <f>SUM(K17:K20)</f>
        <v>163.06856050704133</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27412.872000000003</v>
      </c>
      <c r="D20" s="3293"/>
      <c r="E20" s="3293"/>
      <c r="F20" s="3293"/>
      <c r="G20" s="3293"/>
      <c r="H20" s="3293"/>
      <c r="I20" s="3288"/>
      <c r="J20" s="3301">
        <f>IF(SUM(C20)=0,"NA",K20*1000/C20)</f>
        <v>5.9486127723881426</v>
      </c>
      <c r="K20" s="3281">
        <f>SUM(K21:K23)</f>
        <v>163.06856050704133</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2810.5949999999998</v>
      </c>
      <c r="D21" s="3325">
        <v>8.8733788717797104</v>
      </c>
      <c r="E21" s="3325">
        <v>91.126621128220293</v>
      </c>
      <c r="F21" s="3325" t="s">
        <v>2146</v>
      </c>
      <c r="G21" s="3298">
        <f>Table3.A!K10</f>
        <v>454.77372462851002</v>
      </c>
      <c r="H21" s="3299">
        <v>3.3626503269080499</v>
      </c>
      <c r="I21" s="3300">
        <v>0.24</v>
      </c>
      <c r="J21" s="3301">
        <f>IF(SUM(C21)=0,"NA",K21*1000/C21)</f>
        <v>15.475830621801475</v>
      </c>
      <c r="K21" s="3277">
        <v>43.496292166482114</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23676.536</v>
      </c>
      <c r="D22" s="3325" t="s">
        <v>2146</v>
      </c>
      <c r="E22" s="3325">
        <v>81.513275465240099</v>
      </c>
      <c r="F22" s="3325">
        <v>18.486724534759901</v>
      </c>
      <c r="G22" s="3298">
        <f>Table3.A!L10</f>
        <v>360.19484311901698</v>
      </c>
      <c r="H22" s="3299" t="s">
        <v>2147</v>
      </c>
      <c r="I22" s="3300" t="s">
        <v>2147</v>
      </c>
      <c r="J22" s="3301">
        <f t="shared" ref="J22:J45" si="0">IF(SUM(C22)=0,"NA",K22*1000/C22)</f>
        <v>4.9134928135334226</v>
      </c>
      <c r="K22" s="3277">
        <v>116.33448948536537</v>
      </c>
      <c r="M22" s="1594" t="s">
        <v>800</v>
      </c>
      <c r="N22" s="4486" t="s">
        <v>2196</v>
      </c>
      <c r="O22" s="1690" t="s">
        <v>802</v>
      </c>
      <c r="P22" s="1691" t="s">
        <v>791</v>
      </c>
      <c r="Q22" s="3774">
        <v>6.4982423726735803</v>
      </c>
      <c r="R22" s="300" t="s">
        <v>2146</v>
      </c>
      <c r="S22" s="3772">
        <v>3.9412898601178101</v>
      </c>
      <c r="T22" s="3772">
        <v>1.6204890127343889</v>
      </c>
      <c r="U22" s="3772" t="s">
        <v>2146</v>
      </c>
      <c r="V22" s="3772" t="s">
        <v>2153</v>
      </c>
      <c r="W22" s="3772" t="s">
        <v>2146</v>
      </c>
      <c r="X22" s="3772">
        <v>87.939978754474197</v>
      </c>
      <c r="Y22" s="301" t="s">
        <v>2146</v>
      </c>
      <c r="Z22" s="301" t="s">
        <v>2146</v>
      </c>
      <c r="AA22" s="301" t="s">
        <v>2146</v>
      </c>
      <c r="AB22" s="1306" t="s">
        <v>2146</v>
      </c>
    </row>
    <row r="23" spans="2:28" s="84" customFormat="1" ht="18" customHeight="1" x14ac:dyDescent="0.2">
      <c r="B23" s="2642" t="s">
        <v>2198</v>
      </c>
      <c r="C23" s="3325">
        <f>Table3.A!C23</f>
        <v>925.74099999999999</v>
      </c>
      <c r="D23" s="3325" t="s">
        <v>2146</v>
      </c>
      <c r="E23" s="3325">
        <v>100</v>
      </c>
      <c r="F23" s="3325" t="s">
        <v>2146</v>
      </c>
      <c r="G23" s="3298">
        <f>Table3.A!M10</f>
        <v>536.87463798096803</v>
      </c>
      <c r="H23" s="3299">
        <v>1.75570251380303</v>
      </c>
      <c r="I23" s="3300">
        <v>0.19</v>
      </c>
      <c r="J23" s="3301">
        <f t="shared" si="0"/>
        <v>3.4974996842463049</v>
      </c>
      <c r="K23" s="3277">
        <v>3.2377788551938584</v>
      </c>
      <c r="M23" s="1664" t="s">
        <v>813</v>
      </c>
      <c r="N23" s="4487"/>
      <c r="O23" s="1692" t="s">
        <v>794</v>
      </c>
      <c r="P23" s="1693" t="s">
        <v>792</v>
      </c>
      <c r="Q23" s="3776">
        <v>9.2722225076145897</v>
      </c>
      <c r="R23" s="277" t="s">
        <v>2146</v>
      </c>
      <c r="S23" s="691">
        <v>1.9210913571773001</v>
      </c>
      <c r="T23" s="3147">
        <v>2.4894159630850727</v>
      </c>
      <c r="U23" s="3147" t="s">
        <v>2146</v>
      </c>
      <c r="V23" s="3147" t="s">
        <v>2153</v>
      </c>
      <c r="W23" s="3147" t="s">
        <v>2146</v>
      </c>
      <c r="X23" s="3147">
        <v>86.317270172123003</v>
      </c>
      <c r="Y23" s="278" t="s">
        <v>2146</v>
      </c>
      <c r="Z23" s="278" t="s">
        <v>2146</v>
      </c>
      <c r="AA23" s="278" t="s">
        <v>2146</v>
      </c>
      <c r="AB23" s="279" t="s">
        <v>2146</v>
      </c>
    </row>
    <row r="24" spans="2:28" s="84" customFormat="1" ht="18" customHeight="1" thickBot="1" x14ac:dyDescent="0.25">
      <c r="B24" s="1643" t="s">
        <v>811</v>
      </c>
      <c r="C24" s="4184">
        <f>C25</f>
        <v>70909.645999999993</v>
      </c>
      <c r="D24" s="3303"/>
      <c r="E24" s="3303"/>
      <c r="F24" s="3303"/>
      <c r="G24" s="3303"/>
      <c r="H24" s="3303"/>
      <c r="I24" s="3304"/>
      <c r="J24" s="3301">
        <f t="shared" si="0"/>
        <v>0.34231178545512142</v>
      </c>
      <c r="K24" s="3281">
        <f>K25</f>
        <v>24.273207528250609</v>
      </c>
      <c r="M24" s="1656"/>
      <c r="N24" s="4487"/>
      <c r="O24" s="1694"/>
      <c r="P24" s="1693" t="s">
        <v>793</v>
      </c>
      <c r="Q24" s="4208" t="s">
        <v>2146</v>
      </c>
      <c r="R24" s="304" t="s">
        <v>2146</v>
      </c>
      <c r="S24" s="1559" t="s">
        <v>2146</v>
      </c>
      <c r="T24" s="1560" t="s">
        <v>2146</v>
      </c>
      <c r="U24" s="1560" t="s">
        <v>2146</v>
      </c>
      <c r="V24" s="1560" t="s">
        <v>2153</v>
      </c>
      <c r="W24" s="1560" t="s">
        <v>2146</v>
      </c>
      <c r="X24" s="1560" t="s">
        <v>2146</v>
      </c>
      <c r="Y24" s="305" t="s">
        <v>2146</v>
      </c>
      <c r="Z24" s="305" t="s">
        <v>2146</v>
      </c>
      <c r="AA24" s="305" t="s">
        <v>2146</v>
      </c>
      <c r="AB24" s="442" t="s">
        <v>2146</v>
      </c>
    </row>
    <row r="25" spans="2:28" s="84" customFormat="1" ht="18" customHeight="1" x14ac:dyDescent="0.2">
      <c r="B25" s="1644" t="s">
        <v>812</v>
      </c>
      <c r="C25" s="4184">
        <f>C26</f>
        <v>70909.645999999993</v>
      </c>
      <c r="D25" s="3250"/>
      <c r="E25" s="3250"/>
      <c r="F25" s="3250"/>
      <c r="G25" s="3250"/>
      <c r="H25" s="3250"/>
      <c r="I25" s="3260"/>
      <c r="J25" s="3301">
        <f t="shared" si="0"/>
        <v>0.34231178545512142</v>
      </c>
      <c r="K25" s="3281">
        <f>K26</f>
        <v>24.273207528250609</v>
      </c>
      <c r="M25" s="1656"/>
      <c r="N25" s="4487"/>
      <c r="O25" s="1695" t="s">
        <v>2026</v>
      </c>
      <c r="P25" s="1691" t="s">
        <v>791</v>
      </c>
      <c r="Q25" s="4209">
        <v>0.7</v>
      </c>
      <c r="R25" s="1308" t="s">
        <v>2146</v>
      </c>
      <c r="S25" s="692">
        <v>3.911363636364E-2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70909.645999999993</v>
      </c>
      <c r="D26" s="3325" t="s">
        <v>2146</v>
      </c>
      <c r="E26" s="3325">
        <v>100</v>
      </c>
      <c r="F26" s="3325" t="s">
        <v>2146</v>
      </c>
      <c r="G26" s="3305">
        <f>Table3.A!N10</f>
        <v>44.048710667103798</v>
      </c>
      <c r="H26" s="3033" t="s">
        <v>2147</v>
      </c>
      <c r="I26" s="3126" t="s">
        <v>2147</v>
      </c>
      <c r="J26" s="3301">
        <f t="shared" si="0"/>
        <v>0.34231178545512142</v>
      </c>
      <c r="K26" s="3277">
        <v>24.273207528250609</v>
      </c>
      <c r="M26" s="1656"/>
      <c r="N26" s="4487"/>
      <c r="O26" s="1696"/>
      <c r="P26" s="1693" t="s">
        <v>792</v>
      </c>
      <c r="Q26" s="3776">
        <v>0.74368211482308999</v>
      </c>
      <c r="R26" s="277" t="s">
        <v>2146</v>
      </c>
      <c r="S26" s="691">
        <v>6.586968816423E-2</v>
      </c>
      <c r="T26" s="3147">
        <v>2.0000000000000004</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2272.1640000000002</v>
      </c>
      <c r="D27" s="3250"/>
      <c r="E27" s="3250"/>
      <c r="F27" s="3250"/>
      <c r="G27" s="3250"/>
      <c r="H27" s="3250"/>
      <c r="I27" s="3260"/>
      <c r="J27" s="3301">
        <f t="shared" si="0"/>
        <v>23.296001413175208</v>
      </c>
      <c r="K27" s="3281">
        <f>K28</f>
        <v>52.932335754965841</v>
      </c>
      <c r="M27" s="1656"/>
      <c r="N27" s="4488"/>
      <c r="O27" s="1697"/>
      <c r="P27" s="1693" t="s">
        <v>793</v>
      </c>
      <c r="Q27" s="4208" t="s">
        <v>2146</v>
      </c>
      <c r="R27" s="304" t="s">
        <v>2146</v>
      </c>
      <c r="S27" s="1559" t="s">
        <v>2146</v>
      </c>
      <c r="T27" s="1560" t="s">
        <v>2146</v>
      </c>
      <c r="U27" s="1560" t="s">
        <v>2146</v>
      </c>
      <c r="V27" s="1560" t="s">
        <v>2153</v>
      </c>
      <c r="W27" s="1560" t="s">
        <v>2146</v>
      </c>
      <c r="X27" s="1560" t="s">
        <v>2146</v>
      </c>
      <c r="Y27" s="305" t="s">
        <v>2146</v>
      </c>
      <c r="Z27" s="305" t="s">
        <v>2146</v>
      </c>
      <c r="AA27" s="305" t="s">
        <v>2146</v>
      </c>
      <c r="AB27" s="442" t="s">
        <v>2146</v>
      </c>
    </row>
    <row r="28" spans="2:28" s="84" customFormat="1" ht="18" customHeight="1" x14ac:dyDescent="0.2">
      <c r="B28" s="1644" t="s">
        <v>815</v>
      </c>
      <c r="C28" s="4184">
        <f>C29</f>
        <v>2272.1640000000002</v>
      </c>
      <c r="D28" s="3250"/>
      <c r="E28" s="3250"/>
      <c r="F28" s="3250"/>
      <c r="G28" s="3250"/>
      <c r="H28" s="3250"/>
      <c r="I28" s="3260"/>
      <c r="J28" s="3301">
        <f t="shared" si="0"/>
        <v>23.296001413175208</v>
      </c>
      <c r="K28" s="3281">
        <f>K29</f>
        <v>52.932335754965841</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2272.1640000000002</v>
      </c>
      <c r="D29" s="3325">
        <v>0.59328195240231996</v>
      </c>
      <c r="E29" s="3325">
        <v>99.406718047597678</v>
      </c>
      <c r="F29" s="3325" t="s">
        <v>2146</v>
      </c>
      <c r="G29" s="3305">
        <f>Table3.A!O10</f>
        <v>58.7020076951436</v>
      </c>
      <c r="H29" s="3033">
        <v>0.39710917009973001</v>
      </c>
      <c r="I29" s="3126">
        <v>0.45</v>
      </c>
      <c r="J29" s="3301">
        <f t="shared" si="0"/>
        <v>23.296001413175208</v>
      </c>
      <c r="K29" s="3277">
        <v>52.932335754965841</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93679.226999999999</v>
      </c>
      <c r="D30" s="3250"/>
      <c r="E30" s="3250"/>
      <c r="F30" s="3250"/>
      <c r="G30" s="3250"/>
      <c r="H30" s="3250"/>
      <c r="I30" s="3260"/>
      <c r="J30" s="3301">
        <f t="shared" si="0"/>
        <v>4.8386311269851878E-2</v>
      </c>
      <c r="K30" s="3281">
        <f>SUM(K32:K39)</f>
        <v>4.5327922371411127</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5.0890000000000004</v>
      </c>
      <c r="D32" s="3325" t="s">
        <v>2146</v>
      </c>
      <c r="E32" s="3325">
        <v>34.310358085392807</v>
      </c>
      <c r="F32" s="3325">
        <v>65.689641914607193</v>
      </c>
      <c r="G32" s="3307" t="s">
        <v>2147</v>
      </c>
      <c r="H32" s="3307" t="s">
        <v>2147</v>
      </c>
      <c r="I32" s="3307" t="s">
        <v>2147</v>
      </c>
      <c r="J32" s="3301">
        <f t="shared" si="0"/>
        <v>8.629576980932061</v>
      </c>
      <c r="K32" s="3277">
        <v>4.3915917255963256E-2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3.2629999999999999</v>
      </c>
      <c r="D33" s="3325" t="s">
        <v>2146</v>
      </c>
      <c r="E33" s="3325">
        <v>21.475934970551805</v>
      </c>
      <c r="F33" s="3325">
        <v>78.524065029448195</v>
      </c>
      <c r="G33" s="3307" t="s">
        <v>2147</v>
      </c>
      <c r="H33" s="3307" t="s">
        <v>2147</v>
      </c>
      <c r="I33" s="3307" t="s">
        <v>2147</v>
      </c>
      <c r="J33" s="3287">
        <f t="shared" si="0"/>
        <v>9.7299830582010678</v>
      </c>
      <c r="K33" s="3277">
        <v>3.1748934718910084E-2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38.395000000000003</v>
      </c>
      <c r="D34" s="3325" t="s">
        <v>2146</v>
      </c>
      <c r="E34" s="3325">
        <v>98.888532958113444</v>
      </c>
      <c r="F34" s="3325">
        <v>1.11146704188655</v>
      </c>
      <c r="G34" s="3307" t="s">
        <v>2147</v>
      </c>
      <c r="H34" s="3307" t="s">
        <v>2147</v>
      </c>
      <c r="I34" s="3307" t="s">
        <v>2147</v>
      </c>
      <c r="J34" s="3287">
        <f t="shared" si="0"/>
        <v>1.0316339171529203</v>
      </c>
      <c r="K34" s="3277">
        <v>3.960958424908638E-2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516.14300000000003</v>
      </c>
      <c r="D35" s="3325" t="s">
        <v>2146</v>
      </c>
      <c r="E35" s="3325">
        <v>99.913589838475005</v>
      </c>
      <c r="F35" s="3325">
        <v>8.6410161525000001E-2</v>
      </c>
      <c r="G35" s="3307" t="s">
        <v>2147</v>
      </c>
      <c r="H35" s="3307" t="s">
        <v>2147</v>
      </c>
      <c r="I35" s="3307" t="s">
        <v>2147</v>
      </c>
      <c r="J35" s="3287">
        <f t="shared" si="0"/>
        <v>0.35820472932343683</v>
      </c>
      <c r="K35" s="3277">
        <v>0.18488486360718667</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254.21799999999999</v>
      </c>
      <c r="D36" s="3325" t="s">
        <v>2146</v>
      </c>
      <c r="E36" s="3325">
        <v>97.628856714567107</v>
      </c>
      <c r="F36" s="3325">
        <v>2.3711432854328902</v>
      </c>
      <c r="G36" s="3307" t="s">
        <v>2147</v>
      </c>
      <c r="H36" s="3307" t="s">
        <v>2147</v>
      </c>
      <c r="I36" s="3307" t="s">
        <v>2147</v>
      </c>
      <c r="J36" s="3287">
        <f t="shared" si="0"/>
        <v>3.2028388739022913</v>
      </c>
      <c r="K36" s="3277">
        <v>0.81421929284569261</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0.86099999999999999</v>
      </c>
      <c r="D37" s="3325" t="s">
        <v>2146</v>
      </c>
      <c r="E37" s="3325">
        <v>96.728275269248215</v>
      </c>
      <c r="F37" s="3325">
        <v>3.27172473075179</v>
      </c>
      <c r="G37" s="3307" t="s">
        <v>2147</v>
      </c>
      <c r="H37" s="3307" t="s">
        <v>2147</v>
      </c>
      <c r="I37" s="3307" t="s">
        <v>2147</v>
      </c>
      <c r="J37" s="3287">
        <f t="shared" si="0"/>
        <v>1.0935436050982703</v>
      </c>
      <c r="K37" s="3277">
        <v>9.4154104398961084E-4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92719.573000000004</v>
      </c>
      <c r="D38" s="3325">
        <v>0.35643837917657001</v>
      </c>
      <c r="E38" s="3325">
        <v>99.643561620823434</v>
      </c>
      <c r="F38" s="3325" t="s">
        <v>2146</v>
      </c>
      <c r="G38" s="3307" t="s">
        <v>2147</v>
      </c>
      <c r="H38" s="3307" t="s">
        <v>2147</v>
      </c>
      <c r="I38" s="3307" t="s">
        <v>2147</v>
      </c>
      <c r="J38" s="3287">
        <f t="shared" si="0"/>
        <v>3.6312124684375523E-2</v>
      </c>
      <c r="K38" s="3277">
        <v>3.3668446954580582</v>
      </c>
      <c r="M38" s="1656"/>
      <c r="N38" s="4487"/>
      <c r="O38" s="1696"/>
      <c r="P38" s="1693" t="s">
        <v>792</v>
      </c>
      <c r="Q38" s="3776">
        <v>0.76190796819730999</v>
      </c>
      <c r="R38" s="277" t="s">
        <v>2146</v>
      </c>
      <c r="S38" s="277" t="s">
        <v>2146</v>
      </c>
      <c r="T38" s="3147" t="s">
        <v>2153</v>
      </c>
      <c r="U38" s="3147" t="s">
        <v>2146</v>
      </c>
      <c r="V38" s="3147">
        <v>2.1045642616465941E-2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141.685</v>
      </c>
      <c r="D39" s="3294"/>
      <c r="E39" s="3294"/>
      <c r="F39" s="3294"/>
      <c r="G39" s="3294"/>
      <c r="H39" s="3294"/>
      <c r="I39" s="3295"/>
      <c r="J39" s="3287">
        <f t="shared" si="0"/>
        <v>0.35732369666673458</v>
      </c>
      <c r="K39" s="3281">
        <f>SUM(K40:K44)</f>
        <v>5.0627407962226291E-2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66.673966719370796</v>
      </c>
      <c r="R41" s="277" t="s">
        <v>2146</v>
      </c>
      <c r="S41" s="277" t="s">
        <v>2146</v>
      </c>
      <c r="T41" s="3147" t="s">
        <v>2153</v>
      </c>
      <c r="U41" s="3147" t="s">
        <v>2153</v>
      </c>
      <c r="V41" s="3147">
        <v>26.437185149966236</v>
      </c>
      <c r="W41" s="3147" t="s">
        <v>2153</v>
      </c>
      <c r="X41" s="278" t="s">
        <v>2146</v>
      </c>
      <c r="Y41" s="278" t="s">
        <v>2146</v>
      </c>
      <c r="Z41" s="3147">
        <v>5.1818201399496697</v>
      </c>
      <c r="AA41" s="278" t="s">
        <v>2146</v>
      </c>
      <c r="AB41" s="2911">
        <v>22.132370551228799</v>
      </c>
    </row>
    <row r="42" spans="2:28" s="84" customFormat="1" ht="18" customHeight="1" thickBot="1" x14ac:dyDescent="0.25">
      <c r="B42" s="350" t="s">
        <v>828</v>
      </c>
      <c r="C42" s="3307">
        <f>Table3.A!C42</f>
        <v>9.673</v>
      </c>
      <c r="D42" s="3325" t="s">
        <v>2146</v>
      </c>
      <c r="E42" s="3325">
        <v>100</v>
      </c>
      <c r="F42" s="3325" t="s">
        <v>2146</v>
      </c>
      <c r="G42" s="3307" t="s">
        <v>2147</v>
      </c>
      <c r="H42" s="3307" t="s">
        <v>2147</v>
      </c>
      <c r="I42" s="3307" t="s">
        <v>2147</v>
      </c>
      <c r="J42" s="3287">
        <f t="shared" si="0"/>
        <v>0.35732875778301937</v>
      </c>
      <c r="K42" s="3277">
        <v>3.4564410740351463E-3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132.012</v>
      </c>
      <c r="D44" s="3294"/>
      <c r="E44" s="3294"/>
      <c r="F44" s="3294"/>
      <c r="G44" s="3294"/>
      <c r="H44" s="3294"/>
      <c r="I44" s="3295"/>
      <c r="J44" s="3287">
        <f t="shared" si="0"/>
        <v>0.3573233258203129</v>
      </c>
      <c r="K44" s="3281">
        <f>K45</f>
        <v>4.7170966888191147E-2</v>
      </c>
      <c r="M44" s="4491"/>
      <c r="N44" s="4492"/>
      <c r="O44" s="1696"/>
      <c r="P44" s="1693" t="s">
        <v>792</v>
      </c>
      <c r="Q44" s="3776">
        <v>0.75578117254052002</v>
      </c>
      <c r="R44" s="277" t="s">
        <v>2146</v>
      </c>
      <c r="S44" s="277" t="s">
        <v>2146</v>
      </c>
      <c r="T44" s="3147" t="s">
        <v>2153</v>
      </c>
      <c r="U44" s="3147" t="s">
        <v>2153</v>
      </c>
      <c r="V44" s="3147">
        <v>1.921695060034611</v>
      </c>
      <c r="W44" s="3147" t="s">
        <v>2153</v>
      </c>
      <c r="X44" s="278" t="s">
        <v>2146</v>
      </c>
      <c r="Y44" s="278" t="s">
        <v>2146</v>
      </c>
      <c r="Z44" s="3147">
        <v>0.1</v>
      </c>
      <c r="AA44" s="278" t="s">
        <v>2146</v>
      </c>
      <c r="AB44" s="2911">
        <v>3.939199670271E-2</v>
      </c>
    </row>
    <row r="45" spans="2:28" s="84" customFormat="1" ht="18" customHeight="1" thickBot="1" x14ac:dyDescent="0.25">
      <c r="B45" s="2648" t="s">
        <v>2199</v>
      </c>
      <c r="C45" s="4186">
        <f>Table3.A!C45</f>
        <v>132.012</v>
      </c>
      <c r="D45" s="3040" t="s">
        <v>2146</v>
      </c>
      <c r="E45" s="3040">
        <v>100</v>
      </c>
      <c r="F45" s="3040" t="s">
        <v>2146</v>
      </c>
      <c r="G45" s="3040" t="s">
        <v>2147</v>
      </c>
      <c r="H45" s="3040" t="s">
        <v>2147</v>
      </c>
      <c r="I45" s="3308" t="s">
        <v>2147</v>
      </c>
      <c r="J45" s="3309">
        <f t="shared" si="0"/>
        <v>0.3573233258203129</v>
      </c>
      <c r="K45" s="3278">
        <v>4.7170966888191147E-2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64.150817016061652</v>
      </c>
      <c r="U46" s="3773" t="s">
        <v>2146</v>
      </c>
      <c r="V46" s="3773" t="s">
        <v>2146</v>
      </c>
      <c r="W46" s="3773" t="s">
        <v>2153</v>
      </c>
      <c r="X46" s="3773">
        <v>1.4783350746391599</v>
      </c>
      <c r="Y46" s="3773">
        <v>14.8991605676249</v>
      </c>
      <c r="Z46" s="3773">
        <v>1.1299711934851</v>
      </c>
      <c r="AA46" s="301" t="s">
        <v>2146</v>
      </c>
      <c r="AB46" s="3775">
        <v>98.521664925360895</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43.977078688526603</v>
      </c>
      <c r="U47" s="3147" t="s">
        <v>2146</v>
      </c>
      <c r="V47" s="3147" t="s">
        <v>2146</v>
      </c>
      <c r="W47" s="3147" t="s">
        <v>2153</v>
      </c>
      <c r="X47" s="3147">
        <v>2.6531251400550402</v>
      </c>
      <c r="Y47" s="3147">
        <v>18.673552617310701</v>
      </c>
      <c r="Z47" s="3147">
        <v>0.25758535466605997</v>
      </c>
      <c r="AA47" s="278" t="s">
        <v>2146</v>
      </c>
      <c r="AB47" s="2911">
        <v>97.346874859945004</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1.387120690708E-2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27412.872000000003</v>
      </c>
      <c r="D10" s="3490"/>
      <c r="E10" s="3491"/>
      <c r="F10" s="3478">
        <f>F15</f>
        <v>32750284.161521342</v>
      </c>
      <c r="G10" s="3478" t="str">
        <f t="shared" ref="G10:R10" si="0">G15</f>
        <v>NO</v>
      </c>
      <c r="H10" s="3478">
        <f t="shared" si="0"/>
        <v>7229399.0894328803</v>
      </c>
      <c r="I10" s="3478">
        <f t="shared" si="0"/>
        <v>8354707.2040306386</v>
      </c>
      <c r="J10" s="3478" t="str">
        <f t="shared" si="0"/>
        <v>NO</v>
      </c>
      <c r="K10" s="3478">
        <f t="shared" si="0"/>
        <v>80889663.511028543</v>
      </c>
      <c r="L10" s="3478">
        <f t="shared" si="0"/>
        <v>9619664.5119317789</v>
      </c>
      <c r="M10" s="3478">
        <f t="shared" si="0"/>
        <v>1134234398.3884771</v>
      </c>
      <c r="N10" s="3478">
        <f t="shared" si="0"/>
        <v>9619664.5119317789</v>
      </c>
      <c r="O10" s="3478" t="str">
        <f t="shared" si="0"/>
        <v>NO</v>
      </c>
      <c r="P10" s="3478" t="str">
        <f t="shared" si="0"/>
        <v>NO</v>
      </c>
      <c r="Q10" s="3478" t="str">
        <f t="shared" si="0"/>
        <v>NO</v>
      </c>
      <c r="R10" s="3478">
        <f t="shared" si="0"/>
        <v>1282697781.3783541</v>
      </c>
      <c r="S10" s="2651"/>
      <c r="T10" s="2652"/>
      <c r="U10" s="3456">
        <f>IF(SUM(X10)=0,"NA",X10*1000/C10)</f>
        <v>3.2635188873435014E-2</v>
      </c>
      <c r="V10" s="3448"/>
      <c r="W10" s="3449"/>
      <c r="X10" s="3311">
        <f t="shared" ref="X10" si="1">X15</f>
        <v>0.89462425528329836</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27412.872000000003</v>
      </c>
      <c r="D15" s="3493"/>
      <c r="E15" s="3493"/>
      <c r="F15" s="2649">
        <f>F20</f>
        <v>32750284.161521342</v>
      </c>
      <c r="G15" s="2649" t="str">
        <f t="shared" ref="G15:R15" si="2">G20</f>
        <v>NO</v>
      </c>
      <c r="H15" s="2649">
        <f t="shared" si="2"/>
        <v>7229399.0894328803</v>
      </c>
      <c r="I15" s="2649">
        <f t="shared" si="2"/>
        <v>8354707.2040306386</v>
      </c>
      <c r="J15" s="2649" t="str">
        <f t="shared" si="2"/>
        <v>NO</v>
      </c>
      <c r="K15" s="2649">
        <f t="shared" si="2"/>
        <v>80889663.511028543</v>
      </c>
      <c r="L15" s="2649">
        <f t="shared" si="2"/>
        <v>9619664.5119317789</v>
      </c>
      <c r="M15" s="2649">
        <f t="shared" si="2"/>
        <v>1134234398.3884771</v>
      </c>
      <c r="N15" s="2649">
        <f t="shared" si="2"/>
        <v>9619664.5119317789</v>
      </c>
      <c r="O15" s="2649" t="str">
        <f t="shared" si="2"/>
        <v>NO</v>
      </c>
      <c r="P15" s="2649" t="str">
        <f t="shared" si="2"/>
        <v>NO</v>
      </c>
      <c r="Q15" s="2649" t="str">
        <f t="shared" si="2"/>
        <v>NO</v>
      </c>
      <c r="R15" s="2649">
        <f t="shared" si="2"/>
        <v>1282697781.3783541</v>
      </c>
      <c r="S15" s="2657"/>
      <c r="T15" s="2658"/>
      <c r="U15" s="3456">
        <f>IF(SUM(X15)=0,"NA",X15*1000/C15)</f>
        <v>3.2635188873435014E-2</v>
      </c>
      <c r="V15" s="3454"/>
      <c r="W15" s="3455"/>
      <c r="X15" s="3314">
        <f t="shared" ref="X15" si="3">X20</f>
        <v>0.89462425528329836</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27412.872000000003</v>
      </c>
      <c r="D20" s="3492"/>
      <c r="E20" s="3492"/>
      <c r="F20" s="2649">
        <f>IF(SUM(F21:F23)=0,"NO",SUM(F21:F23))</f>
        <v>32750284.161521342</v>
      </c>
      <c r="G20" s="2649" t="str">
        <f t="shared" ref="G20:Q20" si="6">IF(SUM(G21:G23)=0,"NO",SUM(G21:G23))</f>
        <v>NO</v>
      </c>
      <c r="H20" s="2649">
        <f t="shared" si="6"/>
        <v>7229399.0894328803</v>
      </c>
      <c r="I20" s="2649">
        <f t="shared" si="6"/>
        <v>8354707.2040306386</v>
      </c>
      <c r="J20" s="2649" t="str">
        <f t="shared" si="6"/>
        <v>NO</v>
      </c>
      <c r="K20" s="2649">
        <f t="shared" si="6"/>
        <v>80889663.511028543</v>
      </c>
      <c r="L20" s="2649">
        <f t="shared" si="6"/>
        <v>9619664.5119317789</v>
      </c>
      <c r="M20" s="2649">
        <f t="shared" si="6"/>
        <v>1134234398.3884771</v>
      </c>
      <c r="N20" s="2649">
        <f t="shared" si="6"/>
        <v>9619664.5119317789</v>
      </c>
      <c r="O20" s="2649" t="str">
        <f t="shared" si="6"/>
        <v>NO</v>
      </c>
      <c r="P20" s="2649" t="str">
        <f t="shared" si="6"/>
        <v>NO</v>
      </c>
      <c r="Q20" s="2649" t="str">
        <f t="shared" si="6"/>
        <v>NO</v>
      </c>
      <c r="R20" s="3482">
        <f>IF(SUM(F20:Q20)=0,"NO",SUM(F20:Q20))</f>
        <v>1282697781.3783541</v>
      </c>
      <c r="S20" s="2657"/>
      <c r="T20" s="2658"/>
      <c r="U20" s="3456">
        <f t="shared" si="4"/>
        <v>3.2635188873435014E-2</v>
      </c>
      <c r="V20" s="3454"/>
      <c r="W20" s="3455"/>
      <c r="X20" s="3314">
        <f t="shared" ref="X20" si="7">IF(SUM(X21:X23)=0,"NO",SUM(X21:X23))</f>
        <v>0.89462425528329836</v>
      </c>
      <c r="Y20" s="3173"/>
      <c r="Z20" s="3457"/>
    </row>
    <row r="21" spans="2:26" ht="18" customHeight="1" x14ac:dyDescent="0.2">
      <c r="B21" s="2647" t="s">
        <v>2196</v>
      </c>
      <c r="C21" s="3495">
        <f>Table3.A!C21</f>
        <v>2810.5949999999998</v>
      </c>
      <c r="D21" s="3307">
        <v>126.58850492577756</v>
      </c>
      <c r="E21" s="3494">
        <f>'Table3.B(a)'!G21</f>
        <v>454.77372462851002</v>
      </c>
      <c r="F21" s="3479">
        <v>31540331.1105754</v>
      </c>
      <c r="G21" s="3479" t="s">
        <v>2146</v>
      </c>
      <c r="H21" s="3479">
        <v>7229399.0894328803</v>
      </c>
      <c r="I21" s="3479">
        <v>8354707.2040306386</v>
      </c>
      <c r="J21" s="3479" t="s">
        <v>2146</v>
      </c>
      <c r="K21" s="3479" t="s">
        <v>2153</v>
      </c>
      <c r="L21" s="3479" t="s">
        <v>2146</v>
      </c>
      <c r="M21" s="3479">
        <v>308664591.72490698</v>
      </c>
      <c r="N21" s="3479" t="s">
        <v>2146</v>
      </c>
      <c r="O21" s="3479" t="s">
        <v>2146</v>
      </c>
      <c r="P21" s="3479" t="s">
        <v>2146</v>
      </c>
      <c r="Q21" s="3479" t="s">
        <v>2146</v>
      </c>
      <c r="R21" s="3482">
        <f t="shared" ref="R21:R45" si="8">IF(SUM(F21:Q21)=0,"NO",SUM(F21:Q21))</f>
        <v>355789029.12894589</v>
      </c>
      <c r="S21" s="2657"/>
      <c r="T21" s="2658"/>
      <c r="U21" s="3456">
        <f t="shared" si="4"/>
        <v>2.3355954177556457E-2</v>
      </c>
      <c r="V21" s="3454"/>
      <c r="W21" s="3455"/>
      <c r="X21" s="3315">
        <v>6.5644128031669288E-2</v>
      </c>
      <c r="Y21" s="3173"/>
      <c r="Z21" s="3457"/>
    </row>
    <row r="22" spans="2:26" ht="18" customHeight="1" x14ac:dyDescent="0.2">
      <c r="B22" s="2647" t="s">
        <v>2197</v>
      </c>
      <c r="C22" s="3495">
        <f>Table3.A!C22</f>
        <v>23676.536</v>
      </c>
      <c r="D22" s="3307">
        <v>34.868691207844016</v>
      </c>
      <c r="E22" s="3494">
        <f>'Table3.B(a)'!G22</f>
        <v>360.19484311901698</v>
      </c>
      <c r="F22" s="3483" t="s">
        <v>2146</v>
      </c>
      <c r="G22" s="3479" t="s">
        <v>2146</v>
      </c>
      <c r="H22" s="3483" t="s">
        <v>2146</v>
      </c>
      <c r="I22" s="3483" t="s">
        <v>2146</v>
      </c>
      <c r="J22" s="3483" t="s">
        <v>2146</v>
      </c>
      <c r="K22" s="3483" t="s">
        <v>2146</v>
      </c>
      <c r="L22" s="3483" t="s">
        <v>2146</v>
      </c>
      <c r="M22" s="3483">
        <v>825569806.66357005</v>
      </c>
      <c r="N22" s="3483" t="s">
        <v>2146</v>
      </c>
      <c r="O22" s="3483" t="s">
        <v>2146</v>
      </c>
      <c r="P22" s="3483" t="s">
        <v>2146</v>
      </c>
      <c r="Q22" s="3483" t="s">
        <v>2146</v>
      </c>
      <c r="R22" s="3482">
        <f t="shared" si="8"/>
        <v>825569806.66357005</v>
      </c>
      <c r="S22" s="2657"/>
      <c r="T22" s="2658"/>
      <c r="U22" s="3456" t="str">
        <f>IF(SUM(X22)=0,"NA",X22*1000/C22)</f>
        <v>NA</v>
      </c>
      <c r="V22" s="3454"/>
      <c r="W22" s="3455"/>
      <c r="X22" s="3315" t="s">
        <v>2147</v>
      </c>
      <c r="Y22" s="3173"/>
      <c r="Z22" s="3457"/>
    </row>
    <row r="23" spans="2:26" ht="18" customHeight="1" x14ac:dyDescent="0.2">
      <c r="B23" s="2647" t="s">
        <v>2198</v>
      </c>
      <c r="C23" s="3495">
        <f>Table3.A!C23</f>
        <v>925.74099999999999</v>
      </c>
      <c r="D23" s="3307">
        <v>72.611700857204681</v>
      </c>
      <c r="E23" s="3494">
        <f>'Table3.B(a)'!G23</f>
        <v>536.87463798096803</v>
      </c>
      <c r="F23" s="3483">
        <v>1209953.05094594</v>
      </c>
      <c r="G23" s="3479" t="s">
        <v>2146</v>
      </c>
      <c r="H23" s="3483" t="s">
        <v>2146</v>
      </c>
      <c r="I23" s="3483" t="s">
        <v>2153</v>
      </c>
      <c r="J23" s="3483" t="s">
        <v>2153</v>
      </c>
      <c r="K23" s="3483">
        <v>80889663.511028543</v>
      </c>
      <c r="L23" s="3483">
        <v>9619664.5119317789</v>
      </c>
      <c r="M23" s="3483" t="s">
        <v>2146</v>
      </c>
      <c r="N23" s="3483">
        <v>9619664.5119317789</v>
      </c>
      <c r="O23" s="3483" t="s">
        <v>2146</v>
      </c>
      <c r="P23" s="3483" t="s">
        <v>2146</v>
      </c>
      <c r="Q23" s="3483" t="s">
        <v>2146</v>
      </c>
      <c r="R23" s="3482">
        <f t="shared" si="8"/>
        <v>101338945.58583803</v>
      </c>
      <c r="S23" s="2657"/>
      <c r="T23" s="2658"/>
      <c r="U23" s="3456">
        <f t="shared" ref="U23:U30" si="9">IF(SUM(X23)=0,"NA",X23*1000/C23)</f>
        <v>0.89547738217452721</v>
      </c>
      <c r="V23" s="3454"/>
      <c r="W23" s="3455"/>
      <c r="X23" s="3315">
        <v>0.82898012725162906</v>
      </c>
      <c r="Y23" s="3173"/>
      <c r="Z23" s="3457"/>
    </row>
    <row r="24" spans="2:26" ht="18" customHeight="1" x14ac:dyDescent="0.2">
      <c r="B24" s="351" t="s">
        <v>811</v>
      </c>
      <c r="C24" s="3314">
        <f>C25</f>
        <v>70909.645999999993</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489471045.69896799</v>
      </c>
      <c r="N24" s="2649" t="str">
        <f t="shared" si="10"/>
        <v>NO</v>
      </c>
      <c r="O24" s="2649" t="str">
        <f t="shared" si="10"/>
        <v>NO</v>
      </c>
      <c r="P24" s="2649" t="str">
        <f t="shared" si="10"/>
        <v>NO</v>
      </c>
      <c r="Q24" s="2649" t="str">
        <f t="shared" si="10"/>
        <v>NO</v>
      </c>
      <c r="R24" s="3482">
        <f t="shared" si="8"/>
        <v>489471045.69896799</v>
      </c>
      <c r="S24" s="2657"/>
      <c r="T24" s="2658"/>
      <c r="U24" s="3456" t="str">
        <f t="shared" si="9"/>
        <v>NA</v>
      </c>
      <c r="V24" s="3454"/>
      <c r="W24" s="3455"/>
      <c r="X24" s="3314" t="str">
        <f t="shared" ref="X24:X25" si="11">X25</f>
        <v>NA</v>
      </c>
      <c r="Y24" s="3173"/>
      <c r="Z24" s="3457"/>
    </row>
    <row r="25" spans="2:26" ht="18" customHeight="1" x14ac:dyDescent="0.2">
      <c r="B25" s="350" t="s">
        <v>812</v>
      </c>
      <c r="C25" s="3314">
        <f>C26</f>
        <v>70909.645999999993</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489471045.69896799</v>
      </c>
      <c r="N25" s="2649" t="str">
        <f t="shared" si="10"/>
        <v>NO</v>
      </c>
      <c r="O25" s="2649" t="str">
        <f t="shared" si="10"/>
        <v>NO</v>
      </c>
      <c r="P25" s="2649" t="str">
        <f t="shared" si="10"/>
        <v>NO</v>
      </c>
      <c r="Q25" s="2649" t="str">
        <f t="shared" si="10"/>
        <v>NO</v>
      </c>
      <c r="R25" s="3482">
        <f t="shared" si="8"/>
        <v>489471045.69896799</v>
      </c>
      <c r="S25" s="2657"/>
      <c r="T25" s="2658"/>
      <c r="U25" s="3456" t="str">
        <f t="shared" si="9"/>
        <v>NA</v>
      </c>
      <c r="V25" s="3454"/>
      <c r="W25" s="3455"/>
      <c r="X25" s="3314" t="str">
        <f t="shared" si="11"/>
        <v>NA</v>
      </c>
      <c r="Y25" s="3173"/>
      <c r="Z25" s="3457"/>
    </row>
    <row r="26" spans="2:26" ht="18" customHeight="1" x14ac:dyDescent="0.2">
      <c r="B26" s="2642" t="s">
        <v>2201</v>
      </c>
      <c r="C26" s="3495">
        <f>Table3.A!C26</f>
        <v>70909.645999999993</v>
      </c>
      <c r="D26" s="3307">
        <v>6.9027427933830801</v>
      </c>
      <c r="E26" s="3494">
        <f>'Table3.B(a)'!G26</f>
        <v>44.048710667103798</v>
      </c>
      <c r="F26" s="3483" t="s">
        <v>2146</v>
      </c>
      <c r="G26" s="3479" t="s">
        <v>2146</v>
      </c>
      <c r="H26" s="3483" t="s">
        <v>2146</v>
      </c>
      <c r="I26" s="3483" t="s">
        <v>2146</v>
      </c>
      <c r="J26" s="3483" t="s">
        <v>2146</v>
      </c>
      <c r="K26" s="3483" t="s">
        <v>2146</v>
      </c>
      <c r="L26" s="3483" t="s">
        <v>2146</v>
      </c>
      <c r="M26" s="3479">
        <v>489471045.69896799</v>
      </c>
      <c r="N26" s="3483" t="s">
        <v>2146</v>
      </c>
      <c r="O26" s="3483" t="s">
        <v>2146</v>
      </c>
      <c r="P26" s="3483" t="s">
        <v>2146</v>
      </c>
      <c r="Q26" s="3483" t="s">
        <v>2146</v>
      </c>
      <c r="R26" s="3482">
        <f t="shared" si="8"/>
        <v>489471045.69896799</v>
      </c>
      <c r="S26" s="2657"/>
      <c r="T26" s="2658"/>
      <c r="U26" s="3456" t="str">
        <f t="shared" si="9"/>
        <v>NA</v>
      </c>
      <c r="V26" s="3454"/>
      <c r="W26" s="3455"/>
      <c r="X26" s="3315" t="s">
        <v>2147</v>
      </c>
      <c r="Y26" s="3173"/>
      <c r="Z26" s="3457"/>
    </row>
    <row r="27" spans="2:26" ht="18" customHeight="1" x14ac:dyDescent="0.2">
      <c r="B27" s="351" t="s">
        <v>814</v>
      </c>
      <c r="C27" s="3314">
        <f>C28</f>
        <v>2272.1640000000002</v>
      </c>
      <c r="D27" s="3492"/>
      <c r="E27" s="3492"/>
      <c r="F27" s="2649">
        <f>F28</f>
        <v>19783417.412111498</v>
      </c>
      <c r="G27" s="2649" t="str">
        <f t="shared" ref="G27:G28" si="12">G28</f>
        <v>NO</v>
      </c>
      <c r="H27" s="2649" t="str">
        <f t="shared" ref="H27:H28" si="13">H28</f>
        <v>NO</v>
      </c>
      <c r="I27" s="2649" t="str">
        <f t="shared" ref="I27:I28" si="14">I28</f>
        <v>IE</v>
      </c>
      <c r="J27" s="2649" t="str">
        <f t="shared" ref="J27:J28" si="15">J28</f>
        <v>IE</v>
      </c>
      <c r="K27" s="2649">
        <f t="shared" ref="K27:K28" si="16">K28</f>
        <v>6936584.3469019737</v>
      </c>
      <c r="L27" s="2649" t="str">
        <f t="shared" ref="L27:L28" si="17">L28</f>
        <v>IE</v>
      </c>
      <c r="M27" s="2649" t="str">
        <f t="shared" ref="M27:M28" si="18">M28</f>
        <v>NO</v>
      </c>
      <c r="N27" s="2649" t="str">
        <f t="shared" ref="N27:N28" si="19">N28</f>
        <v>NO</v>
      </c>
      <c r="O27" s="2649">
        <f t="shared" ref="O27:O28" si="20">O28</f>
        <v>1452027.95616629</v>
      </c>
      <c r="P27" s="2649" t="str">
        <f t="shared" ref="P27:P28" si="21">P28</f>
        <v>NO</v>
      </c>
      <c r="Q27" s="2649">
        <f t="shared" ref="Q27:Q28" si="22">Q28</f>
        <v>6228744.2455144301</v>
      </c>
      <c r="R27" s="3482">
        <f t="shared" si="8"/>
        <v>34400773.960694194</v>
      </c>
      <c r="S27" s="2657"/>
      <c r="T27" s="2658"/>
      <c r="U27" s="3456">
        <f t="shared" si="9"/>
        <v>7.9056521763898158E-2</v>
      </c>
      <c r="V27" s="3454"/>
      <c r="W27" s="3455"/>
      <c r="X27" s="3314">
        <f t="shared" ref="X27:X28" si="23">X28</f>
        <v>0.1796293827171459</v>
      </c>
      <c r="Y27" s="3173"/>
      <c r="Z27" s="3457"/>
    </row>
    <row r="28" spans="2:26" ht="18" customHeight="1" x14ac:dyDescent="0.2">
      <c r="B28" s="350" t="s">
        <v>815</v>
      </c>
      <c r="C28" s="3314">
        <f>C29</f>
        <v>2272.1640000000002</v>
      </c>
      <c r="D28" s="3492"/>
      <c r="E28" s="3492"/>
      <c r="F28" s="2649">
        <f>F29</f>
        <v>19783417.412111498</v>
      </c>
      <c r="G28" s="2649" t="str">
        <f t="shared" si="12"/>
        <v>NO</v>
      </c>
      <c r="H28" s="2649" t="str">
        <f t="shared" si="13"/>
        <v>NO</v>
      </c>
      <c r="I28" s="2649" t="str">
        <f t="shared" si="14"/>
        <v>IE</v>
      </c>
      <c r="J28" s="2649" t="str">
        <f t="shared" si="15"/>
        <v>IE</v>
      </c>
      <c r="K28" s="2649">
        <f t="shared" si="16"/>
        <v>6936584.3469019737</v>
      </c>
      <c r="L28" s="2649" t="str">
        <f t="shared" si="17"/>
        <v>IE</v>
      </c>
      <c r="M28" s="2649" t="str">
        <f t="shared" si="18"/>
        <v>NO</v>
      </c>
      <c r="N28" s="2649" t="str">
        <f t="shared" si="19"/>
        <v>NO</v>
      </c>
      <c r="O28" s="2649">
        <f t="shared" si="20"/>
        <v>1452027.95616629</v>
      </c>
      <c r="P28" s="2649" t="str">
        <f t="shared" si="21"/>
        <v>NO</v>
      </c>
      <c r="Q28" s="2649">
        <f t="shared" si="22"/>
        <v>6228744.2455144301</v>
      </c>
      <c r="R28" s="3482">
        <f t="shared" si="8"/>
        <v>34400773.960694194</v>
      </c>
      <c r="S28" s="2657"/>
      <c r="T28" s="2658"/>
      <c r="U28" s="3456">
        <f t="shared" si="9"/>
        <v>7.9056521763898158E-2</v>
      </c>
      <c r="V28" s="3454"/>
      <c r="W28" s="3455"/>
      <c r="X28" s="3314">
        <f t="shared" si="23"/>
        <v>0.1796293827171459</v>
      </c>
      <c r="Y28" s="3173"/>
      <c r="Z28" s="3457"/>
    </row>
    <row r="29" spans="2:26" ht="18" customHeight="1" x14ac:dyDescent="0.2">
      <c r="B29" s="2642" t="s">
        <v>817</v>
      </c>
      <c r="C29" s="3495">
        <f>Table3.A!C29</f>
        <v>2272.1640000000002</v>
      </c>
      <c r="D29" s="3307">
        <v>12.277084710412655</v>
      </c>
      <c r="E29" s="3494">
        <f>'Table3.B(a)'!G29</f>
        <v>58.7020076951436</v>
      </c>
      <c r="F29" s="3479">
        <v>19783417.412111498</v>
      </c>
      <c r="G29" s="3479" t="s">
        <v>2146</v>
      </c>
      <c r="H29" s="3479" t="s">
        <v>2146</v>
      </c>
      <c r="I29" s="3479" t="s">
        <v>2153</v>
      </c>
      <c r="J29" s="3479" t="s">
        <v>2153</v>
      </c>
      <c r="K29" s="3479">
        <v>6936584.3469019737</v>
      </c>
      <c r="L29" s="3479" t="s">
        <v>2153</v>
      </c>
      <c r="M29" s="3479" t="s">
        <v>2146</v>
      </c>
      <c r="N29" s="3479" t="s">
        <v>2146</v>
      </c>
      <c r="O29" s="3479">
        <v>1452027.95616629</v>
      </c>
      <c r="P29" s="3479" t="s">
        <v>2146</v>
      </c>
      <c r="Q29" s="3479">
        <v>6228744.2455144301</v>
      </c>
      <c r="R29" s="3482">
        <f t="shared" si="8"/>
        <v>34400773.960694194</v>
      </c>
      <c r="S29" s="2657"/>
      <c r="T29" s="2658"/>
      <c r="U29" s="3456">
        <f t="shared" si="9"/>
        <v>7.9056521763898158E-2</v>
      </c>
      <c r="V29" s="3454"/>
      <c r="W29" s="3455"/>
      <c r="X29" s="3315">
        <v>0.1796293827171459</v>
      </c>
      <c r="Y29" s="3173"/>
      <c r="Z29" s="3457"/>
    </row>
    <row r="30" spans="2:26" ht="18" customHeight="1" x14ac:dyDescent="0.2">
      <c r="B30" s="351" t="s">
        <v>861</v>
      </c>
      <c r="C30" s="3314">
        <f>IF(SUM(C32:C39)=0,"NO",SUM(C32:C39))</f>
        <v>93679.226999999999</v>
      </c>
      <c r="D30" s="3492"/>
      <c r="E30" s="3492"/>
      <c r="F30" s="2649" t="str">
        <f>IF(SUM(F32:F39)=0,"NO",SUM(F32:F39))</f>
        <v>NO</v>
      </c>
      <c r="G30" s="2649" t="str">
        <f t="shared" ref="G30:Q30" si="24">IF(SUM(G32:G39)=0,"NO",SUM(G32:G39))</f>
        <v>NO</v>
      </c>
      <c r="H30" s="2649" t="str">
        <f t="shared" si="24"/>
        <v>NO</v>
      </c>
      <c r="I30" s="2649">
        <f t="shared" si="24"/>
        <v>22474341.393708199</v>
      </c>
      <c r="J30" s="2649" t="str">
        <f t="shared" si="24"/>
        <v>NO</v>
      </c>
      <c r="K30" s="2649" t="str">
        <f t="shared" si="24"/>
        <v>NO</v>
      </c>
      <c r="L30" s="2649" t="str">
        <f t="shared" si="24"/>
        <v>NO</v>
      </c>
      <c r="M30" s="2649">
        <f t="shared" si="24"/>
        <v>17128314.754051607</v>
      </c>
      <c r="N30" s="2649">
        <f t="shared" si="24"/>
        <v>9528178.7229985595</v>
      </c>
      <c r="O30" s="2649">
        <f t="shared" si="24"/>
        <v>133714.24892997701</v>
      </c>
      <c r="P30" s="2649" t="str">
        <f t="shared" si="24"/>
        <v>NO</v>
      </c>
      <c r="Q30" s="2649">
        <f t="shared" si="24"/>
        <v>59556951.3711266</v>
      </c>
      <c r="R30" s="3482">
        <f t="shared" si="8"/>
        <v>108821500.49081495</v>
      </c>
      <c r="S30" s="2657"/>
      <c r="T30" s="2658"/>
      <c r="U30" s="3456">
        <f t="shared" si="9"/>
        <v>4.4823398121369229E-3</v>
      </c>
      <c r="V30" s="3454"/>
      <c r="W30" s="3455"/>
      <c r="X30" s="3314">
        <f t="shared" ref="X30" si="25">IF(SUM(X32:X39)=0,"NO",SUM(X32:X39))</f>
        <v>0.41990212875231214</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5.0890000000000004</v>
      </c>
      <c r="D32" s="3307">
        <v>39.5</v>
      </c>
      <c r="E32" s="3494" t="str">
        <f>'Table3.B(a)'!G32</f>
        <v>NA</v>
      </c>
      <c r="F32" s="3479" t="s">
        <v>2146</v>
      </c>
      <c r="G32" s="3479" t="s">
        <v>2146</v>
      </c>
      <c r="H32" s="3479" t="s">
        <v>2146</v>
      </c>
      <c r="I32" s="3479" t="s">
        <v>2146</v>
      </c>
      <c r="J32" s="3479" t="s">
        <v>2146</v>
      </c>
      <c r="K32" s="3479" t="s">
        <v>2146</v>
      </c>
      <c r="L32" s="3479" t="s">
        <v>2146</v>
      </c>
      <c r="M32" s="3479">
        <v>201017.92767671781</v>
      </c>
      <c r="N32" s="3479" t="s">
        <v>2146</v>
      </c>
      <c r="O32" s="3479" t="s">
        <v>2146</v>
      </c>
      <c r="P32" s="3479" t="s">
        <v>2146</v>
      </c>
      <c r="Q32" s="3479" t="s">
        <v>2146</v>
      </c>
      <c r="R32" s="3482">
        <f t="shared" si="8"/>
        <v>201017.92767671781</v>
      </c>
      <c r="S32" s="2657"/>
      <c r="T32" s="2658"/>
      <c r="U32" s="3456" t="str">
        <f>IF(SUM(X32)=0,"NA",X32*1000/C32)</f>
        <v>NA</v>
      </c>
      <c r="V32" s="3454"/>
      <c r="W32" s="3455"/>
      <c r="X32" s="3315" t="s">
        <v>2147</v>
      </c>
      <c r="Y32" s="3173"/>
      <c r="Z32" s="3457"/>
    </row>
    <row r="33" spans="2:26" ht="18" customHeight="1" x14ac:dyDescent="0.2">
      <c r="B33" s="350" t="s">
        <v>819</v>
      </c>
      <c r="C33" s="3495">
        <f>Table3.A!C33</f>
        <v>3.2629999999999999</v>
      </c>
      <c r="D33" s="3307">
        <v>39.5</v>
      </c>
      <c r="E33" s="3494" t="str">
        <f>'Table3.B(a)'!G33</f>
        <v>NA</v>
      </c>
      <c r="F33" s="3479" t="s">
        <v>2146</v>
      </c>
      <c r="G33" s="3479" t="s">
        <v>2146</v>
      </c>
      <c r="H33" s="3479" t="s">
        <v>2146</v>
      </c>
      <c r="I33" s="3479" t="s">
        <v>2146</v>
      </c>
      <c r="J33" s="3479" t="s">
        <v>2146</v>
      </c>
      <c r="K33" s="3479" t="s">
        <v>2146</v>
      </c>
      <c r="L33" s="3479" t="s">
        <v>2146</v>
      </c>
      <c r="M33" s="3479">
        <v>128895.82595222098</v>
      </c>
      <c r="N33" s="3479" t="s">
        <v>2146</v>
      </c>
      <c r="O33" s="3479" t="s">
        <v>2146</v>
      </c>
      <c r="P33" s="3479" t="s">
        <v>2146</v>
      </c>
      <c r="Q33" s="3479" t="s">
        <v>2146</v>
      </c>
      <c r="R33" s="3482">
        <f t="shared" si="8"/>
        <v>128895.82595222098</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38.395000000000003</v>
      </c>
      <c r="D34" s="3307">
        <v>13.2</v>
      </c>
      <c r="E34" s="3494" t="str">
        <f>'Table3.B(a)'!G34</f>
        <v>NA</v>
      </c>
      <c r="F34" s="3479" t="s">
        <v>2146</v>
      </c>
      <c r="G34" s="3479" t="s">
        <v>2146</v>
      </c>
      <c r="H34" s="3479" t="s">
        <v>2146</v>
      </c>
      <c r="I34" s="3479" t="s">
        <v>2146</v>
      </c>
      <c r="J34" s="3479" t="s">
        <v>2146</v>
      </c>
      <c r="K34" s="3479" t="s">
        <v>2146</v>
      </c>
      <c r="L34" s="3479" t="s">
        <v>2146</v>
      </c>
      <c r="M34" s="3479">
        <v>506816.64752187626</v>
      </c>
      <c r="N34" s="3479" t="s">
        <v>2146</v>
      </c>
      <c r="O34" s="3479" t="s">
        <v>2146</v>
      </c>
      <c r="P34" s="3479" t="s">
        <v>2146</v>
      </c>
      <c r="Q34" s="3479" t="s">
        <v>2146</v>
      </c>
      <c r="R34" s="3482">
        <f t="shared" si="8"/>
        <v>506816.64752187626</v>
      </c>
      <c r="S34" s="2657"/>
      <c r="T34" s="2658"/>
      <c r="U34" s="3456" t="str">
        <f t="shared" si="26"/>
        <v>NA</v>
      </c>
      <c r="V34" s="3454"/>
      <c r="W34" s="3455"/>
      <c r="X34" s="3315" t="s">
        <v>2147</v>
      </c>
      <c r="Y34" s="3173"/>
      <c r="Z34" s="3457"/>
    </row>
    <row r="35" spans="2:26" ht="18" customHeight="1" x14ac:dyDescent="0.2">
      <c r="B35" s="350" t="s">
        <v>821</v>
      </c>
      <c r="C35" s="3495">
        <f>Table3.A!C35</f>
        <v>516.14300000000003</v>
      </c>
      <c r="D35" s="3307">
        <v>7</v>
      </c>
      <c r="E35" s="3494" t="str">
        <f>'Table3.B(a)'!G35</f>
        <v>NA</v>
      </c>
      <c r="F35" s="3479" t="s">
        <v>2146</v>
      </c>
      <c r="G35" s="3479" t="s">
        <v>2146</v>
      </c>
      <c r="H35" s="3479" t="s">
        <v>2146</v>
      </c>
      <c r="I35" s="3479" t="s">
        <v>2146</v>
      </c>
      <c r="J35" s="3479" t="s">
        <v>2146</v>
      </c>
      <c r="K35" s="3479" t="s">
        <v>2146</v>
      </c>
      <c r="L35" s="3479" t="s">
        <v>2146</v>
      </c>
      <c r="M35" s="3479">
        <v>3613000.9999999995</v>
      </c>
      <c r="N35" s="3479" t="s">
        <v>2146</v>
      </c>
      <c r="O35" s="3479" t="s">
        <v>2146</v>
      </c>
      <c r="P35" s="3479" t="s">
        <v>2146</v>
      </c>
      <c r="Q35" s="3479" t="s">
        <v>2146</v>
      </c>
      <c r="R35" s="3482">
        <f t="shared" si="8"/>
        <v>3613000.9999999995</v>
      </c>
      <c r="S35" s="2657"/>
      <c r="T35" s="2658"/>
      <c r="U35" s="3456" t="str">
        <f t="shared" si="26"/>
        <v>NA</v>
      </c>
      <c r="V35" s="3454"/>
      <c r="W35" s="3455"/>
      <c r="X35" s="3315" t="s">
        <v>2147</v>
      </c>
      <c r="Y35" s="3173"/>
      <c r="Z35" s="3457"/>
    </row>
    <row r="36" spans="2:26" ht="18" customHeight="1" x14ac:dyDescent="0.2">
      <c r="B36" s="350" t="s">
        <v>822</v>
      </c>
      <c r="C36" s="3495">
        <f>Table3.A!C36</f>
        <v>254.21799999999999</v>
      </c>
      <c r="D36" s="3307">
        <v>39.5</v>
      </c>
      <c r="E36" s="3494" t="str">
        <f>'Table3.B(a)'!G36</f>
        <v>NA</v>
      </c>
      <c r="F36" s="3479" t="s">
        <v>2146</v>
      </c>
      <c r="G36" s="3479" t="s">
        <v>2146</v>
      </c>
      <c r="H36" s="3479" t="s">
        <v>2146</v>
      </c>
      <c r="I36" s="3479" t="s">
        <v>2146</v>
      </c>
      <c r="J36" s="3479" t="s">
        <v>2146</v>
      </c>
      <c r="K36" s="3479" t="s">
        <v>2146</v>
      </c>
      <c r="L36" s="3479" t="s">
        <v>2146</v>
      </c>
      <c r="M36" s="3479">
        <v>10041593.446198288</v>
      </c>
      <c r="N36" s="3479" t="s">
        <v>2146</v>
      </c>
      <c r="O36" s="3479" t="s">
        <v>2146</v>
      </c>
      <c r="P36" s="3479" t="s">
        <v>2146</v>
      </c>
      <c r="Q36" s="3479" t="s">
        <v>2146</v>
      </c>
      <c r="R36" s="3482">
        <f t="shared" si="8"/>
        <v>10041593.446198288</v>
      </c>
      <c r="S36" s="2657"/>
      <c r="T36" s="2658"/>
      <c r="U36" s="3456" t="str">
        <f t="shared" si="26"/>
        <v>NA</v>
      </c>
      <c r="V36" s="3454"/>
      <c r="W36" s="3455"/>
      <c r="X36" s="3315" t="s">
        <v>2147</v>
      </c>
      <c r="Y36" s="3173"/>
      <c r="Z36" s="3457"/>
    </row>
    <row r="37" spans="2:26" ht="18" customHeight="1" x14ac:dyDescent="0.2">
      <c r="B37" s="350" t="s">
        <v>862</v>
      </c>
      <c r="C37" s="3495">
        <f>Table3.A!C37</f>
        <v>0.86099999999999999</v>
      </c>
      <c r="D37" s="3307">
        <v>13.2</v>
      </c>
      <c r="E37" s="3494" t="str">
        <f>'Table3.B(a)'!G37</f>
        <v>NA</v>
      </c>
      <c r="F37" s="3479" t="s">
        <v>2146</v>
      </c>
      <c r="G37" s="3479" t="s">
        <v>2146</v>
      </c>
      <c r="H37" s="3479" t="s">
        <v>2146</v>
      </c>
      <c r="I37" s="3479" t="s">
        <v>2146</v>
      </c>
      <c r="J37" s="3479" t="s">
        <v>2146</v>
      </c>
      <c r="K37" s="3479" t="s">
        <v>2146</v>
      </c>
      <c r="L37" s="3479" t="s">
        <v>2146</v>
      </c>
      <c r="M37" s="3479">
        <v>11367.290067843505</v>
      </c>
      <c r="N37" s="3479" t="s">
        <v>2146</v>
      </c>
      <c r="O37" s="3479" t="s">
        <v>2146</v>
      </c>
      <c r="P37" s="3479" t="s">
        <v>2146</v>
      </c>
      <c r="Q37" s="3479" t="s">
        <v>2146</v>
      </c>
      <c r="R37" s="3482">
        <f t="shared" si="8"/>
        <v>11367.290067843505</v>
      </c>
      <c r="S37" s="2657"/>
      <c r="T37" s="2658"/>
      <c r="U37" s="3456" t="str">
        <f t="shared" si="26"/>
        <v>NA</v>
      </c>
      <c r="V37" s="3454"/>
      <c r="W37" s="3455"/>
      <c r="X37" s="3315" t="s">
        <v>2147</v>
      </c>
      <c r="Y37" s="3173"/>
      <c r="Z37" s="3457"/>
    </row>
    <row r="38" spans="2:26" ht="18" customHeight="1" x14ac:dyDescent="0.2">
      <c r="B38" s="350" t="s">
        <v>824</v>
      </c>
      <c r="C38" s="3495">
        <f>Table3.A!C38</f>
        <v>92719.573000000004</v>
      </c>
      <c r="D38" s="3307">
        <v>0.65995532113972</v>
      </c>
      <c r="E38" s="3494" t="str">
        <f>'Table3.B(a)'!G38</f>
        <v>NA</v>
      </c>
      <c r="F38" s="3479" t="s">
        <v>2146</v>
      </c>
      <c r="G38" s="3479" t="s">
        <v>2146</v>
      </c>
      <c r="H38" s="3479" t="s">
        <v>2146</v>
      </c>
      <c r="I38" s="3479">
        <v>22474341.393708199</v>
      </c>
      <c r="J38" s="3479" t="s">
        <v>2153</v>
      </c>
      <c r="K38" s="3479" t="s">
        <v>2153</v>
      </c>
      <c r="L38" s="3479" t="s">
        <v>2153</v>
      </c>
      <c r="M38" s="3479">
        <v>1633824.4320977901</v>
      </c>
      <c r="N38" s="3479">
        <v>9528178.7229985595</v>
      </c>
      <c r="O38" s="3479">
        <v>133714.24892997701</v>
      </c>
      <c r="P38" s="3479" t="s">
        <v>2146</v>
      </c>
      <c r="Q38" s="3479">
        <v>59556951.3711266</v>
      </c>
      <c r="R38" s="3482">
        <f t="shared" si="8"/>
        <v>93327010.168861121</v>
      </c>
      <c r="S38" s="2657"/>
      <c r="T38" s="2658"/>
      <c r="U38" s="3456">
        <f t="shared" si="26"/>
        <v>4.5287323395278379E-3</v>
      </c>
      <c r="V38" s="3454"/>
      <c r="W38" s="3455"/>
      <c r="X38" s="3315">
        <v>0.41990212875231214</v>
      </c>
      <c r="Y38" s="3173"/>
      <c r="Z38" s="3457"/>
    </row>
    <row r="39" spans="2:26" ht="18" customHeight="1" x14ac:dyDescent="0.2">
      <c r="B39" s="350" t="s">
        <v>825</v>
      </c>
      <c r="C39" s="3314">
        <f>IF(SUM(C40:C44)=0,"NO",SUM(C40:C44))</f>
        <v>141.685</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991798.18453687022</v>
      </c>
      <c r="N39" s="2649" t="str">
        <f t="shared" si="27"/>
        <v>NO</v>
      </c>
      <c r="O39" s="2649" t="str">
        <f t="shared" si="27"/>
        <v>NO</v>
      </c>
      <c r="P39" s="2649" t="str">
        <f t="shared" si="27"/>
        <v>NO</v>
      </c>
      <c r="Q39" s="2649" t="str">
        <f t="shared" si="27"/>
        <v>NO</v>
      </c>
      <c r="R39" s="3482">
        <f t="shared" si="8"/>
        <v>991798.18453687022</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9.673</v>
      </c>
      <c r="D42" s="3307">
        <v>7</v>
      </c>
      <c r="E42" s="3494" t="str">
        <f>'Table3.B(a)'!G42</f>
        <v>NA</v>
      </c>
      <c r="F42" s="3479" t="s">
        <v>2146</v>
      </c>
      <c r="G42" s="3479" t="s">
        <v>2146</v>
      </c>
      <c r="H42" s="3479" t="s">
        <v>2146</v>
      </c>
      <c r="I42" s="3479" t="s">
        <v>2146</v>
      </c>
      <c r="J42" s="3479" t="s">
        <v>2146</v>
      </c>
      <c r="K42" s="3479" t="s">
        <v>2146</v>
      </c>
      <c r="L42" s="3479" t="s">
        <v>2146</v>
      </c>
      <c r="M42" s="3479">
        <v>67712.176470588194</v>
      </c>
      <c r="N42" s="3479" t="s">
        <v>2146</v>
      </c>
      <c r="O42" s="3479" t="s">
        <v>2146</v>
      </c>
      <c r="P42" s="3479" t="s">
        <v>2146</v>
      </c>
      <c r="Q42" s="3479" t="s">
        <v>2146</v>
      </c>
      <c r="R42" s="3482">
        <f t="shared" si="8"/>
        <v>67712.176470588194</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132.012</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924086.00806628203</v>
      </c>
      <c r="N44" s="2649" t="str">
        <f t="shared" si="28"/>
        <v>NO</v>
      </c>
      <c r="O44" s="2649" t="str">
        <f t="shared" si="28"/>
        <v>NO</v>
      </c>
      <c r="P44" s="2649" t="str">
        <f t="shared" si="28"/>
        <v>NO</v>
      </c>
      <c r="Q44" s="2649" t="str">
        <f t="shared" si="28"/>
        <v>NO</v>
      </c>
      <c r="R44" s="3482">
        <f t="shared" si="8"/>
        <v>924086.00806628203</v>
      </c>
      <c r="S44" s="2657"/>
      <c r="T44" s="2658"/>
      <c r="U44" s="3456" t="str">
        <f t="shared" si="26"/>
        <v>NA</v>
      </c>
      <c r="V44" s="3454"/>
      <c r="W44" s="3455"/>
      <c r="X44" s="3314" t="str">
        <f>X45</f>
        <v>NA</v>
      </c>
      <c r="Y44" s="3173"/>
      <c r="Z44" s="3457"/>
    </row>
    <row r="45" spans="2:26" ht="18" customHeight="1" x14ac:dyDescent="0.2">
      <c r="B45" s="2646" t="s">
        <v>2199</v>
      </c>
      <c r="C45" s="3495">
        <f>Table3.A!C45</f>
        <v>132.012</v>
      </c>
      <c r="D45" s="3307">
        <v>7</v>
      </c>
      <c r="E45" s="3494" t="str">
        <f>'Table3.B(a)'!G45</f>
        <v>NA</v>
      </c>
      <c r="F45" s="3479" t="s">
        <v>2146</v>
      </c>
      <c r="G45" s="3479" t="s">
        <v>2146</v>
      </c>
      <c r="H45" s="3479" t="s">
        <v>2146</v>
      </c>
      <c r="I45" s="3479" t="s">
        <v>2146</v>
      </c>
      <c r="J45" s="3479" t="s">
        <v>2146</v>
      </c>
      <c r="K45" s="3479" t="s">
        <v>2146</v>
      </c>
      <c r="L45" s="3479" t="s">
        <v>2146</v>
      </c>
      <c r="M45" s="3479">
        <v>924086.00806628203</v>
      </c>
      <c r="N45" s="3479" t="s">
        <v>2146</v>
      </c>
      <c r="O45" s="3479" t="s">
        <v>2146</v>
      </c>
      <c r="P45" s="3479" t="s">
        <v>2146</v>
      </c>
      <c r="Q45" s="3479" t="s">
        <v>2146</v>
      </c>
      <c r="R45" s="3482">
        <f t="shared" si="8"/>
        <v>924086.00806628203</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98481115.5841548</v>
      </c>
      <c r="T46" s="3447">
        <v>361458.23399207799</v>
      </c>
      <c r="U46" s="3466"/>
      <c r="V46" s="3467">
        <f>IF(SUM(S46)=0,"NA",Y46*1000000/S46)</f>
        <v>3.6096111972390285E-3</v>
      </c>
      <c r="W46" s="3468">
        <f>IF(SUM(T46)=0,"NA",Z46*1000000/T46)</f>
        <v>1.7285714285714304E-2</v>
      </c>
      <c r="X46" s="3316"/>
      <c r="Y46" s="3320">
        <v>0.35547853752915615</v>
      </c>
      <c r="Z46" s="3321">
        <v>6.2480637590059257E-3</v>
      </c>
    </row>
    <row r="47" spans="2:26" ht="18" customHeight="1" x14ac:dyDescent="0.2">
      <c r="B47" s="358" t="s">
        <v>863</v>
      </c>
      <c r="C47" s="359"/>
      <c r="D47" s="359"/>
      <c r="E47" s="359"/>
      <c r="F47" s="3485">
        <f>IF(SUM(F30,F27,F24,F10)=0,"NO",SUM(F30,F27,F24,F10))</f>
        <v>52533701.573632836</v>
      </c>
      <c r="G47" s="3485" t="str">
        <f t="shared" ref="G47:Q47" si="29">IF(SUM(G30,G27,G24,G10)=0,"NO",SUM(G30,G27,G24,G10))</f>
        <v>NO</v>
      </c>
      <c r="H47" s="3485">
        <f t="shared" si="29"/>
        <v>7229399.0894328803</v>
      </c>
      <c r="I47" s="3485">
        <f t="shared" si="29"/>
        <v>30829048.59773884</v>
      </c>
      <c r="J47" s="3485" t="str">
        <f t="shared" si="29"/>
        <v>NO</v>
      </c>
      <c r="K47" s="3485">
        <f t="shared" si="29"/>
        <v>87826247.857930511</v>
      </c>
      <c r="L47" s="3485">
        <f t="shared" si="29"/>
        <v>9619664.5119317789</v>
      </c>
      <c r="M47" s="3409"/>
      <c r="N47" s="3485">
        <f t="shared" si="29"/>
        <v>19147843.234930336</v>
      </c>
      <c r="O47" s="3485">
        <f t="shared" si="29"/>
        <v>1585742.2050962669</v>
      </c>
      <c r="P47" s="3409"/>
      <c r="Q47" s="3485">
        <f t="shared" si="29"/>
        <v>65785695.61664103</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3.2656829997898117E-2</v>
      </c>
      <c r="J48" s="3486" t="str">
        <f t="shared" si="30"/>
        <v>NA</v>
      </c>
      <c r="K48" s="3486" t="str">
        <f t="shared" si="30"/>
        <v>NA</v>
      </c>
      <c r="L48" s="3486" t="str">
        <f t="shared" si="30"/>
        <v>NA</v>
      </c>
      <c r="M48" s="87"/>
      <c r="N48" s="3486">
        <f t="shared" si="30"/>
        <v>1.5714285714285813E-2</v>
      </c>
      <c r="O48" s="3486" t="str">
        <f t="shared" si="30"/>
        <v>NA</v>
      </c>
      <c r="P48" s="87"/>
      <c r="Q48" s="3486">
        <f t="shared" si="30"/>
        <v>2.8346905287756487E-3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1.0067789990532965</v>
      </c>
      <c r="J49" s="3487" t="s">
        <v>2153</v>
      </c>
      <c r="K49" s="3487" t="s">
        <v>2153</v>
      </c>
      <c r="L49" s="3487" t="s">
        <v>2153</v>
      </c>
      <c r="M49" s="3474"/>
      <c r="N49" s="3488">
        <v>0.30089467940605003</v>
      </c>
      <c r="O49" s="3488" t="s">
        <v>2147</v>
      </c>
      <c r="P49" s="3474"/>
      <c r="Q49" s="3488">
        <v>0.18648208829341001</v>
      </c>
      <c r="R49" s="1312"/>
      <c r="S49" s="1313"/>
      <c r="T49" s="1314"/>
      <c r="U49" s="3473">
        <f>X49*1000/SUM(C10,C24,C27,C30)</f>
        <v>7.6909749458572768E-3</v>
      </c>
      <c r="V49" s="3474"/>
      <c r="W49" s="3475"/>
      <c r="X49" s="3319">
        <f>SUM(X10,X24,X27,X30)</f>
        <v>1.4941557667527563</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11.069592121000001</v>
      </c>
    </row>
    <row r="11" spans="1:9" ht="18" customHeight="1" x14ac:dyDescent="0.2">
      <c r="B11" s="439" t="s">
        <v>876</v>
      </c>
      <c r="C11" s="4147">
        <v>0.69663889999999995</v>
      </c>
      <c r="D11" s="243" t="s">
        <v>2146</v>
      </c>
      <c r="E11" s="283" t="s">
        <v>2146</v>
      </c>
      <c r="F11" s="2305">
        <f>IF(SUM(C11)=0,"NA",G11/C11)</f>
        <v>15.890000000000002</v>
      </c>
      <c r="G11" s="3093">
        <v>11.069592121000001</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0.69663889999999995</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33.27022774684545</v>
      </c>
      <c r="H10" s="397" t="s">
        <v>897</v>
      </c>
      <c r="I10" s="398" t="s">
        <v>898</v>
      </c>
      <c r="J10" s="399">
        <v>0.21</v>
      </c>
    </row>
    <row r="11" spans="2:10" ht="24" customHeight="1" x14ac:dyDescent="0.2">
      <c r="B11" s="2431" t="s">
        <v>1949</v>
      </c>
      <c r="C11" s="2432" t="s">
        <v>899</v>
      </c>
      <c r="D11" s="3720">
        <v>1346608.0047871971</v>
      </c>
      <c r="E11" s="3714">
        <f>IF(SUM(D11)=0,"NA",F11*1000/D11/(44/28))</f>
        <v>3.7904572178557336E-3</v>
      </c>
      <c r="F11" s="3425">
        <v>8.0209800492924757</v>
      </c>
      <c r="H11" s="397" t="s">
        <v>900</v>
      </c>
      <c r="I11" s="398" t="s">
        <v>901</v>
      </c>
      <c r="J11" s="399">
        <v>0.24</v>
      </c>
    </row>
    <row r="12" spans="2:10" ht="24" customHeight="1" thickBot="1" x14ac:dyDescent="0.25">
      <c r="B12" s="2431" t="s">
        <v>1950</v>
      </c>
      <c r="C12" s="2433" t="s">
        <v>902</v>
      </c>
      <c r="D12" s="3721">
        <f>IF(SUM(D13:D15)=0,"NO",SUM(D13:D15))</f>
        <v>109850.04070677677</v>
      </c>
      <c r="E12" s="3715">
        <f t="shared" ref="E12:E23" si="0">IF(SUM(D12)=0,"NA",F12*1000/D12/(44/28))</f>
        <v>9.104268123679848E-3</v>
      </c>
      <c r="F12" s="3426">
        <f>IF(SUM(F13:F15)=0,"NO",SUM(F13:F15))</f>
        <v>1.5715923519868653</v>
      </c>
      <c r="H12" s="407" t="s">
        <v>903</v>
      </c>
      <c r="I12" s="408" t="s">
        <v>2147</v>
      </c>
      <c r="J12" s="2668" t="s">
        <v>2147</v>
      </c>
    </row>
    <row r="13" spans="2:10" ht="24" customHeight="1" x14ac:dyDescent="0.2">
      <c r="B13" s="2431" t="s">
        <v>904</v>
      </c>
      <c r="C13" s="2432" t="s">
        <v>905</v>
      </c>
      <c r="D13" s="3722">
        <v>100173.63508780199</v>
      </c>
      <c r="E13" s="3714">
        <f t="shared" si="0"/>
        <v>9.1143400418744053E-3</v>
      </c>
      <c r="F13" s="3425">
        <v>1.4347403296613648</v>
      </c>
      <c r="H13" s="1436" t="s">
        <v>906</v>
      </c>
      <c r="I13" s="1078"/>
      <c r="J13" s="1078"/>
    </row>
    <row r="14" spans="2:10" ht="24" customHeight="1" x14ac:dyDescent="0.2">
      <c r="B14" s="2431" t="s">
        <v>907</v>
      </c>
      <c r="C14" s="2432" t="s">
        <v>908</v>
      </c>
      <c r="D14" s="3722">
        <v>9676.4056189747844</v>
      </c>
      <c r="E14" s="3714">
        <f t="shared" si="0"/>
        <v>8.9999999999999941E-3</v>
      </c>
      <c r="F14" s="3425">
        <v>0.13685202232550042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1640833.7588414957</v>
      </c>
      <c r="E16" s="3714">
        <f t="shared" si="0"/>
        <v>4.000000000000001E-3</v>
      </c>
      <c r="F16" s="3425">
        <v>10.313812198432261</v>
      </c>
    </row>
    <row r="17" spans="2:11" ht="24" customHeight="1" x14ac:dyDescent="0.2">
      <c r="B17" s="2431" t="s">
        <v>913</v>
      </c>
      <c r="C17" s="2432" t="s">
        <v>914</v>
      </c>
      <c r="D17" s="3722">
        <v>838675.85705534997</v>
      </c>
      <c r="E17" s="3714">
        <f t="shared" si="0"/>
        <v>0.01</v>
      </c>
      <c r="F17" s="3425">
        <v>13.179192039441215</v>
      </c>
    </row>
    <row r="18" spans="2:11" ht="24" customHeight="1" x14ac:dyDescent="0.2">
      <c r="B18" s="2431" t="s">
        <v>1951</v>
      </c>
      <c r="C18" s="2432" t="s">
        <v>915</v>
      </c>
      <c r="D18" s="3722">
        <v>30752.625174928598</v>
      </c>
      <c r="E18" s="3716">
        <f t="shared" si="0"/>
        <v>2.0000000000000026E-3</v>
      </c>
      <c r="F18" s="3427">
        <v>9.6651107692632868E-2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10.215572391567299</v>
      </c>
    </row>
    <row r="22" spans="2:11" ht="24" customHeight="1" x14ac:dyDescent="0.2">
      <c r="B22" s="2438" t="s">
        <v>1953</v>
      </c>
      <c r="C22" s="2432" t="s">
        <v>919</v>
      </c>
      <c r="D22" s="3722">
        <v>515673.71437553898</v>
      </c>
      <c r="E22" s="3714">
        <f t="shared" si="0"/>
        <v>2.858592536660693E-3</v>
      </c>
      <c r="F22" s="3425">
        <v>2.3164444777037358</v>
      </c>
    </row>
    <row r="23" spans="2:11" ht="24" customHeight="1" thickBot="1" x14ac:dyDescent="0.25">
      <c r="B23" s="410" t="s">
        <v>920</v>
      </c>
      <c r="C23" s="411" t="s">
        <v>921</v>
      </c>
      <c r="D23" s="3725">
        <v>457897.99902433198</v>
      </c>
      <c r="E23" s="3719">
        <f t="shared" si="0"/>
        <v>1.0977811158988295E-2</v>
      </c>
      <c r="F23" s="3430">
        <v>7.8991279138635644</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23742559.539999999</v>
      </c>
      <c r="N9" s="4179">
        <v>8646321.3800000008</v>
      </c>
      <c r="O9" s="4179">
        <v>494588.7</v>
      </c>
      <c r="P9" s="4180">
        <v>2209172.94</v>
      </c>
      <c r="Q9" s="4180">
        <v>1198006.24</v>
      </c>
      <c r="R9" s="4180">
        <v>167151.07</v>
      </c>
      <c r="S9" s="4180">
        <v>690389.51</v>
      </c>
      <c r="T9" s="4180">
        <v>143043.32999999999</v>
      </c>
      <c r="U9" s="4180">
        <v>1824324.5</v>
      </c>
      <c r="V9" s="4180">
        <v>34358379.159999996</v>
      </c>
      <c r="W9" s="4180">
        <v>15626.036619999999</v>
      </c>
      <c r="X9" s="4181">
        <v>3577236.09</v>
      </c>
    </row>
    <row r="10" spans="2:24" ht="18" customHeight="1" thickTop="1" x14ac:dyDescent="0.2">
      <c r="B10" s="437" t="s">
        <v>947</v>
      </c>
      <c r="C10" s="376"/>
      <c r="D10" s="438"/>
      <c r="E10" s="438"/>
      <c r="F10" s="4149">
        <f>IF(SUM(F11:F14)=0,"NO",SUM(F11:F14))</f>
        <v>3439.6003151805185</v>
      </c>
      <c r="G10" s="4150">
        <f>IF(SUM($F10)=0,"NA",I10/$F10*1000)</f>
        <v>1.8833866176021126</v>
      </c>
      <c r="H10" s="4151">
        <f>IF(SUM($F10)=0,"NA",J10/$F10*1000)</f>
        <v>7.6372960872256729E-2</v>
      </c>
      <c r="I10" s="3192">
        <f>IF(SUM(I11:I14)=0,"NO",SUM(I11:I14))</f>
        <v>6.4780972035109974</v>
      </c>
      <c r="J10" s="420">
        <f>IF(SUM(J11:J14)=0,"NO",SUM(J11:J14))</f>
        <v>0.26269246028748366</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1982.5510945067699</v>
      </c>
      <c r="G11" s="4153">
        <f>IF(SUM($F11)=0,"NA",I11/$F11*1000)</f>
        <v>1.8666666666666658</v>
      </c>
      <c r="H11" s="4154">
        <f>IF(SUM($F11)=0,"NA",J11/$F11*1000)</f>
        <v>7.1657142857142836E-2</v>
      </c>
      <c r="I11" s="3326">
        <v>3.700762043079302</v>
      </c>
      <c r="J11" s="3327">
        <v>0.1420639470006565</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591.17597226804003</v>
      </c>
      <c r="G12" s="4155">
        <f t="shared" ref="G12:G28" si="0">IF(SUM($F12)=0,"NA",I12/$F12*1000)</f>
        <v>1.8666666666666654</v>
      </c>
      <c r="H12" s="4154">
        <f t="shared" ref="H12:H28" si="1">IF(SUM($F12)=0,"NA",J12/$F12*1000)</f>
        <v>8.3599999999999938E-2</v>
      </c>
      <c r="I12" s="3180">
        <v>1.1035284815670072</v>
      </c>
      <c r="J12" s="3327">
        <v>4.9422311281608108E-2</v>
      </c>
      <c r="L12" s="1324" t="s">
        <v>952</v>
      </c>
      <c r="M12" s="4177">
        <v>0.13178976526864</v>
      </c>
      <c r="N12" s="4177">
        <v>0.13053885696626</v>
      </c>
      <c r="O12" s="4177">
        <v>0.15322434416228001</v>
      </c>
      <c r="P12" s="4178">
        <v>9.8627355131290007E-2</v>
      </c>
      <c r="Q12" s="4178">
        <v>0.13334360717938001</v>
      </c>
      <c r="R12" s="4178">
        <v>0.12268799152512</v>
      </c>
      <c r="S12" s="4178">
        <v>0.81499999999999995</v>
      </c>
      <c r="T12" s="4178">
        <v>0.17355089916479</v>
      </c>
      <c r="U12" s="4178">
        <v>0.128431665962074</v>
      </c>
      <c r="V12" s="4178">
        <v>0.28291469159423305</v>
      </c>
      <c r="W12" s="4178">
        <v>5.9909794473051954E-2</v>
      </c>
      <c r="X12" s="4152">
        <v>0.13458095469993839</v>
      </c>
    </row>
    <row r="13" spans="2:24" ht="18" customHeight="1" thickBot="1" x14ac:dyDescent="0.25">
      <c r="B13" s="439" t="s">
        <v>953</v>
      </c>
      <c r="C13" s="440" t="s">
        <v>2147</v>
      </c>
      <c r="D13" s="440" t="s">
        <v>2147</v>
      </c>
      <c r="E13" s="440" t="s">
        <v>2147</v>
      </c>
      <c r="F13" s="4152">
        <v>50.089550971818497</v>
      </c>
      <c r="G13" s="4155">
        <f t="shared" si="0"/>
        <v>1.9600000000000013</v>
      </c>
      <c r="H13" s="4154">
        <f t="shared" si="1"/>
        <v>5.9714285714285741E-2</v>
      </c>
      <c r="I13" s="3180">
        <v>9.8175519904764308E-2</v>
      </c>
      <c r="J13" s="3327">
        <v>2.9910617580314485E-3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815.78369743389032</v>
      </c>
      <c r="G14" s="4157">
        <f t="shared" si="0"/>
        <v>1.9314325156486847</v>
      </c>
      <c r="H14" s="4158">
        <f t="shared" si="1"/>
        <v>8.3619151083508425E-2</v>
      </c>
      <c r="I14" s="3199">
        <f>IF(SUM(I15:I19)=0,"NO",SUM(I15:I19))</f>
        <v>1.5756311589599241</v>
      </c>
      <c r="J14" s="3085">
        <f>IF(SUM(J15:J19)=0,"NO",SUM(J15:J19))</f>
        <v>6.8215140247187597E-2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125.501693241493</v>
      </c>
      <c r="G15" s="4159">
        <f t="shared" si="0"/>
        <v>1.8666666666666702</v>
      </c>
      <c r="H15" s="4160">
        <f t="shared" si="1"/>
        <v>9.5542857142857332E-2</v>
      </c>
      <c r="I15" s="3328">
        <v>0.23426982738412072</v>
      </c>
      <c r="J15" s="3327">
        <v>1.1990790348558669E-2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95.817212756095799</v>
      </c>
      <c r="G16" s="4161">
        <f t="shared" si="0"/>
        <v>1.8666666666666671</v>
      </c>
      <c r="H16" s="4162">
        <f t="shared" si="1"/>
        <v>7.1657142857142878E-2</v>
      </c>
      <c r="I16" s="3329">
        <v>0.1788587971447122</v>
      </c>
      <c r="J16" s="3327">
        <v>6.8659877026368086E-3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12.647013530756</v>
      </c>
      <c r="G17" s="4161">
        <f t="shared" si="0"/>
        <v>1.8666666666666607</v>
      </c>
      <c r="H17" s="4162">
        <f t="shared" si="1"/>
        <v>7.1657142857142642E-2</v>
      </c>
      <c r="I17" s="3329">
        <v>2.360775859074446E-2</v>
      </c>
      <c r="J17" s="3327">
        <v>9.062488552895986E-4</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566.08846874995197</v>
      </c>
      <c r="G18" s="4161">
        <f t="shared" si="0"/>
        <v>1.9599999999999991</v>
      </c>
      <c r="H18" s="4162">
        <f t="shared" si="1"/>
        <v>8.3600000000000008E-2</v>
      </c>
      <c r="I18" s="3329">
        <v>1.1095333987499054</v>
      </c>
      <c r="J18" s="3327">
        <v>4.7324995987495989E-2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15.729309155593601</v>
      </c>
      <c r="G19" s="4161">
        <f t="shared" si="0"/>
        <v>1.866666666666662</v>
      </c>
      <c r="H19" s="4162">
        <f t="shared" si="1"/>
        <v>7.1657142857142669E-2</v>
      </c>
      <c r="I19" s="3329">
        <v>2.9361377090441315E-2</v>
      </c>
      <c r="J19" s="3327">
        <v>1.1271173532065328E-3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134.04643361602101</v>
      </c>
      <c r="G20" s="4165">
        <f t="shared" si="0"/>
        <v>1.8666666666666691</v>
      </c>
      <c r="H20" s="4166">
        <f t="shared" si="1"/>
        <v>0.10748571428571442</v>
      </c>
      <c r="I20" s="3220">
        <f>I21</f>
        <v>0.25022000941657285</v>
      </c>
      <c r="J20" s="449">
        <f>J21</f>
        <v>1.4408076664670618E-2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134.04643361602101</v>
      </c>
      <c r="G21" s="4168">
        <f t="shared" si="0"/>
        <v>1.8666666666666691</v>
      </c>
      <c r="H21" s="4158">
        <f t="shared" si="1"/>
        <v>0.10748571428571442</v>
      </c>
      <c r="I21" s="3199">
        <f>I22</f>
        <v>0.25022000941657285</v>
      </c>
      <c r="J21" s="3085">
        <f>J22</f>
        <v>1.4408076664670618E-2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134.04643361602101</v>
      </c>
      <c r="G22" s="4170">
        <f t="shared" si="0"/>
        <v>1.8666666666666691</v>
      </c>
      <c r="H22" s="4171">
        <f t="shared" si="1"/>
        <v>0.10748571428571442</v>
      </c>
      <c r="I22" s="3330">
        <v>0.25022000941657285</v>
      </c>
      <c r="J22" s="3331">
        <v>1.4408076664670618E-2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466.583531698998</v>
      </c>
      <c r="G26" s="4175">
        <f t="shared" si="0"/>
        <v>1.8666666666666667</v>
      </c>
      <c r="H26" s="4176">
        <f t="shared" si="1"/>
        <v>5.9714285714285713E-2</v>
      </c>
      <c r="I26" s="3332">
        <v>0.87095592583812964</v>
      </c>
      <c r="J26" s="3333">
        <v>2.7861702321454452E-2</v>
      </c>
      <c r="L26" s="159"/>
    </row>
    <row r="27" spans="2:24" ht="18" customHeight="1" x14ac:dyDescent="0.2">
      <c r="B27" s="446" t="s">
        <v>963</v>
      </c>
      <c r="C27" s="447"/>
      <c r="D27" s="448"/>
      <c r="E27" s="448"/>
      <c r="F27" s="4164">
        <f>IF(SUM(F28:F29)=0,"NO",SUM(F28:F29))</f>
        <v>461.8159074749816</v>
      </c>
      <c r="G27" s="4165">
        <f t="shared" si="0"/>
        <v>1.8667444039855199</v>
      </c>
      <c r="H27" s="4166">
        <f t="shared" si="1"/>
        <v>0.10755534471274313</v>
      </c>
      <c r="I27" s="3220">
        <f>IF(SUM(I28:I29)=0,"NO",SUM(I28:I29))</f>
        <v>0.86209226095041647</v>
      </c>
      <c r="J27" s="449">
        <f>IF(SUM(J28:J29)=0,"NO",SUM(J28:J29))</f>
        <v>4.9670769122299931E-2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0.38464639768161002</v>
      </c>
      <c r="G28" s="4161">
        <f t="shared" si="0"/>
        <v>1.9600000000000091</v>
      </c>
      <c r="H28" s="4162">
        <f t="shared" si="1"/>
        <v>0.19108571428571519</v>
      </c>
      <c r="I28" s="3329">
        <v>7.5390693945595914E-4</v>
      </c>
      <c r="J28" s="3327">
        <v>7.3500431648417717E-5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461.43126107730001</v>
      </c>
      <c r="G29" s="4161">
        <f t="shared" ref="G29" si="2">IF(SUM($F29)=0,"NA",I29/$F29*1000)</f>
        <v>1.8666666666666678</v>
      </c>
      <c r="H29" s="4162">
        <f t="shared" ref="H29" si="3">IF(SUM($F29)=0,"NA",J29/$F29*1000)</f>
        <v>0.10748571428571431</v>
      </c>
      <c r="I29" s="3329">
        <v>0.86133835401096048</v>
      </c>
      <c r="J29" s="3327">
        <v>4.9597268690651515E-2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1224.3892800541203</v>
      </c>
    </row>
    <row r="11" spans="2:5" s="83" customFormat="1" ht="18" customHeight="1" x14ac:dyDescent="0.2">
      <c r="B11" s="1854" t="s">
        <v>972</v>
      </c>
      <c r="C11" s="4187">
        <v>2972169.77640844</v>
      </c>
      <c r="D11" s="3594">
        <f>IF(SUM(C11)=0,"NA",E11*1000/(44/12)/C11)</f>
        <v>0.10800000000000015</v>
      </c>
      <c r="E11" s="3431">
        <v>1176.9792314577437</v>
      </c>
    </row>
    <row r="12" spans="2:5" s="83" customFormat="1" ht="18" customHeight="1" x14ac:dyDescent="0.2">
      <c r="B12" s="1854" t="s">
        <v>973</v>
      </c>
      <c r="C12" s="4187">
        <v>104696.46359155601</v>
      </c>
      <c r="D12" s="3594">
        <f t="shared" ref="D12:D16" si="0">IF(SUM(C12)=0,"NA",E12*1000/(44/12)/C12)</f>
        <v>0.12350000000000043</v>
      </c>
      <c r="E12" s="3431">
        <v>47.410048596376441</v>
      </c>
    </row>
    <row r="13" spans="2:5" s="83" customFormat="1" ht="18" customHeight="1" x14ac:dyDescent="0.2">
      <c r="B13" s="846" t="s">
        <v>974</v>
      </c>
      <c r="C13" s="4188">
        <v>1784427.775107</v>
      </c>
      <c r="D13" s="4189">
        <f t="shared" si="0"/>
        <v>0.19999999999999998</v>
      </c>
      <c r="E13" s="3432">
        <v>1308.5803684117998</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-26158.795994845808</v>
      </c>
      <c r="D10" s="2989">
        <f t="shared" ref="D10:H10" si="0">IF(SUM(D11,D14,D17,D20,D23,D26,D29:D30)=0,"NO",SUM(D11,D14,D17,D20,D23,D26,D29:D30))</f>
        <v>664.5182190195394</v>
      </c>
      <c r="E10" s="2989">
        <f t="shared" si="0"/>
        <v>15.972342718531678</v>
      </c>
      <c r="F10" s="2989">
        <f t="shared" si="0"/>
        <v>888.04183178809456</v>
      </c>
      <c r="G10" s="2989">
        <f t="shared" si="0"/>
        <v>23275.324371902854</v>
      </c>
      <c r="H10" s="2990">
        <f t="shared" si="0"/>
        <v>613.17859816059695</v>
      </c>
      <c r="I10" s="2991">
        <f>IF(SUM(C10:E10)=0,"NO",SUM(C10)+28*SUM(D10)+265*SUM(E10))</f>
        <v>-3319.6150418878096</v>
      </c>
    </row>
    <row r="11" spans="2:9" ht="18" customHeight="1" x14ac:dyDescent="0.2">
      <c r="B11" s="473" t="s">
        <v>981</v>
      </c>
      <c r="C11" s="2992">
        <f>IF(SUM(C12:C13)=0,"NO",SUM(C12:C13))</f>
        <v>-64626.080999790145</v>
      </c>
      <c r="D11" s="2992">
        <f t="shared" ref="D11:H11" si="1">IF(SUM(D12:D13)=0,"NO",SUM(D12:D13))</f>
        <v>303.98683759064124</v>
      </c>
      <c r="E11" s="2992">
        <f t="shared" si="1"/>
        <v>5.6320858774824654</v>
      </c>
      <c r="F11" s="2992">
        <f t="shared" si="1"/>
        <v>300.8386140648584</v>
      </c>
      <c r="G11" s="2992">
        <f t="shared" si="1"/>
        <v>8166.2548815445425</v>
      </c>
      <c r="H11" s="2993">
        <f t="shared" si="1"/>
        <v>300.58766816272345</v>
      </c>
      <c r="I11" s="2994">
        <f t="shared" ref="I11:I32" si="2">IF(SUM(C11:E11)=0,"NO",SUM(C11)+28*SUM(D11)+265*SUM(E11))</f>
        <v>-54621.946789719332</v>
      </c>
    </row>
    <row r="12" spans="2:9" ht="18" customHeight="1" x14ac:dyDescent="0.2">
      <c r="B12" s="474" t="s">
        <v>982</v>
      </c>
      <c r="C12" s="2995">
        <f>IF(SUM(Table4.A!U11,'Table4(IV)'!J12)=0,"NO",SUM(Table4.A!U11,'Table4(IV)'!J12))</f>
        <v>-26455.095403963445</v>
      </c>
      <c r="D12" s="2995">
        <f>'Table4(IV)'!K12</f>
        <v>299.63961361673876</v>
      </c>
      <c r="E12" s="2995">
        <f>IF(SUM('Table4(III)'!I12,'Table4(IV)'!L12)=0,"NO",SUM('Table4(III)'!I12,'Table4(IV)'!L12))</f>
        <v>4.8651184339826585</v>
      </c>
      <c r="F12" s="2905">
        <v>298.34237477511499</v>
      </c>
      <c r="G12" s="2905">
        <v>8070.2445068494108</v>
      </c>
      <c r="H12" s="2906">
        <v>289.31544138535259</v>
      </c>
      <c r="I12" s="2996">
        <f t="shared" si="2"/>
        <v>-16775.929837689357</v>
      </c>
    </row>
    <row r="13" spans="2:9" ht="18" customHeight="1" thickBot="1" x14ac:dyDescent="0.25">
      <c r="B13" s="475" t="s">
        <v>983</v>
      </c>
      <c r="C13" s="2997">
        <f>IF(SUM(Table4.A!U16,'Table4(IV)'!J19)=0,"NO",SUM(Table4.A!U16,'Table4(IV)'!J19))</f>
        <v>-38170.9855958267</v>
      </c>
      <c r="D13" s="2997">
        <f>'Table4(IV)'!K19</f>
        <v>4.3472239739025156</v>
      </c>
      <c r="E13" s="2997">
        <f>IF(SUM('Table4(III)'!I13,'Table4(IV)'!L19)=0,"NO",SUM('Table4(III)'!I13,'Table4(IV)'!L19))</f>
        <v>0.76696744349980706</v>
      </c>
      <c r="F13" s="2908">
        <v>2.4962392897434418</v>
      </c>
      <c r="G13" s="2908">
        <v>96.010374695131546</v>
      </c>
      <c r="H13" s="2907">
        <v>11.272226777370843</v>
      </c>
      <c r="I13" s="2998">
        <f t="shared" si="2"/>
        <v>-37846.016952029982</v>
      </c>
    </row>
    <row r="14" spans="2:9" ht="18" customHeight="1" x14ac:dyDescent="0.2">
      <c r="B14" s="473" t="s">
        <v>984</v>
      </c>
      <c r="C14" s="2992">
        <f>IF(SUM(C15:C16)=0,"NO",SUM(C15:C16))</f>
        <v>1663.1103756569228</v>
      </c>
      <c r="D14" s="2992">
        <f t="shared" ref="D14" si="3">IF(SUM(D15:D16)=0,"NO",SUM(D15:D16))</f>
        <v>1.490184</v>
      </c>
      <c r="E14" s="2992">
        <f t="shared" ref="E14" si="4">IF(SUM(E15:E16)=0,"NO",SUM(E15:E16))</f>
        <v>0.10987448312544423</v>
      </c>
      <c r="F14" s="2992">
        <f t="shared" ref="F14" si="5">IF(SUM(F15:F16)=0,"NO",SUM(F15:F16))</f>
        <v>1.1220730714285714</v>
      </c>
      <c r="G14" s="2992">
        <f t="shared" ref="G14" si="6">IF(SUM(G15:G16)=0,"NO",SUM(G15:G16))</f>
        <v>43.946630000000006</v>
      </c>
      <c r="H14" s="2993">
        <f t="shared" ref="H14" si="7">IF(SUM(H15:H16)=0,"NO",SUM(H15:H16))</f>
        <v>5.3122299999999996</v>
      </c>
      <c r="I14" s="2999">
        <f t="shared" si="2"/>
        <v>1733.9522656851655</v>
      </c>
    </row>
    <row r="15" spans="2:9" ht="18" customHeight="1" x14ac:dyDescent="0.2">
      <c r="B15" s="474" t="s">
        <v>985</v>
      </c>
      <c r="C15" s="2995">
        <f>IF(SUM(Table4.B!S11,'Table4(IV)'!J26)=0,"NO",SUM(Table4.B!S11,'Table4(IV)'!J26))</f>
        <v>-1423.1074644847895</v>
      </c>
      <c r="D15" s="2995" t="str">
        <f>'Table4(IV)'!K26</f>
        <v>IE</v>
      </c>
      <c r="E15" s="2995" t="str">
        <f>'Table4(IV)'!L26</f>
        <v>IE</v>
      </c>
      <c r="F15" s="2905" t="s">
        <v>2153</v>
      </c>
      <c r="G15" s="2905" t="s">
        <v>2153</v>
      </c>
      <c r="H15" s="2906" t="s">
        <v>2153</v>
      </c>
      <c r="I15" s="2996">
        <f t="shared" si="2"/>
        <v>-1423.1074644847895</v>
      </c>
    </row>
    <row r="16" spans="2:9" ht="18" customHeight="1" thickBot="1" x14ac:dyDescent="0.25">
      <c r="B16" s="475" t="s">
        <v>986</v>
      </c>
      <c r="C16" s="2997">
        <f>IF(SUM(Table4.B!S13,'Table4(IV)'!J31)=0,"IE",SUM(Table4.B!S13,'Table4(IV)'!J31))</f>
        <v>3086.2178401417123</v>
      </c>
      <c r="D16" s="2997">
        <f>'Table4(IV)'!K31</f>
        <v>1.490184</v>
      </c>
      <c r="E16" s="2997">
        <f>IF(SUM('Table4(III)'!I21,'Table4(IV)'!L31)=0,"IE",SUM('Table4(III)'!I21,'Table4(IV)'!L31))</f>
        <v>0.10987448312544423</v>
      </c>
      <c r="F16" s="2908">
        <v>1.1220730714285714</v>
      </c>
      <c r="G16" s="2908">
        <v>43.946630000000006</v>
      </c>
      <c r="H16" s="2907">
        <v>5.3122299999999996</v>
      </c>
      <c r="I16" s="2998">
        <f t="shared" si="2"/>
        <v>3157.0597301699549</v>
      </c>
    </row>
    <row r="17" spans="2:9" ht="18" customHeight="1" x14ac:dyDescent="0.2">
      <c r="B17" s="473" t="s">
        <v>987</v>
      </c>
      <c r="C17" s="2992">
        <f>IF(SUM(C18:C19)=0,"NO",SUM(C18:C19))</f>
        <v>36771.703687128916</v>
      </c>
      <c r="D17" s="2992">
        <f t="shared" ref="D17" si="8">IF(SUM(D18:D19)=0,"NO",SUM(D18:D19))</f>
        <v>266.62320238712584</v>
      </c>
      <c r="E17" s="2992">
        <f t="shared" ref="E17" si="9">IF(SUM(E18:E19)=0,"NO",SUM(E18:E19))</f>
        <v>9.6422613694427639</v>
      </c>
      <c r="F17" s="2992">
        <f t="shared" ref="F17" si="10">IF(SUM(F18:F19)=0,"NO",SUM(F18:F19))</f>
        <v>558.861099933579</v>
      </c>
      <c r="G17" s="2992">
        <f t="shared" ref="G17" si="11">IF(SUM(G18:G19)=0,"NO",SUM(G18:G19))</f>
        <v>14397.209205371804</v>
      </c>
      <c r="H17" s="2993">
        <f t="shared" ref="H17" si="12">IF(SUM(H18:H19)=0,"NO",SUM(H18:H19))</f>
        <v>302.13483231080431</v>
      </c>
      <c r="I17" s="2999">
        <f t="shared" si="2"/>
        <v>46792.352616870769</v>
      </c>
    </row>
    <row r="18" spans="2:9" ht="18" customHeight="1" x14ac:dyDescent="0.2">
      <c r="B18" s="474" t="s">
        <v>988</v>
      </c>
      <c r="C18" s="2995">
        <f>IF(SUM(Table4.C!S11,'Table4(IV)'!J37)=0,"IE",SUM(Table4.C!S11,'Table4(IV)'!J37))</f>
        <v>-1578.2338756681165</v>
      </c>
      <c r="D18" s="2995">
        <f>'Table4(IV)'!K37</f>
        <v>225.36158569475649</v>
      </c>
      <c r="E18" s="2995">
        <f>IF(SUM('Table4(III)'!I29,'Table4(IV)'!L37)=0,"NO",SUM('Table4(III)'!I29,'Table4(IV)'!L37))</f>
        <v>8.2830693994480402</v>
      </c>
      <c r="F18" s="2905">
        <v>526.69576825736578</v>
      </c>
      <c r="G18" s="2905">
        <v>13168.06142623055</v>
      </c>
      <c r="H18" s="2906">
        <v>159.37078154782739</v>
      </c>
      <c r="I18" s="2996">
        <f t="shared" si="2"/>
        <v>6926.903914638795</v>
      </c>
    </row>
    <row r="19" spans="2:9" ht="18" customHeight="1" thickBot="1" x14ac:dyDescent="0.25">
      <c r="B19" s="475" t="s">
        <v>989</v>
      </c>
      <c r="C19" s="2997">
        <f>IF(SUM(Table4.C!S15,'Table4(IV)'!J42)=0,"IE",SUM(Table4.C!S15,'Table4(IV)'!J42))</f>
        <v>38349.937562797029</v>
      </c>
      <c r="D19" s="2997">
        <f>'Table4(IV)'!K42</f>
        <v>41.261616692369358</v>
      </c>
      <c r="E19" s="2997">
        <f>IF(SUM('Table4(III)'!I30,'Table4(IV)'!L42)=0,"NO",SUM('Table4(III)'!I30,'Table4(IV)'!L42))</f>
        <v>1.3591919699947228</v>
      </c>
      <c r="F19" s="2908">
        <v>32.165331676213228</v>
      </c>
      <c r="G19" s="2908">
        <v>1229.1477791412544</v>
      </c>
      <c r="H19" s="2907">
        <v>142.76405076297695</v>
      </c>
      <c r="I19" s="2998">
        <f t="shared" si="2"/>
        <v>39865.448702231966</v>
      </c>
    </row>
    <row r="20" spans="2:9" ht="18" customHeight="1" x14ac:dyDescent="0.2">
      <c r="B20" s="473" t="s">
        <v>2027</v>
      </c>
      <c r="C20" s="2992">
        <f>IF(SUM(C21:C22)=0,"NO",SUM(C21:C22))</f>
        <v>430.58599290460057</v>
      </c>
      <c r="D20" s="2992">
        <f t="shared" ref="D20" si="13">IF(SUM(D21:D22)=0,"NO",SUM(D21:D22))</f>
        <v>91.088205441772303</v>
      </c>
      <c r="E20" s="2992">
        <f t="shared" ref="E20" si="14">IF(SUM(E21:E22)=0,"NO",SUM(E21:E22))</f>
        <v>0.35234476278596089</v>
      </c>
      <c r="F20" s="2992">
        <f t="shared" ref="F20" si="15">IF(SUM(F21:F22)=0,"NO",SUM(F21:F22))</f>
        <v>26.218744811085667</v>
      </c>
      <c r="G20" s="2992">
        <f t="shared" ref="G20" si="16">IF(SUM(G21:G22)=0,"NO",SUM(G21:G22))</f>
        <v>628.69717465317433</v>
      </c>
      <c r="H20" s="2993">
        <f t="shared" ref="H20" si="17">IF(SUM(H21:H22)=0,"NO",SUM(H21:H22))</f>
        <v>0.40341402040245355</v>
      </c>
      <c r="I20" s="2999">
        <f t="shared" si="2"/>
        <v>3074.4271074125045</v>
      </c>
    </row>
    <row r="21" spans="2:9" ht="18" customHeight="1" x14ac:dyDescent="0.2">
      <c r="B21" s="474" t="s">
        <v>990</v>
      </c>
      <c r="C21" s="2995">
        <f>IF(SUM(Table4.D!S11,'Table4(IV)'!J49)=0,"IE",SUM(Table4.D!S11,'Table4(IV)'!J49))</f>
        <v>429.08999290460059</v>
      </c>
      <c r="D21" s="2995">
        <f>IF(SUM('Table4(IV)'!K49,'Table4(II)'!J270)=0,"NO",SUM('Table4(IV)'!K49,'Table4(II)'!J270))</f>
        <v>90.24968340689432</v>
      </c>
      <c r="E21" s="2995">
        <f>IF(SUM('Table4(II)'!I270,'Table4(III)'!I38,'Table4(IV)'!L49)=0,"NO",SUM('Table4(II)'!I270,'Table4(III)'!I38,'Table4(IV)'!L49))</f>
        <v>0.35234476278596089</v>
      </c>
      <c r="F21" s="2905">
        <v>26.218744811085667</v>
      </c>
      <c r="G21" s="2905">
        <v>628.69717465317433</v>
      </c>
      <c r="H21" s="2906">
        <v>0.40341402040245355</v>
      </c>
      <c r="I21" s="2996">
        <f t="shared" si="2"/>
        <v>3049.4524904359209</v>
      </c>
    </row>
    <row r="22" spans="2:9" ht="18" customHeight="1" thickBot="1" x14ac:dyDescent="0.25">
      <c r="B22" s="475" t="s">
        <v>991</v>
      </c>
      <c r="C22" s="2997">
        <f>IF(SUM(Table4.D!S23,'Table4(II)'!H320,'Table4(IV)'!J54)=0,"NO",SUM(Table4.D!S23,'Table4(II)'!H320,'Table4(IV)'!J54))</f>
        <v>1.4959999999999998</v>
      </c>
      <c r="D22" s="2997">
        <f>IF(SUM('Table4(IV)'!K54,'Table4(II)'!J320)=0,"NO",SUM('Table4(IV)'!K54,'Table4(II)'!J320))</f>
        <v>0.83852203487798382</v>
      </c>
      <c r="E22" s="2997" t="str">
        <f>IF(SUM('Table4(II)'!I320,'Table4(III)'!I39,'Table4(IV)'!L54)=0,"NO",SUM('Table4(II)'!I320,'Table4(III)'!I39,'Table4(IV)'!L54))</f>
        <v>NO</v>
      </c>
      <c r="F22" s="2908" t="s">
        <v>2153</v>
      </c>
      <c r="G22" s="2908" t="s">
        <v>2153</v>
      </c>
      <c r="H22" s="2907" t="s">
        <v>2153</v>
      </c>
      <c r="I22" s="2998">
        <f t="shared" si="2"/>
        <v>24.974616976583544</v>
      </c>
    </row>
    <row r="23" spans="2:9" ht="18" customHeight="1" x14ac:dyDescent="0.2">
      <c r="B23" s="473" t="s">
        <v>992</v>
      </c>
      <c r="C23" s="2992">
        <f>IF(SUM(C24:C25)=0,"NO",SUM(C24:C25))</f>
        <v>3799.2730142093196</v>
      </c>
      <c r="D23" s="2992">
        <f t="shared" ref="D23" si="18">IF(SUM(D24:D25)=0,"NO",SUM(D24:D25))</f>
        <v>1.3297896</v>
      </c>
      <c r="E23" s="2992">
        <f t="shared" ref="E23" si="19">IF(SUM(E24:E25)=0,"NO",SUM(E24:E25))</f>
        <v>6.0271916490330264E-2</v>
      </c>
      <c r="F23" s="2992">
        <f>IF(SUM(F24:F25)=0,"NO",SUM(F24:F25))</f>
        <v>1.0012999071428572</v>
      </c>
      <c r="G23" s="2992">
        <f t="shared" ref="G23" si="20">IF(SUM(G24:G25)=0,"NO",SUM(G24:G25))</f>
        <v>39.216480333333337</v>
      </c>
      <c r="H23" s="2993">
        <f t="shared" ref="H23" si="21">IF(SUM(H24:H25)=0,"NO",SUM(H24:H25))</f>
        <v>4.7404536666666672</v>
      </c>
      <c r="I23" s="2999">
        <f t="shared" si="2"/>
        <v>3852.479180879257</v>
      </c>
    </row>
    <row r="24" spans="2:9" ht="18" customHeight="1" x14ac:dyDescent="0.2">
      <c r="B24" s="474" t="s">
        <v>993</v>
      </c>
      <c r="C24" s="2995">
        <f>IF(SUM(Table4.E!S11,'Table4(IV)'!J60)=0,"IE",SUM(Table4.E!S11,'Table4(IV)'!J60))</f>
        <v>-26.130193511908072</v>
      </c>
      <c r="D24" s="2995" t="str">
        <f>'Table4(IV)'!K60</f>
        <v>IE</v>
      </c>
      <c r="E24" s="2995">
        <f>IF(SUM('Table4(III)'!I47,'Table4(IV)'!L60)=0,"IE",SUM('Table4(III)'!I47,'Table4(IV)'!L60))</f>
        <v>1.0682841152300407E-4</v>
      </c>
      <c r="F24" s="2905" t="s">
        <v>2154</v>
      </c>
      <c r="G24" s="2905" t="s">
        <v>2154</v>
      </c>
      <c r="H24" s="2906" t="s">
        <v>2154</v>
      </c>
      <c r="I24" s="2996">
        <f t="shared" si="2"/>
        <v>-26.101883982854474</v>
      </c>
    </row>
    <row r="25" spans="2:9" ht="18" customHeight="1" thickBot="1" x14ac:dyDescent="0.25">
      <c r="B25" s="475" t="s">
        <v>994</v>
      </c>
      <c r="C25" s="2997">
        <f>IF(SUM(Table4.E!S13,'Table4(IV)'!J65)=0,"IE",SUM(Table4.E!S13,'Table4(IV)'!J65))</f>
        <v>3825.4032077212278</v>
      </c>
      <c r="D25" s="2997">
        <f>'Table4(IV)'!K65</f>
        <v>1.3297896</v>
      </c>
      <c r="E25" s="2997">
        <f>IF(SUM('Table4(III)'!I48,'Table4(IV)'!L65)=0,"NO",SUM('Table4(III)'!I48,'Table4(IV)'!L65))</f>
        <v>6.0165088078807258E-2</v>
      </c>
      <c r="F25" s="2908">
        <v>1.0012999071428572</v>
      </c>
      <c r="G25" s="2908">
        <v>39.216480333333337</v>
      </c>
      <c r="H25" s="2907">
        <v>4.7404536666666672</v>
      </c>
      <c r="I25" s="2998">
        <f t="shared" si="2"/>
        <v>3878.5810648621114</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-4198.8822615059344</v>
      </c>
      <c r="D29" s="3004"/>
      <c r="E29" s="3004"/>
      <c r="F29" s="3004"/>
      <c r="G29" s="3004"/>
      <c r="H29" s="3005"/>
      <c r="I29" s="3006">
        <f t="shared" si="2"/>
        <v>-4198.8822615059344</v>
      </c>
    </row>
    <row r="30" spans="2:9" ht="18" customHeight="1" x14ac:dyDescent="0.2">
      <c r="B30" s="1168" t="s">
        <v>2063</v>
      </c>
      <c r="C30" s="3007">
        <f>IF(SUM(C31:C32)=0,"NO",SUM(C31:C32))</f>
        <v>1.4941965505133337</v>
      </c>
      <c r="D30" s="3007" t="str">
        <f t="shared" ref="D30" si="27">IF(SUM(D31:D32)=0,"NO",SUM(D31:D32))</f>
        <v>NO</v>
      </c>
      <c r="E30" s="3007">
        <f t="shared" ref="E30" si="28">IF(SUM(E31:E32)=0,"NO",SUM(E31:E32))</f>
        <v>0.17550430920471427</v>
      </c>
      <c r="F30" s="3007" t="str">
        <f t="shared" ref="F30" si="29">IF(SUM(F31:F32)=0,"NO",SUM(F31:F32))</f>
        <v>NO</v>
      </c>
      <c r="G30" s="3007" t="str">
        <f t="shared" ref="G30" si="30">IF(SUM(G31:G32)=0,"NO",SUM(G31:G32))</f>
        <v>NO</v>
      </c>
      <c r="H30" s="3008" t="str">
        <f t="shared" ref="H30" si="31">IF(SUM(H31:H32)=0,"NO",SUM(H31:H32))</f>
        <v>NO</v>
      </c>
      <c r="I30" s="3009">
        <f t="shared" si="2"/>
        <v>48.002838489762617</v>
      </c>
    </row>
    <row r="31" spans="2:9" ht="18" customHeight="1" x14ac:dyDescent="0.2">
      <c r="B31" s="2677" t="s">
        <v>2218</v>
      </c>
      <c r="C31" s="3010" t="s">
        <v>2146</v>
      </c>
      <c r="D31" s="3010" t="s">
        <v>2146</v>
      </c>
      <c r="E31" s="3010">
        <v>0.17550430920471427</v>
      </c>
      <c r="F31" s="3010" t="s">
        <v>2146</v>
      </c>
      <c r="G31" s="3010" t="s">
        <v>2146</v>
      </c>
      <c r="H31" s="3011" t="s">
        <v>2146</v>
      </c>
      <c r="I31" s="3012">
        <f t="shared" si="2"/>
        <v>46.50864193924928</v>
      </c>
    </row>
    <row r="32" spans="2:9" ht="18" customHeight="1" thickBot="1" x14ac:dyDescent="0.25">
      <c r="B32" s="2676" t="s">
        <v>2219</v>
      </c>
      <c r="C32" s="3013">
        <v>1.4941965505133337</v>
      </c>
      <c r="D32" s="3013" t="s">
        <v>2146</v>
      </c>
      <c r="E32" s="3013" t="s">
        <v>2146</v>
      </c>
      <c r="F32" s="3014" t="s">
        <v>2146</v>
      </c>
      <c r="G32" s="3014" t="s">
        <v>2146</v>
      </c>
      <c r="H32" s="3014" t="s">
        <v>2146</v>
      </c>
      <c r="I32" s="2998">
        <f t="shared" si="2"/>
        <v>1.4941965505133337</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-17301.448543481445</v>
      </c>
      <c r="D35" s="3013" t="s">
        <v>2146</v>
      </c>
      <c r="E35" s="3013" t="s">
        <v>2146</v>
      </c>
      <c r="F35" s="3013" t="s">
        <v>2146</v>
      </c>
      <c r="G35" s="3013" t="s">
        <v>2146</v>
      </c>
      <c r="H35" s="3013" t="s">
        <v>2146</v>
      </c>
      <c r="I35" s="3018">
        <f t="shared" ref="I35" si="32">IF(SUM(C35:E35)=0,"NO",SUM(C35)+28*SUM(D35)+265*SUM(E35))</f>
        <v>-17301.448543481445</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379417.86501432775</v>
      </c>
      <c r="D10" s="3765">
        <f t="shared" ref="D10:I10" si="0">IF(SUM(D11,D37,D47)=0,"NO",SUM(D11,D37,D47))</f>
        <v>1419.7758512521239</v>
      </c>
      <c r="E10" s="3765">
        <f t="shared" si="0"/>
        <v>11.013556962295443</v>
      </c>
      <c r="F10" s="3765">
        <f t="shared" si="0"/>
        <v>2518.1989054240717</v>
      </c>
      <c r="G10" s="3765">
        <f t="shared" si="0"/>
        <v>2375.6000119138471</v>
      </c>
      <c r="H10" s="3765">
        <f t="shared" si="0"/>
        <v>758.00455032063155</v>
      </c>
      <c r="I10" s="3766">
        <f t="shared" si="0"/>
        <v>661.38270506065112</v>
      </c>
      <c r="J10" s="3028">
        <f t="shared" ref="J10:J40" si="1">IF(SUM(C10:E10)=0,"NO",SUM(C10,IFERROR(28*D10,0),IFERROR(265*E10,0)))</f>
        <v>422090.18144439557</v>
      </c>
    </row>
    <row r="11" spans="2:10" s="83" customFormat="1" ht="18" customHeight="1" thickBot="1" x14ac:dyDescent="0.25">
      <c r="B11" s="18" t="s">
        <v>75</v>
      </c>
      <c r="C11" s="3029">
        <f>IF(SUM(C12,C16,C24,C30,C34)=0,"NO",SUM(C12,C16,C24,C30,C34))</f>
        <v>368590.01085932768</v>
      </c>
      <c r="D11" s="3029">
        <f t="shared" ref="D11:I11" si="2">IF(SUM(D12,D16,D24,D30,D34)=0,"NO",SUM(D12,D16,D24,D30,D34))</f>
        <v>83.95757421835016</v>
      </c>
      <c r="E11" s="3029">
        <f t="shared" si="2"/>
        <v>10.853009083001748</v>
      </c>
      <c r="F11" s="3029">
        <f t="shared" si="2"/>
        <v>2515.6041186550715</v>
      </c>
      <c r="G11" s="3029">
        <f t="shared" si="2"/>
        <v>2360.550248653647</v>
      </c>
      <c r="H11" s="3029">
        <f t="shared" si="2"/>
        <v>522.09414659999936</v>
      </c>
      <c r="I11" s="3030">
        <f t="shared" si="2"/>
        <v>661.38270506065112</v>
      </c>
      <c r="J11" s="3031">
        <f t="shared" si="1"/>
        <v>373816.8703444369</v>
      </c>
    </row>
    <row r="12" spans="2:10" s="83" customFormat="1" ht="18" customHeight="1" x14ac:dyDescent="0.2">
      <c r="B12" s="26" t="s">
        <v>76</v>
      </c>
      <c r="C12" s="3029">
        <f>IF(SUM(C13:C15)=0,"NO",SUM(C13:C15))</f>
        <v>210657.41379242556</v>
      </c>
      <c r="D12" s="3029">
        <f t="shared" ref="D12:I12" si="3">IF(SUM(D13:D15)=0,"NO",SUM(D13:D15))</f>
        <v>29.102627636751954</v>
      </c>
      <c r="E12" s="3029">
        <f t="shared" si="3"/>
        <v>3.1706338463043906</v>
      </c>
      <c r="F12" s="3029">
        <f t="shared" si="3"/>
        <v>1074.0594881195971</v>
      </c>
      <c r="G12" s="3029">
        <f t="shared" si="3"/>
        <v>246.82830977015277</v>
      </c>
      <c r="H12" s="3029">
        <f>IF(SUM(H13:H15)=0,"NO",SUM(H13:H15))</f>
        <v>65.334343443373498</v>
      </c>
      <c r="I12" s="3030">
        <f t="shared" si="3"/>
        <v>560.52339425766547</v>
      </c>
      <c r="J12" s="3031">
        <f t="shared" si="1"/>
        <v>212312.50533552526</v>
      </c>
    </row>
    <row r="13" spans="2:10" s="83" customFormat="1" ht="18" customHeight="1" x14ac:dyDescent="0.2">
      <c r="B13" s="20" t="s">
        <v>77</v>
      </c>
      <c r="C13" s="3032">
        <f>'Table1.A(a)s1'!H24</f>
        <v>187753.38000039611</v>
      </c>
      <c r="D13" s="3032">
        <f>'Table1.A(a)s1'!I24</f>
        <v>18.541483130309281</v>
      </c>
      <c r="E13" s="3032">
        <f>'Table1.A(a)s1'!J24</f>
        <v>2.591771936284021</v>
      </c>
      <c r="F13" s="3033">
        <v>633.66069493888062</v>
      </c>
      <c r="G13" s="3033">
        <v>119.48606834185064</v>
      </c>
      <c r="H13" s="3033">
        <v>12.11811613144304</v>
      </c>
      <c r="I13" s="3034">
        <v>542.80029263811298</v>
      </c>
      <c r="J13" s="3035">
        <f t="shared" si="1"/>
        <v>188959.36109116004</v>
      </c>
    </row>
    <row r="14" spans="2:10" s="83" customFormat="1" ht="18" customHeight="1" x14ac:dyDescent="0.2">
      <c r="B14" s="20" t="s">
        <v>78</v>
      </c>
      <c r="C14" s="3032">
        <f>'Table1.A(a)s1'!H53</f>
        <v>4027.8621077896255</v>
      </c>
      <c r="D14" s="3032">
        <f>'Table1.A(a)s1'!I53</f>
        <v>6.7369940695785169E-2</v>
      </c>
      <c r="E14" s="3032">
        <f>'Table1.A(a)s1'!J53</f>
        <v>1.139013770427851E-2</v>
      </c>
      <c r="F14" s="3033">
        <v>27.86757991954703</v>
      </c>
      <c r="G14" s="3033">
        <v>3.4008376487458247</v>
      </c>
      <c r="H14" s="3033">
        <v>6.5607021961514161E-2</v>
      </c>
      <c r="I14" s="3034">
        <v>6.4383512319882428</v>
      </c>
      <c r="J14" s="3035">
        <f t="shared" si="1"/>
        <v>4032.7668526207412</v>
      </c>
    </row>
    <row r="15" spans="2:10" s="83" customFormat="1" ht="18" customHeight="1" thickBot="1" x14ac:dyDescent="0.25">
      <c r="B15" s="21" t="s">
        <v>79</v>
      </c>
      <c r="C15" s="3036">
        <f>'Table1.A(a)s1'!H60</f>
        <v>18876.171684239809</v>
      </c>
      <c r="D15" s="3036">
        <f>'Table1.A(a)s1'!I60</f>
        <v>10.493774565746891</v>
      </c>
      <c r="E15" s="3036">
        <f>'Table1.A(a)s1'!J60</f>
        <v>0.56747177231609103</v>
      </c>
      <c r="F15" s="3037">
        <v>412.53121326116946</v>
      </c>
      <c r="G15" s="3037">
        <v>123.94140377955631</v>
      </c>
      <c r="H15" s="3037">
        <v>53.150620289968948</v>
      </c>
      <c r="I15" s="3038">
        <v>11.284750387564227</v>
      </c>
      <c r="J15" s="3039">
        <f t="shared" si="1"/>
        <v>19320.377391744485</v>
      </c>
    </row>
    <row r="16" spans="2:10" s="83" customFormat="1" ht="18" customHeight="1" x14ac:dyDescent="0.2">
      <c r="B16" s="25" t="s">
        <v>80</v>
      </c>
      <c r="C16" s="3029">
        <f>IF(SUM(C17:C23)=0,"NO",SUM(C17:C23))</f>
        <v>42279.340220573016</v>
      </c>
      <c r="D16" s="3029">
        <f t="shared" ref="D16:I16" si="4">IF(SUM(D17:D23)=0,"NO",SUM(D17:D23))</f>
        <v>2.4872832318839135</v>
      </c>
      <c r="E16" s="3029">
        <f t="shared" si="4"/>
        <v>1.4903860924080667</v>
      </c>
      <c r="F16" s="3029">
        <f t="shared" si="4"/>
        <v>743.77680483956067</v>
      </c>
      <c r="G16" s="3029">
        <f t="shared" si="4"/>
        <v>239.56055136532001</v>
      </c>
      <c r="H16" s="3029">
        <f t="shared" si="4"/>
        <v>100.8406107529625</v>
      </c>
      <c r="I16" s="3030">
        <f t="shared" si="4"/>
        <v>68.295656715126512</v>
      </c>
      <c r="J16" s="3031">
        <f t="shared" si="1"/>
        <v>42743.936465553903</v>
      </c>
    </row>
    <row r="17" spans="2:10" s="83" customFormat="1" ht="18" customHeight="1" x14ac:dyDescent="0.2">
      <c r="B17" s="20" t="s">
        <v>81</v>
      </c>
      <c r="C17" s="3032">
        <f>'Table1.A(a)s2'!H17</f>
        <v>1534.5421528777001</v>
      </c>
      <c r="D17" s="3032">
        <f>'Table1.A(a)s2'!I17</f>
        <v>3.5110412790517409E-2</v>
      </c>
      <c r="E17" s="3032">
        <f>'Table1.A(a)s2'!J17</f>
        <v>1.9792865479564554E-2</v>
      </c>
      <c r="F17" s="3033">
        <v>17.523967686323367</v>
      </c>
      <c r="G17" s="3033">
        <v>2.8421336171094445</v>
      </c>
      <c r="H17" s="3033">
        <v>0.31014339835052418</v>
      </c>
      <c r="I17" s="3034">
        <v>7.419970282975977</v>
      </c>
      <c r="J17" s="3035">
        <f t="shared" si="1"/>
        <v>1540.7703537879192</v>
      </c>
    </row>
    <row r="18" spans="2:10" s="83" customFormat="1" ht="18" customHeight="1" x14ac:dyDescent="0.2">
      <c r="B18" s="20" t="s">
        <v>82</v>
      </c>
      <c r="C18" s="3032">
        <f>'Table1.A(a)s2'!H24</f>
        <v>12699.305762036434</v>
      </c>
      <c r="D18" s="3032">
        <f>'Table1.A(a)s2'!I24</f>
        <v>0.22143960083460296</v>
      </c>
      <c r="E18" s="3032">
        <f>'Table1.A(a)s2'!J24</f>
        <v>0.14107617755570978</v>
      </c>
      <c r="F18" s="3033">
        <v>83.585461529973045</v>
      </c>
      <c r="G18" s="3033">
        <v>13.713196830471244</v>
      </c>
      <c r="H18" s="3033">
        <v>1.600323691016968</v>
      </c>
      <c r="I18" s="3034">
        <v>29.217513045570168</v>
      </c>
      <c r="J18" s="3035">
        <f t="shared" si="1"/>
        <v>12742.891257912066</v>
      </c>
    </row>
    <row r="19" spans="2:10" s="83" customFormat="1" ht="18" customHeight="1" x14ac:dyDescent="0.2">
      <c r="B19" s="20" t="s">
        <v>83</v>
      </c>
      <c r="C19" s="3032">
        <f>'Table1.A(a)s2'!H31</f>
        <v>8542.4063994249555</v>
      </c>
      <c r="D19" s="3032">
        <f>'Table1.A(a)s2'!I31</f>
        <v>0.21722175213615327</v>
      </c>
      <c r="E19" s="3032">
        <f>'Table1.A(a)s2'!J31</f>
        <v>9.0524541526515429E-2</v>
      </c>
      <c r="F19" s="3033">
        <v>55.988379642008269</v>
      </c>
      <c r="G19" s="3033">
        <v>14.303457876070304</v>
      </c>
      <c r="H19" s="3033">
        <v>7.5603981081911442</v>
      </c>
      <c r="I19" s="3034">
        <v>8.1661702856627745</v>
      </c>
      <c r="J19" s="3035">
        <f t="shared" si="1"/>
        <v>8572.477611989294</v>
      </c>
    </row>
    <row r="20" spans="2:10" s="83" customFormat="1" ht="18" customHeight="1" x14ac:dyDescent="0.2">
      <c r="B20" s="20" t="s">
        <v>84</v>
      </c>
      <c r="C20" s="3032">
        <f>'Table1.A(a)s2'!H38</f>
        <v>958.29913855989116</v>
      </c>
      <c r="D20" s="3032">
        <f>'Table1.A(a)s2'!I38</f>
        <v>0.1995950143728521</v>
      </c>
      <c r="E20" s="3032">
        <f>'Table1.A(a)s2'!J38</f>
        <v>0.13181670955611058</v>
      </c>
      <c r="F20" s="3033">
        <v>7.3421625936589621</v>
      </c>
      <c r="G20" s="3033">
        <v>5.399937789385362</v>
      </c>
      <c r="H20" s="3033">
        <v>0.45700428870664422</v>
      </c>
      <c r="I20" s="3034">
        <v>1.3083297388407558</v>
      </c>
      <c r="J20" s="3035">
        <f t="shared" si="1"/>
        <v>998.81922699470033</v>
      </c>
    </row>
    <row r="21" spans="2:10" s="83" customFormat="1" ht="18" customHeight="1" x14ac:dyDescent="0.2">
      <c r="B21" s="20" t="s">
        <v>85</v>
      </c>
      <c r="C21" s="3032">
        <f>'Table1.A(a)s2'!H45</f>
        <v>2768.0679837821435</v>
      </c>
      <c r="D21" s="3032">
        <f>'Table1.A(a)s2'!I45</f>
        <v>0.89661948982093864</v>
      </c>
      <c r="E21" s="3032">
        <f>'Table1.A(a)s2'!J45</f>
        <v>0.575923121085398</v>
      </c>
      <c r="F21" s="3033">
        <v>24.308617891173423</v>
      </c>
      <c r="G21" s="3033">
        <v>24.150946217299566</v>
      </c>
      <c r="H21" s="3033">
        <v>1.5916009912647062</v>
      </c>
      <c r="I21" s="3034">
        <v>3.4410665924617869</v>
      </c>
      <c r="J21" s="3035">
        <f t="shared" si="1"/>
        <v>2945.7929565847603</v>
      </c>
    </row>
    <row r="22" spans="2:10" s="83" customFormat="1" ht="18" customHeight="1" x14ac:dyDescent="0.2">
      <c r="B22" s="20" t="s">
        <v>86</v>
      </c>
      <c r="C22" s="3032">
        <f>'Table1.A(a)s2'!H52</f>
        <v>5248.1709992792148</v>
      </c>
      <c r="D22" s="3032">
        <f>'Table1.A(a)s2'!I52</f>
        <v>0.36434910439279566</v>
      </c>
      <c r="E22" s="3032">
        <f>'Table1.A(a)s2'!J52</f>
        <v>4.9464196723716949E-2</v>
      </c>
      <c r="F22" s="3033">
        <v>81.928307916749745</v>
      </c>
      <c r="G22" s="3033">
        <v>29.410856549911973</v>
      </c>
      <c r="H22" s="3033">
        <v>20.708615613545973</v>
      </c>
      <c r="I22" s="3034">
        <v>8.3736640460198029</v>
      </c>
      <c r="J22" s="3035">
        <f t="shared" si="1"/>
        <v>5271.4807863339975</v>
      </c>
    </row>
    <row r="23" spans="2:10" s="83" customFormat="1" ht="18" customHeight="1" thickBot="1" x14ac:dyDescent="0.25">
      <c r="B23" s="3060" t="s">
        <v>2115</v>
      </c>
      <c r="C23" s="3032">
        <f>'Table1.A(a)s2'!H59</f>
        <v>10528.547784612676</v>
      </c>
      <c r="D23" s="3032">
        <f>'Table1.A(a)s2'!I59</f>
        <v>0.55294785753605347</v>
      </c>
      <c r="E23" s="3032">
        <f>'Table1.A(a)s2'!J59</f>
        <v>0.48178848048105144</v>
      </c>
      <c r="F23" s="3033">
        <v>473.09990757967387</v>
      </c>
      <c r="G23" s="3033">
        <v>149.7400224850721</v>
      </c>
      <c r="H23" s="3033">
        <v>68.612524661886539</v>
      </c>
      <c r="I23" s="3034">
        <v>10.368942723595252</v>
      </c>
      <c r="J23" s="3035">
        <f t="shared" si="1"/>
        <v>10671.704271951165</v>
      </c>
    </row>
    <row r="24" spans="2:10" s="83" customFormat="1" ht="18" customHeight="1" x14ac:dyDescent="0.2">
      <c r="B24" s="25" t="s">
        <v>87</v>
      </c>
      <c r="C24" s="3029">
        <f>IF(SUM(C25:C29)=0,"NO",SUM(C25:C29))</f>
        <v>93380.354578501909</v>
      </c>
      <c r="D24" s="3029">
        <f t="shared" ref="D24:I24" si="5">IF(SUM(D25:D29)=0,"NO",SUM(D25:D29))</f>
        <v>15.183220360497986</v>
      </c>
      <c r="E24" s="3029">
        <f t="shared" si="5"/>
        <v>5.4738715668083655</v>
      </c>
      <c r="F24" s="3029">
        <f t="shared" si="5"/>
        <v>306.87821773856359</v>
      </c>
      <c r="G24" s="3029">
        <f t="shared" si="5"/>
        <v>1212.7304071241217</v>
      </c>
      <c r="H24" s="3029">
        <f t="shared" si="5"/>
        <v>238.96109756976935</v>
      </c>
      <c r="I24" s="3030">
        <f t="shared" si="5"/>
        <v>23.988528753319741</v>
      </c>
      <c r="J24" s="3031">
        <f t="shared" si="1"/>
        <v>95256.060713800063</v>
      </c>
    </row>
    <row r="25" spans="2:10" s="83" customFormat="1" ht="18" customHeight="1" x14ac:dyDescent="0.2">
      <c r="B25" s="20" t="s">
        <v>88</v>
      </c>
      <c r="C25" s="1878">
        <f>'Table1.A(a)s3'!H16</f>
        <v>8530.4763505596493</v>
      </c>
      <c r="D25" s="1878">
        <f>'Table1.A(a)s3'!I16</f>
        <v>3.3143617507473994E-2</v>
      </c>
      <c r="E25" s="1878">
        <f>'Table1.A(a)s3'!J16</f>
        <v>6.3929280466967872E-2</v>
      </c>
      <c r="F25" s="3033">
        <v>29.067913555042399</v>
      </c>
      <c r="G25" s="3033">
        <v>18.66662262324148</v>
      </c>
      <c r="H25" s="3033">
        <v>1.8280512760207783</v>
      </c>
      <c r="I25" s="3034">
        <v>1.0057321617714774</v>
      </c>
      <c r="J25" s="3035">
        <f t="shared" si="1"/>
        <v>8548.3456311736045</v>
      </c>
    </row>
    <row r="26" spans="2:10" s="83" customFormat="1" ht="18" customHeight="1" x14ac:dyDescent="0.2">
      <c r="B26" s="20" t="s">
        <v>89</v>
      </c>
      <c r="C26" s="1878">
        <f>'Table1.A(a)s3'!H20</f>
        <v>79464.036664504863</v>
      </c>
      <c r="D26" s="1878">
        <f>'Table1.A(a)s3'!I20</f>
        <v>10.263429594038081</v>
      </c>
      <c r="E26" s="1878">
        <f>'Table1.A(a)s3'!J20</f>
        <v>3.9862450948309904</v>
      </c>
      <c r="F26" s="3033">
        <v>187.79686760069939</v>
      </c>
      <c r="G26" s="3033">
        <v>926.25903961440736</v>
      </c>
      <c r="H26" s="3033">
        <v>192.23189435444803</v>
      </c>
      <c r="I26" s="3034">
        <v>17.039513556395921</v>
      </c>
      <c r="J26" s="3035">
        <f t="shared" si="1"/>
        <v>80807.767643268147</v>
      </c>
    </row>
    <row r="27" spans="2:10" s="83" customFormat="1" ht="18" customHeight="1" x14ac:dyDescent="0.2">
      <c r="B27" s="20" t="s">
        <v>90</v>
      </c>
      <c r="C27" s="1878">
        <f>'Table1.A(a)s3'!H81</f>
        <v>3238.9971680000003</v>
      </c>
      <c r="D27" s="1878">
        <f>'Table1.A(a)s3'!I81</f>
        <v>0.18534400000000001</v>
      </c>
      <c r="E27" s="1878">
        <f>'Table1.A(a)s3'!J81</f>
        <v>1.3900799999999998</v>
      </c>
      <c r="F27" s="3033">
        <v>70.894079999999988</v>
      </c>
      <c r="G27" s="3033">
        <v>9.3598719999999993</v>
      </c>
      <c r="H27" s="3033">
        <v>3.2898559999999994</v>
      </c>
      <c r="I27" s="3034">
        <v>2.6438943994601884</v>
      </c>
      <c r="J27" s="3035">
        <f t="shared" si="1"/>
        <v>3612.5580000000004</v>
      </c>
    </row>
    <row r="28" spans="2:10" s="83" customFormat="1" ht="18" customHeight="1" x14ac:dyDescent="0.2">
      <c r="B28" s="20" t="s">
        <v>91</v>
      </c>
      <c r="C28" s="1878">
        <f>'Table1.A(a)s3'!H88</f>
        <v>1564.5610350060367</v>
      </c>
      <c r="D28" s="1878">
        <f>'Table1.A(a)s3'!I88</f>
        <v>4.5839209246066366</v>
      </c>
      <c r="E28" s="1878">
        <f>'Table1.A(a)s3'!J88</f>
        <v>3.2427773106085071E-2</v>
      </c>
      <c r="F28" s="3033">
        <v>16.891127934395087</v>
      </c>
      <c r="G28" s="3033">
        <v>253.43775104876656</v>
      </c>
      <c r="H28" s="3033">
        <v>40.885420790389908</v>
      </c>
      <c r="I28" s="3034">
        <v>3.2943293450733808</v>
      </c>
      <c r="J28" s="3035">
        <f t="shared" si="1"/>
        <v>1701.504180768135</v>
      </c>
    </row>
    <row r="29" spans="2:10" s="83" customFormat="1" ht="18" customHeight="1" thickBot="1" x14ac:dyDescent="0.25">
      <c r="B29" s="22" t="s">
        <v>92</v>
      </c>
      <c r="C29" s="1881">
        <f>'Table1.A(a)s3'!H99</f>
        <v>582.28336043136494</v>
      </c>
      <c r="D29" s="1881">
        <f>'Table1.A(a)s3'!I99</f>
        <v>0.11738222434579504</v>
      </c>
      <c r="E29" s="1881">
        <f>'Table1.A(a)s3'!J99</f>
        <v>1.1894184043229096E-3</v>
      </c>
      <c r="F29" s="3040">
        <v>2.2282286484267653</v>
      </c>
      <c r="G29" s="3040">
        <v>5.0071218377063076</v>
      </c>
      <c r="H29" s="3040">
        <v>0.72587514891066085</v>
      </c>
      <c r="I29" s="3041">
        <v>5.0592906187753228E-3</v>
      </c>
      <c r="J29" s="3042">
        <f t="shared" si="1"/>
        <v>585.88525859019273</v>
      </c>
    </row>
    <row r="30" spans="2:10" ht="18" customHeight="1" x14ac:dyDescent="0.2">
      <c r="B30" s="26" t="s">
        <v>93</v>
      </c>
      <c r="C30" s="3029">
        <f>IF(SUM(C31:C33)=0,"NO",SUM(C31:C33))</f>
        <v>21335.584177847282</v>
      </c>
      <c r="D30" s="3029">
        <f t="shared" ref="D30" si="6">IF(SUM(D31:D33)=0,"NO",SUM(D31:D33))</f>
        <v>37.157189392663291</v>
      </c>
      <c r="E30" s="3029">
        <f t="shared" ref="E30" si="7">IF(SUM(E31:E33)=0,"NO",SUM(E31:E33))</f>
        <v>0.69205372598082704</v>
      </c>
      <c r="F30" s="3029">
        <f t="shared" ref="F30" si="8">IF(SUM(F31:F33)=0,"NO",SUM(F31:F33))</f>
        <v>383.66676256392719</v>
      </c>
      <c r="G30" s="3029">
        <f t="shared" ref="G30" si="9">IF(SUM(G31:G33)=0,"NO",SUM(G31:G33))</f>
        <v>658.06325806463531</v>
      </c>
      <c r="H30" s="3029">
        <f t="shared" ref="H30" si="10">IF(SUM(H31:H33)=0,"NO",SUM(H31:H33))</f>
        <v>116.43202654862586</v>
      </c>
      <c r="I30" s="3030">
        <f t="shared" ref="I30" si="11">IF(SUM(I31:I33)=0,"NO",SUM(I31:I33))</f>
        <v>8.269669539287964</v>
      </c>
      <c r="J30" s="3043">
        <f t="shared" si="1"/>
        <v>22559.379718226774</v>
      </c>
    </row>
    <row r="31" spans="2:10" ht="18" customHeight="1" x14ac:dyDescent="0.2">
      <c r="B31" s="20" t="s">
        <v>94</v>
      </c>
      <c r="C31" s="3032">
        <f>'Table1.A(a)s4'!H17</f>
        <v>5183.5398118242083</v>
      </c>
      <c r="D31" s="3032">
        <f>'Table1.A(a)s4'!I17</f>
        <v>0.11647174466850535</v>
      </c>
      <c r="E31" s="3032">
        <f>'Table1.A(a)s4'!J17</f>
        <v>0.10062140219915497</v>
      </c>
      <c r="F31" s="3033">
        <v>35.663562100826852</v>
      </c>
      <c r="G31" s="3033">
        <v>12.841979916702115</v>
      </c>
      <c r="H31" s="3033">
        <v>5.1281121288558458</v>
      </c>
      <c r="I31" s="3034">
        <v>2.7472023906875669</v>
      </c>
      <c r="J31" s="3035">
        <f t="shared" si="1"/>
        <v>5213.4656922577033</v>
      </c>
    </row>
    <row r="32" spans="2:10" ht="18" customHeight="1" x14ac:dyDescent="0.2">
      <c r="B32" s="20" t="s">
        <v>95</v>
      </c>
      <c r="C32" s="3032">
        <f>'Table1.A(a)s4'!H38</f>
        <v>9498.1362898578391</v>
      </c>
      <c r="D32" s="3032">
        <f>'Table1.A(a)s4'!I38</f>
        <v>36.396941079045341</v>
      </c>
      <c r="E32" s="3032">
        <f>'Table1.A(a)s4'!J38</f>
        <v>0.25045507612636003</v>
      </c>
      <c r="F32" s="3033">
        <v>12.929203944293175</v>
      </c>
      <c r="G32" s="3033">
        <v>496.68836753899285</v>
      </c>
      <c r="H32" s="3033">
        <v>58.728018743156916</v>
      </c>
      <c r="I32" s="3034">
        <v>0.55693535463535293</v>
      </c>
      <c r="J32" s="3035">
        <f t="shared" si="1"/>
        <v>10583.621235244593</v>
      </c>
    </row>
    <row r="33" spans="2:10" ht="18" customHeight="1" thickBot="1" x14ac:dyDescent="0.25">
      <c r="B33" s="20" t="s">
        <v>96</v>
      </c>
      <c r="C33" s="3032">
        <f>'Table1.A(a)s4'!H59</f>
        <v>6653.9080761652331</v>
      </c>
      <c r="D33" s="3032">
        <f>'Table1.A(a)s4'!I59</f>
        <v>0.64377656894944346</v>
      </c>
      <c r="E33" s="3032">
        <f>'Table1.A(a)s4'!J59</f>
        <v>0.34097724765531201</v>
      </c>
      <c r="F33" s="3033">
        <v>335.07399651880718</v>
      </c>
      <c r="G33" s="3033">
        <v>148.53291060894034</v>
      </c>
      <c r="H33" s="3033">
        <v>52.575895676613086</v>
      </c>
      <c r="I33" s="3034">
        <v>4.9655317939650452</v>
      </c>
      <c r="J33" s="3035">
        <f t="shared" si="1"/>
        <v>6762.2927907244748</v>
      </c>
    </row>
    <row r="34" spans="2:10" ht="18" customHeight="1" x14ac:dyDescent="0.2">
      <c r="B34" s="25" t="s">
        <v>2116</v>
      </c>
      <c r="C34" s="3029">
        <f>IF(SUM(C35:C36)=0,"NO",SUM(C35:C36))</f>
        <v>937.31808997989651</v>
      </c>
      <c r="D34" s="3029">
        <f t="shared" ref="D34:E34" si="12">IF(SUM(D35:D36)=0,"NO",SUM(D35:D36))</f>
        <v>2.7253596553021842E-2</v>
      </c>
      <c r="E34" s="3029">
        <f t="shared" si="12"/>
        <v>2.6063851500097154E-2</v>
      </c>
      <c r="F34" s="3029">
        <f t="shared" ref="F34:I34" si="13">IF(SUM(F35:F36)=0,"NO",SUM(F35:F36))</f>
        <v>7.22284539342317</v>
      </c>
      <c r="G34" s="3029">
        <f t="shared" si="13"/>
        <v>3.367722329417203</v>
      </c>
      <c r="H34" s="3029">
        <f t="shared" si="13"/>
        <v>0.52606828526825744</v>
      </c>
      <c r="I34" s="3030">
        <f t="shared" si="13"/>
        <v>0.3054557952514026</v>
      </c>
      <c r="J34" s="3031">
        <f t="shared" si="1"/>
        <v>944.98811133090692</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937.31808997989651</v>
      </c>
      <c r="D36" s="3044">
        <f>'Table1.A(a)s4'!I108</f>
        <v>2.7253596553021842E-2</v>
      </c>
      <c r="E36" s="3044">
        <f>'Table1.A(a)s4'!J108</f>
        <v>2.6063851500097154E-2</v>
      </c>
      <c r="F36" s="3040">
        <v>7.22284539342317</v>
      </c>
      <c r="G36" s="3040">
        <v>3.367722329417203</v>
      </c>
      <c r="H36" s="3040">
        <v>0.52606828526825744</v>
      </c>
      <c r="I36" s="3041">
        <v>0.3054557952514026</v>
      </c>
      <c r="J36" s="3042">
        <f t="shared" si="1"/>
        <v>944.98811133090692</v>
      </c>
    </row>
    <row r="37" spans="2:10" ht="18" customHeight="1" thickBot="1" x14ac:dyDescent="0.25">
      <c r="B37" s="18" t="s">
        <v>99</v>
      </c>
      <c r="C37" s="3029">
        <f>IF(SUM(C38,C42)=0,"NO",SUM(C38,C42))</f>
        <v>10827.854155000094</v>
      </c>
      <c r="D37" s="3029">
        <f t="shared" ref="D37:I37" si="14">IF(SUM(D38,D42)=0,"NO",SUM(D38,D42))</f>
        <v>1335.8182770337737</v>
      </c>
      <c r="E37" s="3029">
        <f t="shared" si="14"/>
        <v>0.16054787929369538</v>
      </c>
      <c r="F37" s="3029">
        <f t="shared" si="14"/>
        <v>2.5947867690000002</v>
      </c>
      <c r="G37" s="3029">
        <f t="shared" si="14"/>
        <v>15.049763260199999</v>
      </c>
      <c r="H37" s="3029">
        <f t="shared" si="14"/>
        <v>235.91040372063219</v>
      </c>
      <c r="I37" s="3030" t="str">
        <f t="shared" si="14"/>
        <v>NO</v>
      </c>
      <c r="J37" s="3031">
        <f t="shared" si="1"/>
        <v>48273.311099958592</v>
      </c>
    </row>
    <row r="38" spans="2:10" ht="18" customHeight="1" x14ac:dyDescent="0.2">
      <c r="B38" s="26" t="s">
        <v>100</v>
      </c>
      <c r="C38" s="3029">
        <f>IF(SUM(C39:C41)=0,"NO",SUM(C39:C41))</f>
        <v>1909.730431069916</v>
      </c>
      <c r="D38" s="3029">
        <f t="shared" ref="D38" si="15">IF(SUM(D39:D41)=0,"NO",SUM(D39:D41))</f>
        <v>1098.9890253266331</v>
      </c>
      <c r="E38" s="3029">
        <f t="shared" ref="E38" si="16">IF(SUM(E39:E41)=0,"NO",SUM(E39:E41))</f>
        <v>1.2925263983728057E-3</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32681.765659711207</v>
      </c>
    </row>
    <row r="39" spans="2:10" ht="18" customHeight="1" x14ac:dyDescent="0.2">
      <c r="B39" s="20" t="s">
        <v>101</v>
      </c>
      <c r="C39" s="3032">
        <f>'Table1.B.1'!G10</f>
        <v>1909.730431069916</v>
      </c>
      <c r="D39" s="3032">
        <f>SUM('Table1.B.1'!F10,'Table1.B.1'!H10)</f>
        <v>1098.9890253266331</v>
      </c>
      <c r="E39" s="3033">
        <v>1.2925263983728057E-3</v>
      </c>
      <c r="F39" s="3033" t="s">
        <v>2146</v>
      </c>
      <c r="G39" s="3033" t="s">
        <v>2146</v>
      </c>
      <c r="H39" s="3033" t="s">
        <v>2146</v>
      </c>
      <c r="I39" s="2931"/>
      <c r="J39" s="3035">
        <f t="shared" si="1"/>
        <v>32681.765659711207</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8918.1237239301772</v>
      </c>
      <c r="D42" s="3029">
        <f t="shared" ref="D42:I42" si="21">IF(SUM(D43:D46)=0,"NO",SUM(D43:D46))</f>
        <v>236.82925170714071</v>
      </c>
      <c r="E42" s="3029">
        <f t="shared" si="21"/>
        <v>0.15925535289532258</v>
      </c>
      <c r="F42" s="3029">
        <f t="shared" si="21"/>
        <v>2.5947867690000002</v>
      </c>
      <c r="G42" s="3029">
        <f t="shared" si="21"/>
        <v>15.049763260199999</v>
      </c>
      <c r="H42" s="3029">
        <f t="shared" si="21"/>
        <v>235.91040372063219</v>
      </c>
      <c r="I42" s="3030" t="str">
        <f t="shared" si="21"/>
        <v>NO</v>
      </c>
      <c r="J42" s="3031">
        <f t="shared" ref="J42:J59" si="22">IF(SUM(C42:E42)=0,"NO",SUM(C42,IFERROR(28*D42,0),IFERROR(265*E42,0)))</f>
        <v>15591.545440247377</v>
      </c>
    </row>
    <row r="43" spans="2:10" ht="18" customHeight="1" x14ac:dyDescent="0.2">
      <c r="B43" s="20" t="s">
        <v>103</v>
      </c>
      <c r="C43" s="3032">
        <f>'Table1.B.2'!I10</f>
        <v>171.22726698</v>
      </c>
      <c r="D43" s="3032">
        <f>'Table1.B.2'!J10</f>
        <v>5.3615158419037634</v>
      </c>
      <c r="E43" s="3032">
        <f>'Table1.B.2'!K10</f>
        <v>5.1463482840000008E-3</v>
      </c>
      <c r="F43" s="3033">
        <v>9.5302746000000008E-2</v>
      </c>
      <c r="G43" s="3033">
        <v>0.55275592679999996</v>
      </c>
      <c r="H43" s="3033">
        <v>123.98955454645392</v>
      </c>
      <c r="I43" s="3034" t="s">
        <v>2146</v>
      </c>
      <c r="J43" s="3035">
        <f t="shared" si="22"/>
        <v>322.71349284856541</v>
      </c>
    </row>
    <row r="44" spans="2:10" ht="18" customHeight="1" x14ac:dyDescent="0.2">
      <c r="B44" s="20" t="s">
        <v>104</v>
      </c>
      <c r="C44" s="3032">
        <f>SUM('Table1.B.2'!I21,'Table1.B.2'!L21)</f>
        <v>58.097106280748143</v>
      </c>
      <c r="D44" s="3032">
        <f>'Table1.B.2'!J21</f>
        <v>152.73671019486346</v>
      </c>
      <c r="E44" s="3032">
        <f>'Table1.B.2'!K21</f>
        <v>1.459641708E-3</v>
      </c>
      <c r="F44" s="3033">
        <v>2.7030401999999995E-2</v>
      </c>
      <c r="G44" s="3033">
        <v>0.15677633159999999</v>
      </c>
      <c r="H44" s="3033">
        <v>87.196312964178276</v>
      </c>
      <c r="I44" s="3034" t="s">
        <v>2146</v>
      </c>
      <c r="J44" s="3035">
        <f t="shared" si="22"/>
        <v>4335.1117967895452</v>
      </c>
    </row>
    <row r="45" spans="2:10" ht="18" customHeight="1" x14ac:dyDescent="0.2">
      <c r="B45" s="20" t="s">
        <v>105</v>
      </c>
      <c r="C45" s="3032">
        <f>'Table1.B.2'!I35</f>
        <v>8688.7993506694293</v>
      </c>
      <c r="D45" s="3032">
        <f>'Table1.B.2'!J35</f>
        <v>78.731025670373498</v>
      </c>
      <c r="E45" s="3032">
        <f>'Table1.B.2'!K35</f>
        <v>0.15264936290332259</v>
      </c>
      <c r="F45" s="3033">
        <v>2.4724536210000001</v>
      </c>
      <c r="G45" s="3033">
        <v>14.340231001799999</v>
      </c>
      <c r="H45" s="3033">
        <v>24.724536209999997</v>
      </c>
      <c r="I45" s="3034" t="s">
        <v>2146</v>
      </c>
      <c r="J45" s="3035">
        <f t="shared" si="22"/>
        <v>10933.720150609268</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14067.179558613647</v>
      </c>
      <c r="D52" s="3032">
        <f t="shared" ref="D52:I52" si="23">IF(SUM(D53:D54)=0,"NO",SUM(D53:D54))</f>
        <v>0.24197975523076934</v>
      </c>
      <c r="E52" s="3032">
        <f t="shared" si="23"/>
        <v>0.1212933742847451</v>
      </c>
      <c r="F52" s="3032">
        <f t="shared" si="23"/>
        <v>121.82127606406667</v>
      </c>
      <c r="G52" s="3032">
        <f t="shared" si="23"/>
        <v>20.3541464533469</v>
      </c>
      <c r="H52" s="3032">
        <f t="shared" si="23"/>
        <v>10.98521157754784</v>
      </c>
      <c r="I52" s="3055">
        <f t="shared" si="23"/>
        <v>37.599434767266885</v>
      </c>
      <c r="J52" s="3035">
        <f t="shared" si="22"/>
        <v>14106.097735945566</v>
      </c>
    </row>
    <row r="53" spans="2:10" ht="18" customHeight="1" x14ac:dyDescent="0.2">
      <c r="B53" s="164" t="s">
        <v>111</v>
      </c>
      <c r="C53" s="3032">
        <f>Table1.D!G10</f>
        <v>11822.063913813647</v>
      </c>
      <c r="D53" s="3032">
        <f>Table1.D!H10</f>
        <v>2.7569979230769232E-2</v>
      </c>
      <c r="E53" s="3032">
        <f>Table1.D!I10</f>
        <v>6.0033438284745083E-2</v>
      </c>
      <c r="F53" s="3033">
        <v>61.611340064066631</v>
      </c>
      <c r="G53" s="3033">
        <v>18.708927861346901</v>
      </c>
      <c r="H53" s="3033">
        <v>9.0980235935478397</v>
      </c>
      <c r="I53" s="3034">
        <v>1.3928293691562057</v>
      </c>
      <c r="J53" s="3035">
        <f t="shared" si="22"/>
        <v>11838.744734377566</v>
      </c>
    </row>
    <row r="54" spans="2:10" ht="18" customHeight="1" x14ac:dyDescent="0.2">
      <c r="B54" s="164" t="s">
        <v>112</v>
      </c>
      <c r="C54" s="3032">
        <f>Table1.D!G14</f>
        <v>2245.1156448000011</v>
      </c>
      <c r="D54" s="3032">
        <f>Table1.D!H14</f>
        <v>0.21440977600000011</v>
      </c>
      <c r="E54" s="3032">
        <f>Table1.D!I14</f>
        <v>6.1259936000000022E-2</v>
      </c>
      <c r="F54" s="3033">
        <v>60.209936000000027</v>
      </c>
      <c r="G54" s="3033">
        <v>1.6452185920000002</v>
      </c>
      <c r="H54" s="3033">
        <v>1.8871879840000008</v>
      </c>
      <c r="I54" s="3034">
        <v>36.206605398110682</v>
      </c>
      <c r="J54" s="3035">
        <f t="shared" si="22"/>
        <v>2267.3530015680008</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19106.935055972721</v>
      </c>
      <c r="D56" s="3056"/>
      <c r="E56" s="3056"/>
      <c r="F56" s="3056"/>
      <c r="G56" s="3056"/>
      <c r="H56" s="3056"/>
      <c r="I56" s="2971"/>
      <c r="J56" s="3039">
        <f t="shared" si="22"/>
        <v>19106.935055972721</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131933.344631221</v>
      </c>
      <c r="D10" s="3549" t="s">
        <v>2146</v>
      </c>
      <c r="E10" s="3549">
        <v>18.403045291000002</v>
      </c>
      <c r="F10" s="3549">
        <v>460.26765014199998</v>
      </c>
      <c r="G10" s="3549" t="s">
        <v>2146</v>
      </c>
      <c r="H10" s="3549" t="s">
        <v>2146</v>
      </c>
      <c r="I10" s="3549" t="s">
        <v>2146</v>
      </c>
      <c r="J10" s="3549">
        <v>17.531386677</v>
      </c>
      <c r="K10" s="3549" t="s">
        <v>2146</v>
      </c>
      <c r="L10" s="3549" t="s">
        <v>2146</v>
      </c>
      <c r="M10" s="3550">
        <f>IF(SUM(C10:L10)=0,"NO",SUM(C10:L10))</f>
        <v>132429.54671333099</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21.575176485</v>
      </c>
      <c r="D12" s="3549" t="s">
        <v>2146</v>
      </c>
      <c r="E12" s="3549">
        <v>39956.489651427</v>
      </c>
      <c r="F12" s="3549" t="s">
        <v>2153</v>
      </c>
      <c r="G12" s="3549" t="s">
        <v>2146</v>
      </c>
      <c r="H12" s="3549" t="s">
        <v>2153</v>
      </c>
      <c r="I12" s="3549" t="s">
        <v>2146</v>
      </c>
      <c r="J12" s="3549" t="s">
        <v>2153</v>
      </c>
      <c r="K12" s="3549" t="s">
        <v>2146</v>
      </c>
      <c r="L12" s="3549" t="s">
        <v>2146</v>
      </c>
      <c r="M12" s="3550">
        <f t="shared" si="0"/>
        <v>39978.064827912</v>
      </c>
    </row>
    <row r="13" spans="2:13" ht="18" customHeight="1" x14ac:dyDescent="0.2">
      <c r="B13" s="2277" t="s">
        <v>1961</v>
      </c>
      <c r="C13" s="3549">
        <v>800.96451735000005</v>
      </c>
      <c r="D13" s="3549" t="s">
        <v>2146</v>
      </c>
      <c r="E13" s="3549" t="s">
        <v>2153</v>
      </c>
      <c r="F13" s="3549">
        <v>520227.66732337902</v>
      </c>
      <c r="G13" s="3549" t="s">
        <v>2146</v>
      </c>
      <c r="H13" s="3549" t="s">
        <v>2153</v>
      </c>
      <c r="I13" s="3549" t="s">
        <v>2146</v>
      </c>
      <c r="J13" s="3549" t="s">
        <v>2153</v>
      </c>
      <c r="K13" s="3549" t="s">
        <v>2146</v>
      </c>
      <c r="L13" s="3549" t="s">
        <v>2146</v>
      </c>
      <c r="M13" s="3550">
        <f t="shared" si="0"/>
        <v>521028.63184072904</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9.4268906710000007</v>
      </c>
      <c r="D15" s="3549" t="s">
        <v>2146</v>
      </c>
      <c r="E15" s="3549">
        <v>0.63304705100000003</v>
      </c>
      <c r="F15" s="3549">
        <v>2.443871627</v>
      </c>
      <c r="G15" s="3549" t="s">
        <v>2146</v>
      </c>
      <c r="H15" s="3549">
        <v>13161.592425237</v>
      </c>
      <c r="I15" s="3549" t="s">
        <v>2146</v>
      </c>
      <c r="J15" s="3549" t="s">
        <v>2146</v>
      </c>
      <c r="K15" s="3549" t="s">
        <v>2146</v>
      </c>
      <c r="L15" s="3549" t="s">
        <v>2146</v>
      </c>
      <c r="M15" s="3550">
        <f t="shared" si="0"/>
        <v>13174.096234586001</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12.982289473</v>
      </c>
      <c r="D17" s="3549" t="s">
        <v>2146</v>
      </c>
      <c r="E17" s="3549" t="s">
        <v>2146</v>
      </c>
      <c r="F17" s="3549" t="s">
        <v>2146</v>
      </c>
      <c r="G17" s="3549" t="s">
        <v>2146</v>
      </c>
      <c r="H17" s="3549" t="s">
        <v>2146</v>
      </c>
      <c r="I17" s="3549" t="s">
        <v>2146</v>
      </c>
      <c r="J17" s="3549">
        <v>1513.0492481480001</v>
      </c>
      <c r="K17" s="3549" t="s">
        <v>2146</v>
      </c>
      <c r="L17" s="3549" t="s">
        <v>2146</v>
      </c>
      <c r="M17" s="3550">
        <f t="shared" si="0"/>
        <v>1526.0315376210001</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132778.29350519998</v>
      </c>
      <c r="D20" s="3551" t="str">
        <f t="shared" ref="D20:L20" si="1">IF(SUM(D10:D19)=0,"NO",SUM(D10:D19))</f>
        <v>NO</v>
      </c>
      <c r="E20" s="3551">
        <f t="shared" si="1"/>
        <v>39975.525743769002</v>
      </c>
      <c r="F20" s="3551">
        <f t="shared" si="1"/>
        <v>520690.37884514802</v>
      </c>
      <c r="G20" s="3551" t="str">
        <f t="shared" si="1"/>
        <v>NO</v>
      </c>
      <c r="H20" s="3551">
        <f t="shared" si="1"/>
        <v>13161.592425237</v>
      </c>
      <c r="I20" s="3551" t="str">
        <f t="shared" si="1"/>
        <v>NO</v>
      </c>
      <c r="J20" s="3551">
        <f t="shared" si="1"/>
        <v>1530.5806348250001</v>
      </c>
      <c r="K20" s="3551">
        <f t="shared" si="1"/>
        <v>60692.328845821001</v>
      </c>
      <c r="L20" s="3551" t="str">
        <f t="shared" si="1"/>
        <v>NO</v>
      </c>
      <c r="M20" s="3550">
        <f t="shared" si="0"/>
        <v>768828.7</v>
      </c>
    </row>
    <row r="21" spans="2:13" ht="18" customHeight="1" thickBot="1" x14ac:dyDescent="0.25">
      <c r="B21" s="2279" t="s">
        <v>1968</v>
      </c>
      <c r="C21" s="3552">
        <f>IF(SUM(C20)=0,"NO",C20-M10)</f>
        <v>348.74679186899448</v>
      </c>
      <c r="D21" s="3552" t="str">
        <f>IF(SUM(D20)=0,"NO",D20-M11)</f>
        <v>NO</v>
      </c>
      <c r="E21" s="3552">
        <f>IF(SUM(E20)=0,"NO",E20-M12)</f>
        <v>-2.5390841429980355</v>
      </c>
      <c r="F21" s="3552">
        <f>IF(SUM(F20)=0,"NO",F20-M13)</f>
        <v>-338.25299558101688</v>
      </c>
      <c r="G21" s="3552" t="str">
        <f>IF(SUM(G20)=0,"NO",G20-M14)</f>
        <v>NO</v>
      </c>
      <c r="H21" s="3552">
        <f>IF(SUM(H20)=0,"NO",H20-M15)</f>
        <v>-12.503809349000221</v>
      </c>
      <c r="I21" s="3552" t="str">
        <f>IF(SUM(I20)=0,"NO",I20-M16)</f>
        <v>NO</v>
      </c>
      <c r="J21" s="3552">
        <f>IF(SUM(J20)=0,"NO",J20-M17)</f>
        <v>4.5490972039999633</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132942.66483282423</v>
      </c>
      <c r="E10" s="3556">
        <f t="shared" ref="E10:U10" si="0">IF(SUM(E11,E16)=0,"IE",SUM(E11,E16))</f>
        <v>132778.29350519908</v>
      </c>
      <c r="F10" s="3557">
        <f t="shared" si="0"/>
        <v>164.37132762513625</v>
      </c>
      <c r="G10" s="3558">
        <f t="shared" ref="G10:K11" si="1">IFERROR(IF(SUM($D10)=0,"NA",N10/$D10),"NA")</f>
        <v>0.14277124027227939</v>
      </c>
      <c r="H10" s="3078">
        <f t="shared" si="1"/>
        <v>-1.2625936017060378E-2</v>
      </c>
      <c r="I10" s="3078">
        <f t="shared" si="1"/>
        <v>0.13014530425521897</v>
      </c>
      <c r="J10" s="3078">
        <f t="shared" si="1"/>
        <v>4.7066822937696529E-3</v>
      </c>
      <c r="K10" s="3078">
        <f t="shared" si="1"/>
        <v>5.4846906283594577E-3</v>
      </c>
      <c r="L10" s="3078">
        <f>IFERROR(IF(SUM(E10)=0,"NA",S10/E10),"NA")</f>
        <v>-7.9474908540962969E-3</v>
      </c>
      <c r="M10" s="3128">
        <f>IFERROR(IF(SUM(F10)=0,"NA",T10/F10),"NA")</f>
        <v>0.14489907688488271</v>
      </c>
      <c r="N10" s="3559">
        <f t="shared" si="0"/>
        <v>18980.389143284254</v>
      </c>
      <c r="O10" s="3560">
        <f t="shared" si="0"/>
        <v>-1678.5255801167416</v>
      </c>
      <c r="P10" s="3560">
        <f t="shared" si="0"/>
        <v>17301.86356316751</v>
      </c>
      <c r="Q10" s="3560">
        <f t="shared" si="0"/>
        <v>625.71888665520737</v>
      </c>
      <c r="R10" s="3560">
        <f t="shared" si="0"/>
        <v>729.14938791772352</v>
      </c>
      <c r="S10" s="3560">
        <f t="shared" si="0"/>
        <v>-1055.2542732550835</v>
      </c>
      <c r="T10" s="3561">
        <f t="shared" si="0"/>
        <v>23.817253639224862</v>
      </c>
      <c r="U10" s="3562">
        <f t="shared" si="0"/>
        <v>-64626.080999790145</v>
      </c>
      <c r="W10" s="2396"/>
    </row>
    <row r="11" spans="2:23" ht="18" customHeight="1" x14ac:dyDescent="0.2">
      <c r="B11" s="502" t="s">
        <v>982</v>
      </c>
      <c r="C11" s="2256"/>
      <c r="D11" s="3563">
        <f>IF(SUM(D12:D15)=0,"IE",SUM(D12:D15))</f>
        <v>119996.991302924</v>
      </c>
      <c r="E11" s="3564">
        <f t="shared" ref="E11:U11" si="2">IF(SUM(E12:E15)=0,"IE",SUM(E12:E15))</f>
        <v>119996.991302924</v>
      </c>
      <c r="F11" s="3565" t="str">
        <f t="shared" si="2"/>
        <v>IE</v>
      </c>
      <c r="G11" s="3558">
        <f t="shared" si="1"/>
        <v>6.7816113014422058E-2</v>
      </c>
      <c r="H11" s="3078">
        <f t="shared" si="1"/>
        <v>-1.3984575266702532E-2</v>
      </c>
      <c r="I11" s="3078">
        <f t="shared" si="1"/>
        <v>5.3831537747719531E-2</v>
      </c>
      <c r="J11" s="3078">
        <f t="shared" si="1"/>
        <v>-3.8058062724267831E-3</v>
      </c>
      <c r="K11" s="3078">
        <f t="shared" si="1"/>
        <v>3.4731898811065204E-3</v>
      </c>
      <c r="L11" s="3078">
        <f t="shared" ref="L11:L28" si="3">IFERROR(IF(SUM(E11)=0,"NA",S11/E11),"NA")</f>
        <v>6.6278029966216302E-3</v>
      </c>
      <c r="M11" s="3128" t="str">
        <f t="shared" ref="M11:M28" si="4">IFERROR(IF(SUM(F11)=0,"NA",T11/F11),"NA")</f>
        <v>NA</v>
      </c>
      <c r="N11" s="3109">
        <f t="shared" si="2"/>
        <v>8137.7295235897154</v>
      </c>
      <c r="O11" s="3109">
        <f t="shared" si="2"/>
        <v>-1678.1069566535898</v>
      </c>
      <c r="P11" s="3109">
        <f t="shared" si="2"/>
        <v>6459.6225669361256</v>
      </c>
      <c r="Q11" s="3109">
        <f t="shared" si="2"/>
        <v>-456.68530217301031</v>
      </c>
      <c r="R11" s="3566">
        <f t="shared" si="2"/>
        <v>416.77233595654275</v>
      </c>
      <c r="S11" s="3566">
        <f t="shared" si="2"/>
        <v>795.31641854309942</v>
      </c>
      <c r="T11" s="3566" t="str">
        <f t="shared" si="2"/>
        <v>IE</v>
      </c>
      <c r="U11" s="3567">
        <f t="shared" si="2"/>
        <v>-26455.095403963445</v>
      </c>
      <c r="W11" s="2397"/>
    </row>
    <row r="12" spans="2:23" ht="18" customHeight="1" x14ac:dyDescent="0.2">
      <c r="B12" s="500"/>
      <c r="C12" s="508" t="s">
        <v>2220</v>
      </c>
      <c r="D12" s="3568">
        <f>IF(SUM(E12:F12)=0,E12,SUM(E12:F12))</f>
        <v>12260.738754314061</v>
      </c>
      <c r="E12" s="3569">
        <v>12260.738754314061</v>
      </c>
      <c r="F12" s="3554" t="s">
        <v>2153</v>
      </c>
      <c r="G12" s="3558">
        <f>IFERROR(IF(SUM($D12)=0,"NA",N12/$D12),"NA")</f>
        <v>0.6637226097592509</v>
      </c>
      <c r="H12" s="3078" t="str">
        <f>IFERROR(IF(SUM($D12)=0,"NA",O12/$D12),"NA")</f>
        <v>NA</v>
      </c>
      <c r="I12" s="3078">
        <f>IFERROR(IF(SUM($D12)=0,"NA",P12/$D12),"NA")</f>
        <v>0.6637226097592509</v>
      </c>
      <c r="J12" s="3078">
        <f>IFERROR(IF(SUM($D12)=0,"NA",Q12/$D12),"NA")</f>
        <v>-1.7331982041336874E-2</v>
      </c>
      <c r="K12" s="3078">
        <f>IFERROR(IF(SUM($D12)=0,"NA",R12/$D12),"NA")</f>
        <v>3.6443256456543567E-2</v>
      </c>
      <c r="L12" s="3078">
        <f t="shared" si="3"/>
        <v>4.1147576650820694E-2</v>
      </c>
      <c r="M12" s="3128" t="str">
        <f t="shared" si="4"/>
        <v>NA</v>
      </c>
      <c r="N12" s="2905">
        <v>8137.7295235897154</v>
      </c>
      <c r="O12" s="2905" t="s">
        <v>2153</v>
      </c>
      <c r="P12" s="3109">
        <f>IF(SUM(N12:O12)=0,N12,SUM(N12:O12))</f>
        <v>8137.7295235897154</v>
      </c>
      <c r="Q12" s="2905">
        <v>-212.50290390329434</v>
      </c>
      <c r="R12" s="2906">
        <v>446.82124677014986</v>
      </c>
      <c r="S12" s="2906">
        <v>504.4996876888257</v>
      </c>
      <c r="T12" s="2906" t="s">
        <v>2153</v>
      </c>
      <c r="U12" s="3570">
        <f>IF(SUM(P12:T12)=0,P12,SUM(P12:T12)*-44/12)</f>
        <v>-32547.341031866454</v>
      </c>
      <c r="W12" s="2398"/>
    </row>
    <row r="13" spans="2:23" ht="18" customHeight="1" x14ac:dyDescent="0.2">
      <c r="B13" s="500"/>
      <c r="C13" s="508" t="s">
        <v>2221</v>
      </c>
      <c r="D13" s="3568">
        <f t="shared" ref="D13:D15" si="5">IF(SUM(E13:F13)=0,E13,SUM(E13:F13))</f>
        <v>682.24894237664262</v>
      </c>
      <c r="E13" s="3569">
        <v>682.24894237664262</v>
      </c>
      <c r="F13" s="3554" t="s">
        <v>2153</v>
      </c>
      <c r="G13" s="3558" t="str">
        <f t="shared" ref="G13:K28" si="6">IFERROR(IF(SUM($D13)=0,"NA",N13/$D13),"NA")</f>
        <v>NA</v>
      </c>
      <c r="H13" s="3078">
        <f t="shared" si="6"/>
        <v>-1.6257714075591347</v>
      </c>
      <c r="I13" s="3078">
        <f t="shared" si="6"/>
        <v>-1.6257714075591347</v>
      </c>
      <c r="J13" s="3078">
        <f t="shared" si="6"/>
        <v>0.21369999816788401</v>
      </c>
      <c r="K13" s="3078">
        <f t="shared" si="6"/>
        <v>0.19650560601177672</v>
      </c>
      <c r="L13" s="3078">
        <f t="shared" si="3"/>
        <v>0.4262619005918889</v>
      </c>
      <c r="M13" s="3128" t="str">
        <f t="shared" si="4"/>
        <v>NA</v>
      </c>
      <c r="N13" s="2905" t="s">
        <v>2153</v>
      </c>
      <c r="O13" s="2905">
        <v>-1109.1808233534052</v>
      </c>
      <c r="P13" s="3109">
        <f t="shared" ref="P13:P15" si="7">IF(SUM(N13:O13)=0,N13,SUM(N13:O13))</f>
        <v>-1109.1808233534052</v>
      </c>
      <c r="Q13" s="2905">
        <v>145.79659773592934</v>
      </c>
      <c r="R13" s="2906">
        <v>134.06574187261589</v>
      </c>
      <c r="S13" s="2906">
        <v>290.81673085427377</v>
      </c>
      <c r="T13" s="2906" t="s">
        <v>2153</v>
      </c>
      <c r="U13" s="3570">
        <f t="shared" ref="U13:U15" si="8">IF(SUM(P13:T13)=0,P13,SUM(P13:T13)*-44/12)</f>
        <v>1974.5064272654827</v>
      </c>
      <c r="W13" s="2398"/>
    </row>
    <row r="14" spans="2:23" ht="18" customHeight="1" x14ac:dyDescent="0.2">
      <c r="B14" s="500"/>
      <c r="C14" s="508" t="s">
        <v>2222</v>
      </c>
      <c r="D14" s="3568">
        <f t="shared" si="5"/>
        <v>107054.00360623329</v>
      </c>
      <c r="E14" s="3569">
        <v>107054.00360623329</v>
      </c>
      <c r="F14" s="3554" t="s">
        <v>2153</v>
      </c>
      <c r="G14" s="3558" t="str">
        <f t="shared" si="6"/>
        <v>NA</v>
      </c>
      <c r="H14" s="3078">
        <f t="shared" si="6"/>
        <v>-1.6943528203688645E-3</v>
      </c>
      <c r="I14" s="3078">
        <f t="shared" si="6"/>
        <v>-1.6943528203688645E-3</v>
      </c>
      <c r="J14" s="3078">
        <f t="shared" si="6"/>
        <v>-3.264264337028938E-3</v>
      </c>
      <c r="K14" s="3078">
        <f t="shared" si="6"/>
        <v>-1.5330080815087548E-3</v>
      </c>
      <c r="L14" s="3078" t="str">
        <f t="shared" si="3"/>
        <v>NA</v>
      </c>
      <c r="M14" s="3128" t="str">
        <f t="shared" si="4"/>
        <v>NA</v>
      </c>
      <c r="N14" s="2905" t="s">
        <v>2153</v>
      </c>
      <c r="O14" s="2905">
        <v>-181.38725294199998</v>
      </c>
      <c r="P14" s="3109">
        <f t="shared" si="7"/>
        <v>-181.38725294199998</v>
      </c>
      <c r="Q14" s="2905">
        <v>-349.45256610799464</v>
      </c>
      <c r="R14" s="2906">
        <v>-164.11465268622302</v>
      </c>
      <c r="S14" s="2906" t="s">
        <v>2147</v>
      </c>
      <c r="T14" s="2906" t="s">
        <v>2147</v>
      </c>
      <c r="U14" s="3570">
        <f t="shared" si="8"/>
        <v>2548.1663963661317</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-387.5388803581846</v>
      </c>
      <c r="P15" s="3109">
        <f t="shared" si="7"/>
        <v>-387.5388803581846</v>
      </c>
      <c r="Q15" s="2905">
        <v>-40.526429897650672</v>
      </c>
      <c r="R15" s="2906" t="s">
        <v>2147</v>
      </c>
      <c r="S15" s="2906" t="s">
        <v>2147</v>
      </c>
      <c r="T15" s="2906" t="s">
        <v>2147</v>
      </c>
      <c r="U15" s="3570">
        <f t="shared" si="8"/>
        <v>1569.5728042713961</v>
      </c>
      <c r="W15" s="2398"/>
    </row>
    <row r="16" spans="2:23" ht="18" customHeight="1" x14ac:dyDescent="0.2">
      <c r="B16" s="485" t="s">
        <v>1041</v>
      </c>
      <c r="C16" s="504"/>
      <c r="D16" s="3568">
        <f>IF(SUM(D17,D19,D23,D25,D27)=0,"IE",SUM(D17,D19,D23,D25,D27))</f>
        <v>12945.673529900228</v>
      </c>
      <c r="E16" s="3571">
        <f t="shared" ref="E16:T16" si="9">IF(SUM(E17,E19,E23,E25,E27)=0,"IE",SUM(E17,E19,E23,E25,E27))</f>
        <v>12781.302202275092</v>
      </c>
      <c r="F16" s="3572">
        <f t="shared" si="9"/>
        <v>164.37132762513625</v>
      </c>
      <c r="G16" s="3558">
        <f t="shared" si="6"/>
        <v>0.837550830758367</v>
      </c>
      <c r="H16" s="3078">
        <f t="shared" si="6"/>
        <v>-3.2336939610353665E-5</v>
      </c>
      <c r="I16" s="3078">
        <f t="shared" si="6"/>
        <v>0.83751849381875654</v>
      </c>
      <c r="J16" s="3078">
        <f t="shared" si="6"/>
        <v>8.3611268763129368E-2</v>
      </c>
      <c r="K16" s="3078">
        <f t="shared" si="6"/>
        <v>2.4129841621580602E-2</v>
      </c>
      <c r="L16" s="3078">
        <f t="shared" si="3"/>
        <v>-0.14478733563382754</v>
      </c>
      <c r="M16" s="3128">
        <f t="shared" si="4"/>
        <v>0.14489907688488271</v>
      </c>
      <c r="N16" s="3078">
        <f t="shared" si="9"/>
        <v>10842.659619694537</v>
      </c>
      <c r="O16" s="3078">
        <f t="shared" si="9"/>
        <v>-0.41862346315173765</v>
      </c>
      <c r="P16" s="3078">
        <f t="shared" si="9"/>
        <v>10842.240996231385</v>
      </c>
      <c r="Q16" s="3078">
        <f t="shared" si="9"/>
        <v>1082.4041888282177</v>
      </c>
      <c r="R16" s="3573">
        <f t="shared" si="9"/>
        <v>312.37705196118083</v>
      </c>
      <c r="S16" s="3573">
        <f t="shared" si="9"/>
        <v>-1850.5706917981829</v>
      </c>
      <c r="T16" s="3573">
        <f t="shared" si="9"/>
        <v>23.817253639224862</v>
      </c>
      <c r="U16" s="3570">
        <f>IF(SUM(U17,U19,U23,U25,U27)=0,"IE",SUM(U17,U19,U23,U25,U27))</f>
        <v>-38170.9855958267</v>
      </c>
      <c r="W16" s="2019"/>
    </row>
    <row r="17" spans="2:23" ht="18" customHeight="1" x14ac:dyDescent="0.2">
      <c r="B17" s="487" t="s">
        <v>1042</v>
      </c>
      <c r="C17" s="504"/>
      <c r="D17" s="3568">
        <f>D18</f>
        <v>89.081999999999994</v>
      </c>
      <c r="E17" s="3571">
        <f t="shared" ref="E17:U17" si="10">E18</f>
        <v>89.081999999999994</v>
      </c>
      <c r="F17" s="3572" t="str">
        <f t="shared" si="10"/>
        <v>NO</v>
      </c>
      <c r="G17" s="3558">
        <f t="shared" si="6"/>
        <v>1.2773736557329203</v>
      </c>
      <c r="H17" s="3078" t="str">
        <f t="shared" si="6"/>
        <v>NA</v>
      </c>
      <c r="I17" s="3078">
        <f t="shared" si="6"/>
        <v>1.2773736557329203</v>
      </c>
      <c r="J17" s="3078">
        <f t="shared" si="6"/>
        <v>6.0416245706203277E-2</v>
      </c>
      <c r="K17" s="3078">
        <f t="shared" si="6"/>
        <v>2.8243640690599675E-2</v>
      </c>
      <c r="L17" s="3078">
        <f t="shared" si="3"/>
        <v>-0.31394670079252823</v>
      </c>
      <c r="M17" s="3128" t="str">
        <f t="shared" si="4"/>
        <v>NA</v>
      </c>
      <c r="N17" s="3078">
        <f t="shared" si="10"/>
        <v>113.791</v>
      </c>
      <c r="O17" s="3078" t="str">
        <f t="shared" si="10"/>
        <v>IE</v>
      </c>
      <c r="P17" s="3078">
        <f t="shared" si="10"/>
        <v>113.791</v>
      </c>
      <c r="Q17" s="3078">
        <f t="shared" si="10"/>
        <v>5.3819999999999997</v>
      </c>
      <c r="R17" s="3573">
        <f t="shared" si="10"/>
        <v>2.516</v>
      </c>
      <c r="S17" s="3573">
        <f t="shared" si="10"/>
        <v>-27.966999999999999</v>
      </c>
      <c r="T17" s="3573" t="str">
        <f t="shared" si="10"/>
        <v>NO</v>
      </c>
      <c r="U17" s="3570">
        <f t="shared" si="10"/>
        <v>-343.64733333333334</v>
      </c>
      <c r="W17" s="2019"/>
    </row>
    <row r="18" spans="2:23" ht="18" customHeight="1" x14ac:dyDescent="0.2">
      <c r="B18" s="488"/>
      <c r="C18" s="508" t="s">
        <v>278</v>
      </c>
      <c r="D18" s="3568">
        <f>IF(SUM(E18:F18)=0,E18,SUM(E18:F18))</f>
        <v>89.081999999999994</v>
      </c>
      <c r="E18" s="3569">
        <v>89.081999999999994</v>
      </c>
      <c r="F18" s="3554" t="s">
        <v>2146</v>
      </c>
      <c r="G18" s="3558">
        <f t="shared" si="6"/>
        <v>1.2773736557329203</v>
      </c>
      <c r="H18" s="3078" t="str">
        <f t="shared" si="6"/>
        <v>NA</v>
      </c>
      <c r="I18" s="3078">
        <f t="shared" si="6"/>
        <v>1.2773736557329203</v>
      </c>
      <c r="J18" s="3078">
        <f t="shared" si="6"/>
        <v>6.0416245706203277E-2</v>
      </c>
      <c r="K18" s="3078">
        <f t="shared" si="6"/>
        <v>2.8243640690599675E-2</v>
      </c>
      <c r="L18" s="3078">
        <f t="shared" si="3"/>
        <v>-0.31394670079252823</v>
      </c>
      <c r="M18" s="3128" t="str">
        <f t="shared" si="4"/>
        <v>NA</v>
      </c>
      <c r="N18" s="2905">
        <v>113.791</v>
      </c>
      <c r="O18" s="2905" t="s">
        <v>2153</v>
      </c>
      <c r="P18" s="3109">
        <f>IF(SUM(N18:O18)=0,N18,SUM(N18:O18))</f>
        <v>113.791</v>
      </c>
      <c r="Q18" s="2905">
        <v>5.3819999999999997</v>
      </c>
      <c r="R18" s="2906">
        <v>2.516</v>
      </c>
      <c r="S18" s="2906">
        <v>-27.966999999999999</v>
      </c>
      <c r="T18" s="2906" t="s">
        <v>2146</v>
      </c>
      <c r="U18" s="3570">
        <f t="shared" ref="U18" si="11">IF(SUM(P18:T18)=0,P18,SUM(P18:T18)*-44/12)</f>
        <v>-343.64733333333334</v>
      </c>
      <c r="W18" s="2398"/>
    </row>
    <row r="19" spans="2:23" ht="18" customHeight="1" x14ac:dyDescent="0.2">
      <c r="B19" s="487" t="s">
        <v>1043</v>
      </c>
      <c r="C19" s="504"/>
      <c r="D19" s="3563">
        <f>IF(SUM(D20:D22)=0,"IE",SUM(D20:D22))</f>
        <v>12622.173202275091</v>
      </c>
      <c r="E19" s="3571">
        <f t="shared" ref="E19:U19" si="12">IF(SUM(E20:E22)=0,"IE",SUM(E20:E22))</f>
        <v>12622.173202275091</v>
      </c>
      <c r="F19" s="3572" t="str">
        <f t="shared" si="12"/>
        <v>IE</v>
      </c>
      <c r="G19" s="3558">
        <f t="shared" si="6"/>
        <v>0.75337230138606792</v>
      </c>
      <c r="H19" s="3078">
        <f t="shared" si="6"/>
        <v>-3.3165720073963379E-5</v>
      </c>
      <c r="I19" s="3078">
        <f t="shared" si="6"/>
        <v>0.75333913566599386</v>
      </c>
      <c r="J19" s="3078">
        <f t="shared" si="6"/>
        <v>9.0766022540966509E-2</v>
      </c>
      <c r="K19" s="3078">
        <f t="shared" si="6"/>
        <v>1.711074529019916E-2</v>
      </c>
      <c r="L19" s="3078">
        <f t="shared" si="3"/>
        <v>-0.14088767942731528</v>
      </c>
      <c r="M19" s="3128" t="str">
        <f t="shared" si="4"/>
        <v>NA</v>
      </c>
      <c r="N19" s="3078">
        <f t="shared" si="12"/>
        <v>9509.1956738915396</v>
      </c>
      <c r="O19" s="3078">
        <f t="shared" si="12"/>
        <v>-0.41862346315173765</v>
      </c>
      <c r="P19" s="3078">
        <f t="shared" si="12"/>
        <v>9508.7770504283872</v>
      </c>
      <c r="Q19" s="3078">
        <f t="shared" si="12"/>
        <v>1145.6644573936844</v>
      </c>
      <c r="R19" s="3573">
        <f t="shared" si="12"/>
        <v>215.97479067290658</v>
      </c>
      <c r="S19" s="3573">
        <f t="shared" si="12"/>
        <v>-1778.3086917981827</v>
      </c>
      <c r="T19" s="3573" t="str">
        <f t="shared" si="12"/>
        <v>IE</v>
      </c>
      <c r="U19" s="3570">
        <f t="shared" si="12"/>
        <v>-33337.727891221592</v>
      </c>
      <c r="W19" s="2019"/>
    </row>
    <row r="20" spans="2:23" ht="18" customHeight="1" x14ac:dyDescent="0.2">
      <c r="B20" s="496"/>
      <c r="C20" s="508" t="s">
        <v>2223</v>
      </c>
      <c r="D20" s="3568">
        <f>IF(SUM(E20:F20)=0,E20,SUM(E20:F20))</f>
        <v>3569.9579999999969</v>
      </c>
      <c r="E20" s="3569">
        <v>3569.9579999999969</v>
      </c>
      <c r="F20" s="3554" t="s">
        <v>2146</v>
      </c>
      <c r="G20" s="3558">
        <f t="shared" si="6"/>
        <v>1.220303712256559</v>
      </c>
      <c r="H20" s="3078" t="str">
        <f t="shared" si="6"/>
        <v>NA</v>
      </c>
      <c r="I20" s="3078">
        <f t="shared" si="6"/>
        <v>1.220303712256559</v>
      </c>
      <c r="J20" s="3078">
        <f t="shared" si="6"/>
        <v>5.9193133364594447E-2</v>
      </c>
      <c r="K20" s="3078">
        <f t="shared" si="6"/>
        <v>2.9034235136660012E-2</v>
      </c>
      <c r="L20" s="3078">
        <f t="shared" si="3"/>
        <v>-0.36569729952005059</v>
      </c>
      <c r="M20" s="3128" t="str">
        <f t="shared" si="4"/>
        <v>NA</v>
      </c>
      <c r="N20" s="2905">
        <v>4356.4329999999973</v>
      </c>
      <c r="O20" s="2905" t="s">
        <v>2153</v>
      </c>
      <c r="P20" s="3109">
        <f>IF(SUM(N20:O20)=0,N20,SUM(N20:O20))</f>
        <v>4356.4329999999973</v>
      </c>
      <c r="Q20" s="2905">
        <v>211.31700000000069</v>
      </c>
      <c r="R20" s="2906">
        <v>103.65100000000041</v>
      </c>
      <c r="S20" s="2906">
        <v>-1305.5239999999997</v>
      </c>
      <c r="T20" s="2906" t="s">
        <v>2146</v>
      </c>
      <c r="U20" s="3570">
        <f t="shared" ref="U20:U22" si="13">IF(SUM(P20:T20)=0,P20,SUM(P20:T20)*-44/12)</f>
        <v>-12341.548999999999</v>
      </c>
      <c r="W20" s="2398"/>
    </row>
    <row r="21" spans="2:23" ht="18" customHeight="1" x14ac:dyDescent="0.2">
      <c r="B21" s="500"/>
      <c r="C21" s="508" t="s">
        <v>2291</v>
      </c>
      <c r="D21" s="3568">
        <f>IF(SUM(E21:F21)=0,E21,SUM(E21:F21))</f>
        <v>9052.2152022750943</v>
      </c>
      <c r="E21" s="3569">
        <v>9052.2152022750943</v>
      </c>
      <c r="F21" s="3554" t="s">
        <v>2146</v>
      </c>
      <c r="G21" s="3558">
        <f t="shared" si="6"/>
        <v>0.56922670956789656</v>
      </c>
      <c r="H21" s="3078" t="str">
        <f t="shared" si="6"/>
        <v>NA</v>
      </c>
      <c r="I21" s="3078">
        <f t="shared" si="6"/>
        <v>0.56922670956789656</v>
      </c>
      <c r="J21" s="3078">
        <f t="shared" si="6"/>
        <v>0.10321725201714968</v>
      </c>
      <c r="K21" s="3078">
        <f t="shared" si="6"/>
        <v>1.2408431324597301E-2</v>
      </c>
      <c r="L21" s="3078">
        <f t="shared" si="3"/>
        <v>-5.2228618214838519E-2</v>
      </c>
      <c r="M21" s="3128" t="str">
        <f t="shared" si="4"/>
        <v>NA</v>
      </c>
      <c r="N21" s="2905">
        <v>5152.7626738915433</v>
      </c>
      <c r="O21" s="2905" t="s">
        <v>2153</v>
      </c>
      <c r="P21" s="3109">
        <f t="shared" ref="P21:P28" si="14">IF(SUM(N21:O21)=0,N21,SUM(N21:O21))</f>
        <v>5152.7626738915433</v>
      </c>
      <c r="Q21" s="2905">
        <v>934.34477784670196</v>
      </c>
      <c r="R21" s="2906">
        <v>112.32379067290617</v>
      </c>
      <c r="S21" s="2906">
        <v>-472.78469179818313</v>
      </c>
      <c r="T21" s="2906" t="s">
        <v>2146</v>
      </c>
      <c r="U21" s="3570">
        <f t="shared" si="13"/>
        <v>-20997.704018914217</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-0.41862346315173765</v>
      </c>
      <c r="P22" s="3109">
        <f t="shared" si="14"/>
        <v>-0.41862346315173765</v>
      </c>
      <c r="Q22" s="2905">
        <v>2.6795469818806511E-3</v>
      </c>
      <c r="R22" s="2906" t="s">
        <v>2147</v>
      </c>
      <c r="S22" s="2906" t="s">
        <v>2147</v>
      </c>
      <c r="T22" s="2906" t="s">
        <v>2147</v>
      </c>
      <c r="U22" s="3570">
        <f t="shared" si="13"/>
        <v>1.525127692622809</v>
      </c>
      <c r="W22" s="2398"/>
    </row>
    <row r="23" spans="2:23" ht="18" customHeight="1" x14ac:dyDescent="0.2">
      <c r="B23" s="487" t="s">
        <v>1044</v>
      </c>
      <c r="C23" s="504"/>
      <c r="D23" s="3568">
        <f>D24</f>
        <v>164.37132762513625</v>
      </c>
      <c r="E23" s="3571" t="str">
        <f t="shared" ref="E23" si="15">E24</f>
        <v>NO</v>
      </c>
      <c r="F23" s="3572">
        <f t="shared" ref="F23" si="16">F24</f>
        <v>164.37132762513625</v>
      </c>
      <c r="G23" s="3558">
        <f t="shared" si="6"/>
        <v>6.7365942819924278</v>
      </c>
      <c r="H23" s="3078" t="str">
        <f t="shared" si="6"/>
        <v>NA</v>
      </c>
      <c r="I23" s="3078">
        <f t="shared" si="6"/>
        <v>6.7365942819924278</v>
      </c>
      <c r="J23" s="3078">
        <f t="shared" si="6"/>
        <v>-0.45435703199884508</v>
      </c>
      <c r="K23" s="3078">
        <f t="shared" si="6"/>
        <v>0.55041388662750534</v>
      </c>
      <c r="L23" s="3078" t="str">
        <f t="shared" si="3"/>
        <v>NA</v>
      </c>
      <c r="M23" s="3128">
        <f t="shared" si="4"/>
        <v>0.14489907688488271</v>
      </c>
      <c r="N23" s="3078">
        <f t="shared" ref="N23" si="17">N24</f>
        <v>1107.3029458029969</v>
      </c>
      <c r="O23" s="3078" t="str">
        <f t="shared" ref="O23" si="18">O24</f>
        <v>IE</v>
      </c>
      <c r="P23" s="3078">
        <f t="shared" ref="P23" si="19">P24</f>
        <v>1107.3029458029969</v>
      </c>
      <c r="Q23" s="3078">
        <f t="shared" ref="Q23" si="20">Q24</f>
        <v>-74.683268565466676</v>
      </c>
      <c r="R23" s="3573">
        <f t="shared" ref="R23" si="21">R24</f>
        <v>90.472261288274282</v>
      </c>
      <c r="S23" s="3573" t="str">
        <f t="shared" ref="S23" si="22">S24</f>
        <v>NO</v>
      </c>
      <c r="T23" s="3573">
        <f t="shared" ref="T23" si="23">T24</f>
        <v>23.817253639224862</v>
      </c>
      <c r="U23" s="3570">
        <f t="shared" ref="U23" si="24">U24</f>
        <v>-4205.3337046051074</v>
      </c>
      <c r="W23" s="2019"/>
    </row>
    <row r="24" spans="2:23" ht="18" customHeight="1" x14ac:dyDescent="0.2">
      <c r="B24" s="488"/>
      <c r="C24" s="508" t="s">
        <v>278</v>
      </c>
      <c r="D24" s="3568">
        <f>IF(SUM(E24:F24)=0,E24,SUM(E24:F24))</f>
        <v>164.37132762513625</v>
      </c>
      <c r="E24" s="3569" t="s">
        <v>2146</v>
      </c>
      <c r="F24" s="3554">
        <v>164.37132762513625</v>
      </c>
      <c r="G24" s="3558">
        <f t="shared" si="6"/>
        <v>6.7365942819924278</v>
      </c>
      <c r="H24" s="3078" t="str">
        <f t="shared" si="6"/>
        <v>NA</v>
      </c>
      <c r="I24" s="3078">
        <f t="shared" si="6"/>
        <v>6.7365942819924278</v>
      </c>
      <c r="J24" s="3078">
        <f t="shared" si="6"/>
        <v>-0.45435703199884508</v>
      </c>
      <c r="K24" s="3078">
        <f t="shared" si="6"/>
        <v>0.55041388662750534</v>
      </c>
      <c r="L24" s="3078" t="str">
        <f t="shared" si="3"/>
        <v>NA</v>
      </c>
      <c r="M24" s="3128">
        <f t="shared" si="4"/>
        <v>0.14489907688488271</v>
      </c>
      <c r="N24" s="2905">
        <v>1107.3029458029969</v>
      </c>
      <c r="O24" s="2905" t="s">
        <v>2153</v>
      </c>
      <c r="P24" s="3109">
        <f t="shared" si="14"/>
        <v>1107.3029458029969</v>
      </c>
      <c r="Q24" s="2905">
        <v>-74.683268565466676</v>
      </c>
      <c r="R24" s="2906">
        <v>90.472261288274282</v>
      </c>
      <c r="S24" s="2906" t="s">
        <v>2146</v>
      </c>
      <c r="T24" s="2906">
        <v>23.817253639224862</v>
      </c>
      <c r="U24" s="3570">
        <f t="shared" ref="U24" si="25">IF(SUM(P24:T24)=0,P24,SUM(P24:T24)*-44/12)</f>
        <v>-4205.3337046051074</v>
      </c>
      <c r="W24" s="2398"/>
    </row>
    <row r="25" spans="2:23" ht="18" customHeight="1" x14ac:dyDescent="0.2">
      <c r="B25" s="487" t="s">
        <v>1045</v>
      </c>
      <c r="C25" s="504"/>
      <c r="D25" s="3568">
        <f>D26</f>
        <v>70.046999999999997</v>
      </c>
      <c r="E25" s="3571">
        <f t="shared" ref="E25" si="26">E26</f>
        <v>70.046999999999997</v>
      </c>
      <c r="F25" s="3572" t="str">
        <f t="shared" ref="F25" si="27">F26</f>
        <v>NO</v>
      </c>
      <c r="G25" s="3558">
        <f t="shared" si="6"/>
        <v>1.6042086027952662</v>
      </c>
      <c r="H25" s="3078" t="str">
        <f t="shared" si="6"/>
        <v>NA</v>
      </c>
      <c r="I25" s="3078">
        <f t="shared" si="6"/>
        <v>1.6042086027952662</v>
      </c>
      <c r="J25" s="3078">
        <f t="shared" si="6"/>
        <v>8.6242094593629998E-2</v>
      </c>
      <c r="K25" s="3078">
        <f t="shared" si="6"/>
        <v>4.8738704013019836E-2</v>
      </c>
      <c r="L25" s="3078">
        <f t="shared" si="3"/>
        <v>-0.63236112895627228</v>
      </c>
      <c r="M25" s="3128" t="str">
        <f t="shared" si="4"/>
        <v>NA</v>
      </c>
      <c r="N25" s="3078">
        <f t="shared" ref="N25" si="28">N26</f>
        <v>112.37</v>
      </c>
      <c r="O25" s="3078" t="str">
        <f t="shared" ref="O25" si="29">O26</f>
        <v>IE</v>
      </c>
      <c r="P25" s="3078">
        <f t="shared" ref="P25" si="30">P26</f>
        <v>112.37</v>
      </c>
      <c r="Q25" s="3078">
        <f t="shared" ref="Q25" si="31">Q26</f>
        <v>6.0410000000000004</v>
      </c>
      <c r="R25" s="3573">
        <f t="shared" ref="R25" si="32">R26</f>
        <v>3.4140000000000001</v>
      </c>
      <c r="S25" s="3573">
        <f t="shared" ref="S25" si="33">S26</f>
        <v>-44.295000000000002</v>
      </c>
      <c r="T25" s="3573" t="str">
        <f t="shared" ref="T25" si="34">T26</f>
        <v>NO</v>
      </c>
      <c r="U25" s="3570">
        <f t="shared" ref="U25" si="35">U26</f>
        <v>-284.2766666666667</v>
      </c>
      <c r="W25" s="2019"/>
    </row>
    <row r="26" spans="2:23" ht="18" customHeight="1" x14ac:dyDescent="0.2">
      <c r="B26" s="488"/>
      <c r="C26" s="508" t="s">
        <v>278</v>
      </c>
      <c r="D26" s="3568">
        <f>IF(SUM(E26:F26)=0,E26,SUM(E26:F26))</f>
        <v>70.046999999999997</v>
      </c>
      <c r="E26" s="3569">
        <v>70.046999999999997</v>
      </c>
      <c r="F26" s="3554" t="s">
        <v>2146</v>
      </c>
      <c r="G26" s="3558">
        <f t="shared" si="6"/>
        <v>1.6042086027952662</v>
      </c>
      <c r="H26" s="3078" t="str">
        <f t="shared" si="6"/>
        <v>NA</v>
      </c>
      <c r="I26" s="3078">
        <f t="shared" si="6"/>
        <v>1.6042086027952662</v>
      </c>
      <c r="J26" s="3078">
        <f t="shared" si="6"/>
        <v>8.6242094593629998E-2</v>
      </c>
      <c r="K26" s="3078">
        <f t="shared" si="6"/>
        <v>4.8738704013019836E-2</v>
      </c>
      <c r="L26" s="3078">
        <f t="shared" si="3"/>
        <v>-0.63236112895627228</v>
      </c>
      <c r="M26" s="3128" t="str">
        <f t="shared" si="4"/>
        <v>NA</v>
      </c>
      <c r="N26" s="2905">
        <v>112.37</v>
      </c>
      <c r="O26" s="2905" t="s">
        <v>2153</v>
      </c>
      <c r="P26" s="3109">
        <f t="shared" si="14"/>
        <v>112.37</v>
      </c>
      <c r="Q26" s="2905">
        <v>6.0410000000000004</v>
      </c>
      <c r="R26" s="2906">
        <v>3.4140000000000001</v>
      </c>
      <c r="S26" s="2906">
        <v>-44.295000000000002</v>
      </c>
      <c r="T26" s="2906" t="s">
        <v>2146</v>
      </c>
      <c r="U26" s="3570">
        <f t="shared" ref="U26" si="36">IF(SUM(P26:T26)=0,P26,SUM(P26:T26)*-44/12)</f>
        <v>-284.2766666666667</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39975.525743768812</v>
      </c>
      <c r="E10" s="3583">
        <f t="shared" ref="E10:F10" si="0">IF(SUM(E11,E13)=0,"IE",SUM(E11,E13))</f>
        <v>39972.525743768812</v>
      </c>
      <c r="F10" s="3584">
        <f t="shared" si="0"/>
        <v>3</v>
      </c>
      <c r="G10" s="3558">
        <f>IFERROR(IF(SUM($D10)=0,"NA",M10/$D10),"NA")</f>
        <v>5.8272345200777404E-4</v>
      </c>
      <c r="H10" s="3583">
        <f t="shared" ref="H10:J10" si="1">IFERROR(IF(SUM($D10)=0,"NA",N10/$D10),"NA")</f>
        <v>-9.386067925785474E-3</v>
      </c>
      <c r="I10" s="3583">
        <f t="shared" si="1"/>
        <v>-8.8033444737777005E-3</v>
      </c>
      <c r="J10" s="3583">
        <f t="shared" si="1"/>
        <v>-1.6933360785267846E-3</v>
      </c>
      <c r="K10" s="3585">
        <f>IFERROR(IF(SUM(E10)=0,"NA",Q10/E10),"NA")</f>
        <v>8.6553616041191376E-5</v>
      </c>
      <c r="L10" s="3584">
        <f>IFERROR(IF(SUM(F10)=0,"NA",R10/F10),"NA")</f>
        <v>-12.475</v>
      </c>
      <c r="M10" s="3586">
        <f>IF(SUM(M11,M13)=0,"IE",SUM(M11,M13))</f>
        <v>23.2946763572346</v>
      </c>
      <c r="N10" s="3583">
        <f t="shared" ref="N10:S10" si="2">IF(SUM(N11,N13)=0,"IE",SUM(N11,N13))</f>
        <v>-375.21299999999997</v>
      </c>
      <c r="O10" s="3587">
        <f t="shared" si="2"/>
        <v>-351.91832364276536</v>
      </c>
      <c r="P10" s="3583">
        <f t="shared" si="2"/>
        <v>-67.692000000000007</v>
      </c>
      <c r="Q10" s="3585">
        <f t="shared" si="2"/>
        <v>3.4597666454228033</v>
      </c>
      <c r="R10" s="3585">
        <f t="shared" si="2"/>
        <v>-37.424999999999997</v>
      </c>
      <c r="S10" s="3588">
        <f t="shared" si="2"/>
        <v>1663.1103756569228</v>
      </c>
      <c r="U10" s="2261"/>
    </row>
    <row r="11" spans="2:21" ht="18" customHeight="1" x14ac:dyDescent="0.2">
      <c r="B11" s="499" t="s">
        <v>985</v>
      </c>
      <c r="C11" s="2256"/>
      <c r="D11" s="3589">
        <f>D12</f>
        <v>37676.654802741003</v>
      </c>
      <c r="E11" s="3078">
        <f t="shared" ref="E11" si="3">E12</f>
        <v>37676.654802741003</v>
      </c>
      <c r="F11" s="3078" t="str">
        <f t="shared" ref="F11" si="4">F12</f>
        <v>IE</v>
      </c>
      <c r="G11" s="3558">
        <f t="shared" ref="G11:G23" si="5">IFERROR(IF(SUM($D11)=0,"NA",M11/$D11),"NA")</f>
        <v>6.1827878507780625E-4</v>
      </c>
      <c r="H11" s="3078" t="str">
        <f t="shared" ref="H11:H23" si="6">IFERROR(IF(SUM($D11)=0,"NA",N11/$D11),"NA")</f>
        <v>NA</v>
      </c>
      <c r="I11" s="3078">
        <f t="shared" ref="I11:I23" si="7">IFERROR(IF(SUM($D11)=0,"NA",O11/$D11),"NA")</f>
        <v>6.1827878507780625E-4</v>
      </c>
      <c r="J11" s="3078" t="str">
        <f t="shared" ref="J11:J23" si="8">IFERROR(IF(SUM($D11)=0,"NA",P11/$D11),"NA")</f>
        <v>NA</v>
      </c>
      <c r="K11" s="3573">
        <f t="shared" ref="K11:K23" si="9">IFERROR(IF(SUM(E11)=0,"NA",Q11/E11),"NA")</f>
        <v>9.6830661623118625E-3</v>
      </c>
      <c r="L11" s="3128" t="str">
        <f t="shared" ref="L11:L23" si="10">IFERROR(IF(SUM(F11)=0,"NA",R11/F11),"NA")</f>
        <v>NA</v>
      </c>
      <c r="M11" s="3590">
        <f t="shared" ref="M11" si="11">M12</f>
        <v>23.2946763572346</v>
      </c>
      <c r="N11" s="3591" t="str">
        <f t="shared" ref="N11" si="12">N12</f>
        <v>IE</v>
      </c>
      <c r="O11" s="3592">
        <f t="shared" ref="O11" si="13">O12</f>
        <v>23.2946763572346</v>
      </c>
      <c r="P11" s="3591" t="str">
        <f t="shared" ref="P11" si="14">P12</f>
        <v>NA</v>
      </c>
      <c r="Q11" s="3593">
        <f t="shared" ref="Q11" si="15">Q12</f>
        <v>364.82554122952615</v>
      </c>
      <c r="R11" s="3593" t="str">
        <f t="shared" ref="R11" si="16">R12</f>
        <v>IE</v>
      </c>
      <c r="S11" s="3594">
        <f t="shared" ref="S11" si="17">S12</f>
        <v>-1423.1074644847895</v>
      </c>
      <c r="U11" s="2258"/>
    </row>
    <row r="12" spans="2:21" ht="18" customHeight="1" x14ac:dyDescent="0.2">
      <c r="B12" s="501"/>
      <c r="C12" s="508" t="s">
        <v>278</v>
      </c>
      <c r="D12" s="3568">
        <f>IF(SUM(E12:F12)=0,E12,SUM(E12:F12))</f>
        <v>37676.654802741003</v>
      </c>
      <c r="E12" s="3569">
        <v>37676.654802741003</v>
      </c>
      <c r="F12" s="3554" t="s">
        <v>2153</v>
      </c>
      <c r="G12" s="3558">
        <f t="shared" si="5"/>
        <v>6.1827878507780625E-4</v>
      </c>
      <c r="H12" s="3078" t="str">
        <f t="shared" si="6"/>
        <v>NA</v>
      </c>
      <c r="I12" s="3078">
        <f t="shared" si="7"/>
        <v>6.1827878507780625E-4</v>
      </c>
      <c r="J12" s="3078" t="str">
        <f t="shared" si="8"/>
        <v>NA</v>
      </c>
      <c r="K12" s="3573">
        <f t="shared" si="9"/>
        <v>9.6830661623118625E-3</v>
      </c>
      <c r="L12" s="3128" t="str">
        <f t="shared" si="10"/>
        <v>NA</v>
      </c>
      <c r="M12" s="2905">
        <v>23.2946763572346</v>
      </c>
      <c r="N12" s="2905" t="s">
        <v>2153</v>
      </c>
      <c r="O12" s="3109">
        <f>IF(SUM(M12:N12)=0,M12,SUM(M12:N12))</f>
        <v>23.2946763572346</v>
      </c>
      <c r="P12" s="2905" t="s">
        <v>2147</v>
      </c>
      <c r="Q12" s="2906">
        <v>364.82554122952615</v>
      </c>
      <c r="R12" s="2906" t="s">
        <v>2153</v>
      </c>
      <c r="S12" s="3594">
        <f>IF(SUM(O12:R12)=0,Q12,SUM(O12:R12)*-44/12)</f>
        <v>-1423.1074644847895</v>
      </c>
      <c r="U12" s="2398"/>
    </row>
    <row r="13" spans="2:21" ht="18" customHeight="1" x14ac:dyDescent="0.2">
      <c r="B13" s="485" t="s">
        <v>1054</v>
      </c>
      <c r="C13" s="504"/>
      <c r="D13" s="3589">
        <f>IF(SUM(D14,D16,D18,D20,D22)=0,"IE",SUM(D14,D16,D18,D20,D22))</f>
        <v>2298.870941027812</v>
      </c>
      <c r="E13" s="3591">
        <f t="shared" ref="E13:F13" si="18">IF(SUM(E14,E16,E18,E20,E22)=0,"IE",SUM(E14,E16,E18,E20,E22))</f>
        <v>2295.870941027812</v>
      </c>
      <c r="F13" s="3595">
        <f t="shared" si="18"/>
        <v>3</v>
      </c>
      <c r="G13" s="3558" t="str">
        <f t="shared" si="5"/>
        <v>NA</v>
      </c>
      <c r="H13" s="3078">
        <f t="shared" si="6"/>
        <v>-0.1632162090109523</v>
      </c>
      <c r="I13" s="3078">
        <f t="shared" si="7"/>
        <v>-0.1632162090109523</v>
      </c>
      <c r="J13" s="3078">
        <f t="shared" si="8"/>
        <v>-2.9445759129799302E-2</v>
      </c>
      <c r="K13" s="3573">
        <f t="shared" si="9"/>
        <v>-0.15739812204876275</v>
      </c>
      <c r="L13" s="3128">
        <f t="shared" si="10"/>
        <v>-12.475</v>
      </c>
      <c r="M13" s="3590" t="str">
        <f>IF(SUM(M14,M16,M18,M20,M22)=0,"IE",SUM(M14,M16,M18,M20,M22))</f>
        <v>IE</v>
      </c>
      <c r="N13" s="3591">
        <f t="shared" ref="N13" si="19">IF(SUM(N14,N16,N18,N20,N22)=0,"IE",SUM(N14,N16,N18,N20,N22))</f>
        <v>-375.21299999999997</v>
      </c>
      <c r="O13" s="3592">
        <f t="shared" ref="O13" si="20">IF(SUM(O14,O16,O18,O20,O22)=0,"IE",SUM(O14,O16,O18,O20,O22))</f>
        <v>-375.21299999999997</v>
      </c>
      <c r="P13" s="3592">
        <f t="shared" ref="P13" si="21">IF(SUM(P14,P16,P18,P20,P22)=0,"IE",SUM(P14,P16,P18,P20,P22))</f>
        <v>-67.692000000000007</v>
      </c>
      <c r="Q13" s="3592">
        <f t="shared" ref="Q13" si="22">IF(SUM(Q14,Q16,Q18,Q20,Q22)=0,"IE",SUM(Q14,Q16,Q18,Q20,Q22))</f>
        <v>-361.36577458410335</v>
      </c>
      <c r="R13" s="3592">
        <f t="shared" ref="R13" si="23">IF(SUM(R14,R16,R18,R20,R22)=0,"IE",SUM(R14,R16,R18,R20,R22))</f>
        <v>-37.424999999999997</v>
      </c>
      <c r="S13" s="3594">
        <f t="shared" ref="S13" si="24">IF(SUM(S14,S16,S18,S20,S22)=0,"IE",SUM(S14,S16,S18,S20,S22))</f>
        <v>3086.2178401417123</v>
      </c>
      <c r="U13" s="503"/>
    </row>
    <row r="14" spans="2:21" ht="18" customHeight="1" x14ac:dyDescent="0.2">
      <c r="B14" s="487" t="s">
        <v>1055</v>
      </c>
      <c r="C14" s="504"/>
      <c r="D14" s="3589">
        <f>D15</f>
        <v>2286.21</v>
      </c>
      <c r="E14" s="3078">
        <f t="shared" ref="E14" si="25">E15</f>
        <v>2286.21</v>
      </c>
      <c r="F14" s="3078" t="str">
        <f t="shared" ref="F14" si="26">F15</f>
        <v>IE</v>
      </c>
      <c r="G14" s="3558" t="str">
        <f t="shared" si="5"/>
        <v>NA</v>
      </c>
      <c r="H14" s="3078">
        <f t="shared" si="6"/>
        <v>-0.16412009395462357</v>
      </c>
      <c r="I14" s="3078">
        <f t="shared" si="7"/>
        <v>-0.16412009395462357</v>
      </c>
      <c r="J14" s="3078">
        <f t="shared" si="8"/>
        <v>-2.9608828585300565E-2</v>
      </c>
      <c r="K14" s="3573">
        <f t="shared" si="9"/>
        <v>-0.14571802240389115</v>
      </c>
      <c r="L14" s="3128" t="str">
        <f t="shared" si="10"/>
        <v>NA</v>
      </c>
      <c r="M14" s="3590" t="str">
        <f t="shared" ref="M14" si="27">M15</f>
        <v>IE</v>
      </c>
      <c r="N14" s="3591">
        <f t="shared" ref="N14" si="28">N15</f>
        <v>-375.21299999999997</v>
      </c>
      <c r="O14" s="3592">
        <f t="shared" ref="O14" si="29">O15</f>
        <v>-375.21299999999997</v>
      </c>
      <c r="P14" s="3591">
        <f t="shared" ref="P14" si="30">P15</f>
        <v>-67.692000000000007</v>
      </c>
      <c r="Q14" s="3593">
        <f t="shared" ref="Q14" si="31">Q15</f>
        <v>-333.142</v>
      </c>
      <c r="R14" s="3593" t="str">
        <f t="shared" ref="R14" si="32">R15</f>
        <v>IE</v>
      </c>
      <c r="S14" s="3594">
        <f t="shared" ref="S14" si="33">S15</f>
        <v>2845.5056666666665</v>
      </c>
      <c r="U14" s="503"/>
    </row>
    <row r="15" spans="2:21" ht="18" customHeight="1" x14ac:dyDescent="0.2">
      <c r="B15" s="501"/>
      <c r="C15" s="508" t="s">
        <v>278</v>
      </c>
      <c r="D15" s="3568">
        <f>IF(SUM(E15:F15)=0,E15,SUM(E15:F15))</f>
        <v>2286.21</v>
      </c>
      <c r="E15" s="3569">
        <v>2286.21</v>
      </c>
      <c r="F15" s="3554" t="s">
        <v>2153</v>
      </c>
      <c r="G15" s="3558" t="str">
        <f t="shared" si="5"/>
        <v>NA</v>
      </c>
      <c r="H15" s="3078">
        <f t="shared" si="6"/>
        <v>-0.16412009395462357</v>
      </c>
      <c r="I15" s="3078">
        <f t="shared" si="7"/>
        <v>-0.16412009395462357</v>
      </c>
      <c r="J15" s="3078">
        <f t="shared" si="8"/>
        <v>-2.9608828585300565E-2</v>
      </c>
      <c r="K15" s="3573">
        <f t="shared" si="9"/>
        <v>-0.14571802240389115</v>
      </c>
      <c r="L15" s="3128" t="str">
        <f t="shared" si="10"/>
        <v>NA</v>
      </c>
      <c r="M15" s="2905" t="s">
        <v>2153</v>
      </c>
      <c r="N15" s="2905">
        <v>-375.21299999999997</v>
      </c>
      <c r="O15" s="3109">
        <f>IF(SUM(M15:N15)=0,M15,SUM(M15:N15))</f>
        <v>-375.21299999999997</v>
      </c>
      <c r="P15" s="2905">
        <v>-67.692000000000007</v>
      </c>
      <c r="Q15" s="2906">
        <v>-333.142</v>
      </c>
      <c r="R15" s="2906" t="s">
        <v>2153</v>
      </c>
      <c r="S15" s="3594">
        <f>IF(SUM(O15:R15)=0,Q15,SUM(O15:R15)*-44/12)</f>
        <v>2845.5056666666665</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520690.37884514878</v>
      </c>
      <c r="E10" s="3583">
        <f t="shared" ref="E10:F10" si="0">IF(SUM(E11,E15)=0,"IE",SUM(E11,E15))</f>
        <v>520689.37884514878</v>
      </c>
      <c r="F10" s="3584">
        <f t="shared" si="0"/>
        <v>1</v>
      </c>
      <c r="G10" s="3558">
        <f>IFERROR(IF(SUM($D10)=0,"NA",M10/$D10),"NA")</f>
        <v>3.7330534643957589E-3</v>
      </c>
      <c r="H10" s="3583">
        <f t="shared" ref="H10:J10" si="1">IFERROR(IF(SUM($D10)=0,"NA",N10/$D10),"NA")</f>
        <v>-1.3193201785427844E-2</v>
      </c>
      <c r="I10" s="3583">
        <f t="shared" si="1"/>
        <v>-9.4601483210320862E-3</v>
      </c>
      <c r="J10" s="3583">
        <f t="shared" si="1"/>
        <v>-1.7353373922140533E-3</v>
      </c>
      <c r="K10" s="3585">
        <f>IFERROR(IF(SUM(E10)=0,"NA",Q10/E10),"NA")</f>
        <v>-8.0480607690419891E-3</v>
      </c>
      <c r="L10" s="3584">
        <f>IFERROR(IF(SUM(F10)=0,"NA",R10/F10),"NA")</f>
        <v>-8.7249999999999996</v>
      </c>
      <c r="M10" s="3586">
        <f>IF(SUM(M11,M15)=0,"IE",SUM(M11,M15))</f>
        <v>1943.7650226254227</v>
      </c>
      <c r="N10" s="3583">
        <f t="shared" ref="N10:S10" si="2">IF(SUM(N11,N15)=0,"IE",SUM(N11,N15))</f>
        <v>-6869.5732358349178</v>
      </c>
      <c r="O10" s="3587">
        <f t="shared" si="2"/>
        <v>-4925.8082132094951</v>
      </c>
      <c r="P10" s="3583">
        <f t="shared" si="2"/>
        <v>-903.57348417608796</v>
      </c>
      <c r="Q10" s="3585">
        <f t="shared" si="2"/>
        <v>-4190.5397627404836</v>
      </c>
      <c r="R10" s="3585">
        <f t="shared" si="2"/>
        <v>-8.7249999999999996</v>
      </c>
      <c r="S10" s="3588">
        <f t="shared" si="2"/>
        <v>36771.703687128916</v>
      </c>
      <c r="U10" s="2261"/>
    </row>
    <row r="11" spans="2:21" ht="18" customHeight="1" x14ac:dyDescent="0.2">
      <c r="B11" s="493" t="s">
        <v>988</v>
      </c>
      <c r="C11" s="483"/>
      <c r="D11" s="3599">
        <f>IF(SUM(D12:D14)=0,"IE",SUM(D12:D14))</f>
        <v>507305.69846342999</v>
      </c>
      <c r="E11" s="3564">
        <f t="shared" ref="E11:F11" si="3">IF(SUM(E12:E14)=0,"IE",SUM(E12:E14))</f>
        <v>507305.69846342999</v>
      </c>
      <c r="F11" s="3565" t="str">
        <f t="shared" si="3"/>
        <v>IE</v>
      </c>
      <c r="G11" s="3599">
        <f t="shared" ref="G11:G26" si="4">IFERROR(IF(SUM($D11)=0,"NA",M11/$D11),"NA")</f>
        <v>3.8315458085979737E-3</v>
      </c>
      <c r="H11" s="3109" t="str">
        <f t="shared" ref="H11:H26" si="5">IFERROR(IF(SUM($D11)=0,"NA",N11/$D11),"NA")</f>
        <v>NA</v>
      </c>
      <c r="I11" s="3109">
        <f t="shared" ref="I11:I26" si="6">IFERROR(IF(SUM($D11)=0,"NA",O11/$D11),"NA")</f>
        <v>3.8315458085979737E-3</v>
      </c>
      <c r="J11" s="3109">
        <f t="shared" ref="J11:J26" si="7">IFERROR(IF(SUM($D11)=0,"NA",P11/$D11),"NA")</f>
        <v>8.2962931607126846E-5</v>
      </c>
      <c r="K11" s="3566">
        <f t="shared" ref="K11:K26" si="8">IFERROR(IF(SUM(E11)=0,"NA",Q11/E11),"NA")</f>
        <v>-3.0660510510041442E-3</v>
      </c>
      <c r="L11" s="3249" t="str">
        <f t="shared" ref="L11:L26" si="9">IFERROR(IF(SUM(F11)=0,"NA",R11/F11),"NA")</f>
        <v>NA</v>
      </c>
      <c r="M11" s="3109">
        <f>IF(SUM(M12:M14)=0,"IE",SUM(M12:M14))</f>
        <v>1943.7650226254227</v>
      </c>
      <c r="N11" s="3109" t="str">
        <f t="shared" ref="N11:O11" si="10">IF(SUM(N12:N14)=0,"IE",SUM(N12:N14))</f>
        <v>IE</v>
      </c>
      <c r="O11" s="3109">
        <f t="shared" si="10"/>
        <v>1943.7650226254227</v>
      </c>
      <c r="P11" s="3109">
        <f t="shared" ref="P11" si="11">IF(SUM(P12:P14)=0,"IE",SUM(P12:P14))</f>
        <v>42.087567965527256</v>
      </c>
      <c r="Q11" s="3566">
        <f t="shared" ref="Q11" si="12">IF(SUM(Q12:Q14)=0,"IE",SUM(Q12:Q14))</f>
        <v>-1555.425169954191</v>
      </c>
      <c r="R11" s="3566" t="str">
        <f t="shared" ref="R11" si="13">IF(SUM(R12:R14)=0,"IE",SUM(R12:R14))</f>
        <v>IE</v>
      </c>
      <c r="S11" s="3567">
        <f t="shared" ref="S11" si="14">IF(SUM(S12:S14)=0,"IE",SUM(S12:S14))</f>
        <v>-1578.2338756681165</v>
      </c>
      <c r="U11" s="2397"/>
    </row>
    <row r="12" spans="2:21" ht="18" customHeight="1" x14ac:dyDescent="0.2">
      <c r="B12" s="499"/>
      <c r="C12" s="484" t="s">
        <v>2226</v>
      </c>
      <c r="D12" s="3600">
        <f>IF(SUM(E12:F12)=0,E12,SUM(E12:F12))</f>
        <v>70456.100045431231</v>
      </c>
      <c r="E12" s="3569">
        <v>70456.100045431231</v>
      </c>
      <c r="F12" s="3554" t="s">
        <v>2153</v>
      </c>
      <c r="G12" s="3558">
        <f t="shared" si="4"/>
        <v>9.3619303089824291E-3</v>
      </c>
      <c r="H12" s="3078" t="str">
        <f t="shared" si="5"/>
        <v>NA</v>
      </c>
      <c r="I12" s="3078">
        <f t="shared" si="6"/>
        <v>9.3619303089824291E-3</v>
      </c>
      <c r="J12" s="3078">
        <f t="shared" si="7"/>
        <v>1.8723860617964859E-3</v>
      </c>
      <c r="K12" s="3573">
        <f t="shared" si="8"/>
        <v>7.4895442471859435E-3</v>
      </c>
      <c r="L12" s="3128" t="str">
        <f t="shared" si="9"/>
        <v>NA</v>
      </c>
      <c r="M12" s="2905">
        <v>659.60509846802097</v>
      </c>
      <c r="N12" s="2905" t="s">
        <v>2153</v>
      </c>
      <c r="O12" s="3109">
        <f>IF(SUM(M12:N12)=0,M12,SUM(M12:N12))</f>
        <v>659.60509846802097</v>
      </c>
      <c r="P12" s="2905">
        <v>131.92101969360419</v>
      </c>
      <c r="Q12" s="2906">
        <v>527.68407877441678</v>
      </c>
      <c r="R12" s="2906" t="s">
        <v>2153</v>
      </c>
      <c r="S12" s="3570">
        <f>IF(SUM(O12:R12)=0,Q12,SUM(O12:R12)*-44/12)</f>
        <v>-4837.1040554321544</v>
      </c>
      <c r="U12" s="2398"/>
    </row>
    <row r="13" spans="2:21" ht="18" customHeight="1" x14ac:dyDescent="0.2">
      <c r="B13" s="499"/>
      <c r="C13" s="484" t="s">
        <v>2227</v>
      </c>
      <c r="D13" s="3600">
        <f>IF(SUM(E13:F13)=0,E13,SUM(E13:F13))</f>
        <v>436849.59841799876</v>
      </c>
      <c r="E13" s="3569">
        <v>436849.59841799876</v>
      </c>
      <c r="F13" s="3554" t="s">
        <v>2153</v>
      </c>
      <c r="G13" s="3558" t="str">
        <f t="shared" si="4"/>
        <v>NA</v>
      </c>
      <c r="H13" s="3078" t="str">
        <f t="shared" si="5"/>
        <v>NA</v>
      </c>
      <c r="I13" s="3078" t="str">
        <f t="shared" si="6"/>
        <v>NA</v>
      </c>
      <c r="J13" s="3078" t="str">
        <f t="shared" si="7"/>
        <v>NA</v>
      </c>
      <c r="K13" s="3573">
        <f t="shared" si="8"/>
        <v>-4.7684815466749915E-3</v>
      </c>
      <c r="L13" s="3128" t="str">
        <f t="shared" si="9"/>
        <v>NA</v>
      </c>
      <c r="M13" s="2905" t="s">
        <v>2147</v>
      </c>
      <c r="N13" s="2905" t="s">
        <v>2147</v>
      </c>
      <c r="O13" s="3109" t="str">
        <f>IF(SUM(M13:N13)=0,M13,SUM(M13:N13))</f>
        <v>NA</v>
      </c>
      <c r="P13" s="2905" t="s">
        <v>2147</v>
      </c>
      <c r="Q13" s="2906">
        <v>-2083.1092487286078</v>
      </c>
      <c r="R13" s="2906" t="s">
        <v>2153</v>
      </c>
      <c r="S13" s="3570">
        <f>IF(SUM(O13:R13)=0,Q13,SUM(O13:R13)*-44/12)</f>
        <v>7638.0672453382285</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1284.1599241574017</v>
      </c>
      <c r="N14" s="2905" t="s">
        <v>2153</v>
      </c>
      <c r="O14" s="3109">
        <f>IF(SUM(M14:N14)=0,M14,SUM(M14:N14))</f>
        <v>1284.1599241574017</v>
      </c>
      <c r="P14" s="2905">
        <v>-89.833451728076938</v>
      </c>
      <c r="Q14" s="2906" t="s">
        <v>2147</v>
      </c>
      <c r="R14" s="2906" t="s">
        <v>2147</v>
      </c>
      <c r="S14" s="3570">
        <f>IF(SUM(O14:R14)=0,Q14,SUM(O14:R14)*-44/12)</f>
        <v>-4379.1970655741907</v>
      </c>
      <c r="U14" s="2398"/>
    </row>
    <row r="15" spans="2:21" ht="18" customHeight="1" x14ac:dyDescent="0.2">
      <c r="B15" s="485" t="s">
        <v>1066</v>
      </c>
      <c r="C15" s="486"/>
      <c r="D15" s="3589">
        <f>IF(SUM(D16,D19,D21,D23,D25)=0,"IE",SUM(D16,D19,D21,D23,D25))</f>
        <v>13384.680381718774</v>
      </c>
      <c r="E15" s="3591">
        <f t="shared" ref="E15:F15" si="15">IF(SUM(E16,E19,E21,E23,E25)=0,"IE",SUM(E16,E19,E21,E23,E25))</f>
        <v>13383.680381718774</v>
      </c>
      <c r="F15" s="3595">
        <f t="shared" si="15"/>
        <v>1</v>
      </c>
      <c r="G15" s="3558" t="str">
        <f t="shared" si="4"/>
        <v>NA</v>
      </c>
      <c r="H15" s="3078">
        <f t="shared" si="5"/>
        <v>-0.51324148503520495</v>
      </c>
      <c r="I15" s="3078">
        <f t="shared" si="6"/>
        <v>-0.51324148503520495</v>
      </c>
      <c r="J15" s="3078">
        <f t="shared" si="7"/>
        <v>-7.0652494133011154E-2</v>
      </c>
      <c r="K15" s="3573">
        <f t="shared" si="8"/>
        <v>-0.19689013168497999</v>
      </c>
      <c r="L15" s="3128">
        <f t="shared" si="9"/>
        <v>-8.7249999999999996</v>
      </c>
      <c r="M15" s="3590" t="str">
        <f>IF(SUM(M16,M19,M21,M23,M25)=0,"IE",SUM(M16,M19,M21,M23,M25))</f>
        <v>IE</v>
      </c>
      <c r="N15" s="3591">
        <f t="shared" ref="N15:S15" si="16">IF(SUM(N16,N19,N21,N23,N25)=0,"IE",SUM(N16,N19,N21,N23,N25))</f>
        <v>-6869.5732358349178</v>
      </c>
      <c r="O15" s="3592">
        <f t="shared" si="16"/>
        <v>-6869.5732358349178</v>
      </c>
      <c r="P15" s="3592">
        <f t="shared" si="16"/>
        <v>-945.66105214161519</v>
      </c>
      <c r="Q15" s="3592">
        <f t="shared" si="16"/>
        <v>-2635.1145927862926</v>
      </c>
      <c r="R15" s="3592">
        <f t="shared" si="16"/>
        <v>-8.7249999999999996</v>
      </c>
      <c r="S15" s="3594">
        <f t="shared" si="16"/>
        <v>38349.937562797029</v>
      </c>
      <c r="U15" s="2019"/>
    </row>
    <row r="16" spans="2:21" ht="18" customHeight="1" x14ac:dyDescent="0.2">
      <c r="B16" s="500" t="s">
        <v>1067</v>
      </c>
      <c r="C16" s="486"/>
      <c r="D16" s="3599">
        <f>IF(SUM(D17:D18)=0,"IE",SUM(D17:D18))</f>
        <v>13335.802949182227</v>
      </c>
      <c r="E16" s="3564">
        <f t="shared" ref="E16:F16" si="17">IF(SUM(E17:E18)=0,"IE",SUM(E17:E18))</f>
        <v>13335.802949182227</v>
      </c>
      <c r="F16" s="3565" t="str">
        <f t="shared" si="17"/>
        <v>IE</v>
      </c>
      <c r="G16" s="3558" t="str">
        <f t="shared" si="4"/>
        <v>NA</v>
      </c>
      <c r="H16" s="3078">
        <f t="shared" si="5"/>
        <v>-0.51512258107084363</v>
      </c>
      <c r="I16" s="3078">
        <f t="shared" si="6"/>
        <v>-0.51512258107084363</v>
      </c>
      <c r="J16" s="3078">
        <f t="shared" si="7"/>
        <v>-7.091144460856065E-2</v>
      </c>
      <c r="K16" s="3573">
        <f t="shared" si="8"/>
        <v>-0.18871910490553767</v>
      </c>
      <c r="L16" s="3128" t="str">
        <f t="shared" si="9"/>
        <v>NA</v>
      </c>
      <c r="M16" s="3506" t="str">
        <f>IF(SUM(M17:M18)=0,"IE",SUM(M17:M18))</f>
        <v>IE</v>
      </c>
      <c r="N16" s="3506">
        <f t="shared" ref="N16:O16" si="18">IF(SUM(N17:N18)=0,"IE",SUM(N17:N18))</f>
        <v>-6869.5732358349178</v>
      </c>
      <c r="O16" s="3506">
        <f t="shared" si="18"/>
        <v>-6869.5732358349178</v>
      </c>
      <c r="P16" s="3506">
        <f t="shared" ref="P16" si="19">IF(SUM(P17:P18)=0,"IE",SUM(P17:P18))</f>
        <v>-945.66105214161519</v>
      </c>
      <c r="Q16" s="3601">
        <f t="shared" ref="Q16" si="20">IF(SUM(Q17:Q18)=0,"IE",SUM(Q17:Q18))</f>
        <v>-2516.7207957662995</v>
      </c>
      <c r="R16" s="3601" t="str">
        <f t="shared" ref="R16" si="21">IF(SUM(R17:R18)=0,"IE",SUM(R17:R18))</f>
        <v>IE</v>
      </c>
      <c r="S16" s="3287">
        <f t="shared" ref="S16" si="22">IF(SUM(S17:S18)=0,"IE",SUM(S17:S18))</f>
        <v>37883.835307057052</v>
      </c>
      <c r="U16" s="2400"/>
    </row>
    <row r="17" spans="2:21" ht="18" customHeight="1" x14ac:dyDescent="0.2">
      <c r="B17" s="500"/>
      <c r="C17" s="484" t="s">
        <v>2228</v>
      </c>
      <c r="D17" s="3600">
        <f>IF(SUM(E17:F17)=0,E17,SUM(E17:F17))</f>
        <v>13335.802949182227</v>
      </c>
      <c r="E17" s="3569">
        <v>13335.802949182227</v>
      </c>
      <c r="F17" s="3554" t="s">
        <v>2153</v>
      </c>
      <c r="G17" s="3558" t="str">
        <f t="shared" si="4"/>
        <v>NA</v>
      </c>
      <c r="H17" s="3078">
        <f t="shared" si="5"/>
        <v>-0.51501965391891058</v>
      </c>
      <c r="I17" s="3078">
        <f t="shared" si="6"/>
        <v>-0.51501965391891058</v>
      </c>
      <c r="J17" s="3078">
        <f t="shared" si="7"/>
        <v>-7.0816136844158314E-2</v>
      </c>
      <c r="K17" s="3573">
        <f t="shared" si="8"/>
        <v>-0.18871910490553767</v>
      </c>
      <c r="L17" s="3128" t="str">
        <f t="shared" si="9"/>
        <v>NA</v>
      </c>
      <c r="M17" s="2905" t="s">
        <v>2153</v>
      </c>
      <c r="N17" s="2905">
        <v>-6868.2006196186176</v>
      </c>
      <c r="O17" s="3109">
        <f>IF(SUM(M17:N17)=0,M17,SUM(M17:N17))</f>
        <v>-6868.2006196186176</v>
      </c>
      <c r="P17" s="2905">
        <v>-944.39004657601868</v>
      </c>
      <c r="Q17" s="2906">
        <v>-2516.7207957662995</v>
      </c>
      <c r="R17" s="2906" t="s">
        <v>2153</v>
      </c>
      <c r="S17" s="3570">
        <f>IF(SUM(O17:R17)=0,Q17,SUM(O17:R17)*-44/12)</f>
        <v>37874.142027190101</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-1.3726162163000861</v>
      </c>
      <c r="O18" s="3109">
        <f>IF(SUM(M18:N18)=0,M18,SUM(M18:N18))</f>
        <v>-1.3726162163000861</v>
      </c>
      <c r="P18" s="2905">
        <v>-1.2710055655965184</v>
      </c>
      <c r="Q18" s="2906" t="s">
        <v>2147</v>
      </c>
      <c r="R18" s="2906" t="s">
        <v>2147</v>
      </c>
      <c r="S18" s="3570">
        <f>IF(SUM(O18:R18)=0,Q18,SUM(O18:R18)*-44/12)</f>
        <v>9.6932798669542173</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13161.592425236997</v>
      </c>
      <c r="E10" s="3583">
        <f>IF(SUM(E11,E23)=0,"IE",SUM(E11,E23))</f>
        <v>13124.06553659145</v>
      </c>
      <c r="F10" s="3584">
        <f>IF(SUM(F11,F23)=0,"IE",SUM(F11,F23))</f>
        <v>37.526888645547757</v>
      </c>
      <c r="G10" s="3608" t="str">
        <f>IFERROR(IF(SUM($D10)=0,"NA",M10/$D10),"NA")</f>
        <v>NA</v>
      </c>
      <c r="H10" s="3609">
        <f t="shared" ref="H10:J10" si="0">IFERROR(IF(SUM($D10)=0,"NA",N10/$D10),"NA")</f>
        <v>-6.1543299506516295E-3</v>
      </c>
      <c r="I10" s="3610">
        <f t="shared" si="0"/>
        <v>-6.1543299506516295E-3</v>
      </c>
      <c r="J10" s="3609">
        <f t="shared" si="0"/>
        <v>-1.8219130920307473E-3</v>
      </c>
      <c r="K10" s="3609">
        <f>IFERROR(IF(SUM(E10)=0,"NA",Q10/E10),"NA")</f>
        <v>-9.4882820207654948E-4</v>
      </c>
      <c r="L10" s="3611" t="str">
        <f>IFERROR(IF(SUM(F10)=0,"NA",R10/F10),"NA")</f>
        <v>NA</v>
      </c>
      <c r="M10" s="3610" t="str">
        <f t="shared" ref="M10:S10" si="1">IF(SUM(M11,M23)=0,"IE",SUM(M11,M23))</f>
        <v>IE</v>
      </c>
      <c r="N10" s="3609">
        <f t="shared" si="1"/>
        <v>-81.000782460905668</v>
      </c>
      <c r="O10" s="3610">
        <f t="shared" si="1"/>
        <v>-81.000782460905668</v>
      </c>
      <c r="P10" s="3609">
        <f t="shared" si="1"/>
        <v>-23.979277551511998</v>
      </c>
      <c r="Q10" s="3612">
        <f t="shared" si="1"/>
        <v>-12.45248350701887</v>
      </c>
      <c r="R10" s="3612" t="str">
        <f t="shared" si="1"/>
        <v>IE</v>
      </c>
      <c r="S10" s="3588">
        <f t="shared" si="1"/>
        <v>430.58599290460057</v>
      </c>
      <c r="U10" s="2401"/>
    </row>
    <row r="11" spans="1:23" ht="18" customHeight="1" x14ac:dyDescent="0.2">
      <c r="B11" s="501" t="s">
        <v>990</v>
      </c>
      <c r="C11" s="483"/>
      <c r="D11" s="3613">
        <f>IF(SUM(D12,D14,D17)=0,"IE",SUM(D12,D14,D17))</f>
        <v>13117.176425236998</v>
      </c>
      <c r="E11" s="3614">
        <f t="shared" ref="E11:S11" si="2">IF(SUM(E12,E14,E17)=0,"IE",SUM(E12,E14,E17))</f>
        <v>13079.649536591451</v>
      </c>
      <c r="F11" s="3615">
        <f t="shared" si="2"/>
        <v>37.526888645547757</v>
      </c>
      <c r="G11" s="3616" t="str">
        <f t="shared" ref="G11:G56" si="3">IFERROR(IF(SUM($D11)=0,"NA",M11/$D11),"NA")</f>
        <v>NA</v>
      </c>
      <c r="H11" s="3617">
        <f t="shared" ref="H11:H56" si="4">IFERROR(IF(SUM($D11)=0,"NA",N11/$D11),"NA")</f>
        <v>-6.1440648389731126E-3</v>
      </c>
      <c r="I11" s="3618">
        <f t="shared" ref="I11:I56" si="5">IFERROR(IF(SUM($D11)=0,"NA",O11/$D11),"NA")</f>
        <v>-6.1440648389731126E-3</v>
      </c>
      <c r="J11" s="3617">
        <f t="shared" ref="J11:J56" si="6">IFERROR(IF(SUM($D11)=0,"NA",P11/$D11),"NA")</f>
        <v>-1.8280822620771258E-3</v>
      </c>
      <c r="K11" s="3617">
        <f t="shared" ref="K11:K56" si="7">IFERROR(IF(SUM(E11)=0,"NA",Q11/E11),"NA")</f>
        <v>-9.5205024203301252E-4</v>
      </c>
      <c r="L11" s="3619" t="str">
        <f t="shared" ref="L11:L56" si="8">IFERROR(IF(SUM(F11)=0,"NA",R11/F11),"NA")</f>
        <v>NA</v>
      </c>
      <c r="M11" s="3618" t="str">
        <f t="shared" si="2"/>
        <v>IE</v>
      </c>
      <c r="N11" s="3617">
        <f t="shared" si="2"/>
        <v>-80.592782460905667</v>
      </c>
      <c r="O11" s="3618">
        <f t="shared" si="2"/>
        <v>-80.592782460905667</v>
      </c>
      <c r="P11" s="3617">
        <f t="shared" si="2"/>
        <v>-23.979277551511998</v>
      </c>
      <c r="Q11" s="3620">
        <f t="shared" si="2"/>
        <v>-12.45248350701887</v>
      </c>
      <c r="R11" s="3620" t="str">
        <f t="shared" si="2"/>
        <v>IE</v>
      </c>
      <c r="S11" s="3621">
        <f t="shared" si="2"/>
        <v>429.08999290460059</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880.28179347714058</v>
      </c>
      <c r="E14" s="3564">
        <f>IF(SUM(E15:E16)=0,"IE",SUM(E15:E16))</f>
        <v>880.28179347714058</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547.49170000000015</v>
      </c>
      <c r="E15" s="3569">
        <v>547.49170000000015</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12236.894631759857</v>
      </c>
      <c r="E17" s="3564">
        <f>IF(SUM(E18:E21)=0,"IE",SUM(E18:E21))</f>
        <v>12199.36774311431</v>
      </c>
      <c r="F17" s="3565">
        <f>IF(SUM(F18:F21)=0,"IE",SUM(F18:F21))</f>
        <v>37.526888645547757</v>
      </c>
      <c r="G17" s="3622" t="str">
        <f t="shared" si="3"/>
        <v>NA</v>
      </c>
      <c r="H17" s="3591">
        <f t="shared" si="4"/>
        <v>-6.5860485757337252E-3</v>
      </c>
      <c r="I17" s="3623">
        <f t="shared" si="5"/>
        <v>-6.5860485757337252E-3</v>
      </c>
      <c r="J17" s="3591">
        <f t="shared" si="6"/>
        <v>-1.9595884636675509E-3</v>
      </c>
      <c r="K17" s="3591">
        <f t="shared" si="7"/>
        <v>-1.0207482690279114E-3</v>
      </c>
      <c r="L17" s="3595" t="str">
        <f t="shared" si="8"/>
        <v>NA</v>
      </c>
      <c r="M17" s="3564" t="str">
        <f t="shared" ref="M17:S17" si="16">IF(SUM(M18:M21)=0,"IE",SUM(M18:M21))</f>
        <v>IE</v>
      </c>
      <c r="N17" s="3617">
        <f t="shared" si="16"/>
        <v>-80.592782460905667</v>
      </c>
      <c r="O17" s="3618">
        <f t="shared" si="16"/>
        <v>-80.592782460905667</v>
      </c>
      <c r="P17" s="3617">
        <f t="shared" si="16"/>
        <v>-23.979277551511998</v>
      </c>
      <c r="Q17" s="3620">
        <f t="shared" si="16"/>
        <v>-12.45248350701887</v>
      </c>
      <c r="R17" s="3620" t="str">
        <f t="shared" si="16"/>
        <v>IE</v>
      </c>
      <c r="S17" s="3634">
        <f t="shared" si="16"/>
        <v>429.08999290460059</v>
      </c>
      <c r="U17" s="2402"/>
    </row>
    <row r="18" spans="1:23" ht="18" customHeight="1" x14ac:dyDescent="0.2">
      <c r="A18" s="2502"/>
      <c r="B18" s="2682"/>
      <c r="C18" s="2503" t="s">
        <v>2231</v>
      </c>
      <c r="D18" s="3600">
        <f>IF(SUM(E18:F18)=0,E18,SUM(E18:F18))</f>
        <v>1716.6986404464246</v>
      </c>
      <c r="E18" s="3569">
        <v>1716.6986404464246</v>
      </c>
      <c r="F18" s="3635" t="s">
        <v>2153</v>
      </c>
      <c r="G18" s="3630" t="str">
        <f t="shared" si="3"/>
        <v>NA</v>
      </c>
      <c r="H18" s="3631">
        <f t="shared" si="4"/>
        <v>-9.0671734788150063E-3</v>
      </c>
      <c r="I18" s="3632">
        <f t="shared" si="5"/>
        <v>-9.0671734788150063E-3</v>
      </c>
      <c r="J18" s="3631">
        <f t="shared" si="6"/>
        <v>-1.813434695763E-3</v>
      </c>
      <c r="K18" s="3631">
        <f t="shared" si="7"/>
        <v>-7.253738783052E-3</v>
      </c>
      <c r="L18" s="3633" t="str">
        <f t="shared" si="8"/>
        <v>NA</v>
      </c>
      <c r="M18" s="3624" t="s">
        <v>2153</v>
      </c>
      <c r="N18" s="3625">
        <v>-15.5656043837736</v>
      </c>
      <c r="O18" s="3109">
        <f>IF(SUM(M18:N18)=0,M18,SUM(M18:N18))</f>
        <v>-15.5656043837736</v>
      </c>
      <c r="P18" s="3625">
        <v>-3.1131208767547176</v>
      </c>
      <c r="Q18" s="3626">
        <v>-12.45248350701887</v>
      </c>
      <c r="R18" s="3636" t="s">
        <v>2153</v>
      </c>
      <c r="S18" s="3570">
        <f>IF(SUM(O18:R18)=0,Q18,SUM(O18:R18)*-44/12)</f>
        <v>114.14776548100635</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-65.027178077132064</v>
      </c>
      <c r="O19" s="3109">
        <f t="shared" ref="O19:O22" si="18">IF(SUM(M19:N19)=0,M19,SUM(M19:N19))</f>
        <v>-65.027178077132064</v>
      </c>
      <c r="P19" s="3625">
        <v>-20.866156674757281</v>
      </c>
      <c r="Q19" s="3628" t="s">
        <v>2147</v>
      </c>
      <c r="R19" s="3627" t="s">
        <v>2147</v>
      </c>
      <c r="S19" s="3570">
        <f t="shared" ref="S19:S22" si="19">IF(SUM(O19:R19)=0,Q19,SUM(O19:R19)*-44/12)</f>
        <v>314.94222742359426</v>
      </c>
      <c r="T19" s="2502"/>
      <c r="U19" s="2684"/>
      <c r="V19" s="2502"/>
      <c r="W19" s="2502"/>
    </row>
    <row r="20" spans="1:23" ht="18" customHeight="1" x14ac:dyDescent="0.2">
      <c r="A20" s="2502"/>
      <c r="B20" s="2682"/>
      <c r="C20" s="2683" t="s">
        <v>2234</v>
      </c>
      <c r="D20" s="3600">
        <f t="shared" si="17"/>
        <v>10482.669102667885</v>
      </c>
      <c r="E20" s="3607">
        <v>10482.669102667885</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37.526888645547757</v>
      </c>
      <c r="E21" s="3564" t="str">
        <f t="shared" ref="E21:F21" si="20">E22</f>
        <v>IE</v>
      </c>
      <c r="F21" s="3565">
        <f t="shared" si="20"/>
        <v>37.526888645547757</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37.526888645547757</v>
      </c>
      <c r="E22" s="3569" t="s">
        <v>2153</v>
      </c>
      <c r="F22" s="3554">
        <v>37.526888645547757</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44.415999999999997</v>
      </c>
      <c r="E23" s="3591">
        <f t="shared" ref="E23:F23" si="22">IF(SUM(E24,E35,E46)=0,"IE",SUM(E24,E35,E46))</f>
        <v>44.415999999999997</v>
      </c>
      <c r="F23" s="3595" t="str">
        <f t="shared" si="22"/>
        <v>IE</v>
      </c>
      <c r="G23" s="3622" t="str">
        <f t="shared" si="3"/>
        <v>NA</v>
      </c>
      <c r="H23" s="3591">
        <f t="shared" si="4"/>
        <v>-9.1858789625360229E-3</v>
      </c>
      <c r="I23" s="3623">
        <f t="shared" si="5"/>
        <v>-9.1858789625360229E-3</v>
      </c>
      <c r="J23" s="3591" t="str">
        <f t="shared" si="6"/>
        <v>NA</v>
      </c>
      <c r="K23" s="3591" t="str">
        <f t="shared" si="7"/>
        <v>NA</v>
      </c>
      <c r="L23" s="3595" t="str">
        <f t="shared" si="8"/>
        <v>NA</v>
      </c>
      <c r="M23" s="3591" t="str">
        <f t="shared" ref="M23" si="23">IF(SUM(M24,M35,M46)=0,"IE",SUM(M24,M35,M46))</f>
        <v>IE</v>
      </c>
      <c r="N23" s="3591">
        <f t="shared" ref="N23" si="24">IF(SUM(N24,N35,N46)=0,"IE",SUM(N24,N35,N46))</f>
        <v>-0.40799999999999997</v>
      </c>
      <c r="O23" s="3623">
        <f t="shared" ref="O23" si="25">IF(SUM(O24,O35,O46)=0,"IE",SUM(O24,O35,O46))</f>
        <v>-0.40799999999999997</v>
      </c>
      <c r="P23" s="3591" t="str">
        <f>IF(SUM(P24,P35,P46)=0,"NO",SUM(P24,P35,P46))</f>
        <v>NO</v>
      </c>
      <c r="Q23" s="3590" t="str">
        <f>IF(SUM(Q24,Q35,Q46)=0,"NO",SUM(Q24,Q35,Q46))</f>
        <v>NO</v>
      </c>
      <c r="R23" s="3590" t="str">
        <f>IF(SUM(R24,R35,R46)=0,"NO",SUM(R24,R35,R46))</f>
        <v>NO</v>
      </c>
      <c r="S23" s="3594">
        <f t="shared" ref="S23" si="26">IF(SUM(S24,S35,S46)=0,"IE",SUM(S24,S35,S46))</f>
        <v>1.4959999999999998</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44.415999999999997</v>
      </c>
      <c r="E35" s="3591">
        <f>IF(SUM(E36,E38,E40,E42,E44)=0,"IE",SUM(E36,E38,E40,E42,E44))</f>
        <v>44.415999999999997</v>
      </c>
      <c r="F35" s="3595" t="str">
        <f>IF(SUM(F36,F38,F40,F42,F44)=0,"IE",SUM(F36,F38,F40,F42,F44))</f>
        <v>IE</v>
      </c>
      <c r="G35" s="3622" t="str">
        <f t="shared" si="3"/>
        <v>NA</v>
      </c>
      <c r="H35" s="3591">
        <f t="shared" si="4"/>
        <v>-9.1858789625360229E-3</v>
      </c>
      <c r="I35" s="3623">
        <f t="shared" si="5"/>
        <v>-9.1858789625360229E-3</v>
      </c>
      <c r="J35" s="3591" t="str">
        <f t="shared" si="6"/>
        <v>NA</v>
      </c>
      <c r="K35" s="3591" t="str">
        <f t="shared" si="7"/>
        <v>NA</v>
      </c>
      <c r="L35" s="3595" t="str">
        <f t="shared" si="8"/>
        <v>NA</v>
      </c>
      <c r="M35" s="3591" t="str">
        <f t="shared" ref="M35:S35" si="48">IF(SUM(M36,M38,M40,M42,M44)=0,"IE",SUM(M36,M38,M40,M42,M44))</f>
        <v>IE</v>
      </c>
      <c r="N35" s="3591">
        <f t="shared" si="48"/>
        <v>-0.40799999999999997</v>
      </c>
      <c r="O35" s="3623">
        <f t="shared" si="48"/>
        <v>-0.40799999999999997</v>
      </c>
      <c r="P35" s="3591" t="str">
        <f>IF(SUM(P36,P38,P40,P42,P44)=0,"NO",SUM(P36,P38,P40,P42,P44))</f>
        <v>NO</v>
      </c>
      <c r="Q35" s="3590" t="str">
        <f>IF(SUM(Q36,Q38,Q40,Q42,Q44)=0,"NO",SUM(Q36,Q38,Q40,Q42,Q44))</f>
        <v>NO</v>
      </c>
      <c r="R35" s="3590" t="str">
        <f>IF(SUM(R36,R38,R40,R42,R44)=0,"NO",SUM(R36,R38,R40,R42,R44))</f>
        <v>NO</v>
      </c>
      <c r="S35" s="3594">
        <f t="shared" si="48"/>
        <v>1.4959999999999998</v>
      </c>
      <c r="U35" s="503"/>
    </row>
    <row r="36" spans="2:21" ht="18" customHeight="1" x14ac:dyDescent="0.2">
      <c r="B36" s="505" t="s">
        <v>1087</v>
      </c>
      <c r="C36" s="486"/>
      <c r="D36" s="3600">
        <f>D37</f>
        <v>44.415999999999997</v>
      </c>
      <c r="E36" s="3564">
        <f t="shared" ref="E36:F36" si="49">E37</f>
        <v>44.415999999999997</v>
      </c>
      <c r="F36" s="3565" t="str">
        <f t="shared" si="49"/>
        <v>IE</v>
      </c>
      <c r="G36" s="3558" t="str">
        <f t="shared" si="3"/>
        <v>NA</v>
      </c>
      <c r="H36" s="3078">
        <f t="shared" si="4"/>
        <v>-9.1858789625360229E-3</v>
      </c>
      <c r="I36" s="3078">
        <f t="shared" si="5"/>
        <v>-9.1858789625360229E-3</v>
      </c>
      <c r="J36" s="3078" t="str">
        <f t="shared" si="6"/>
        <v>NA</v>
      </c>
      <c r="K36" s="3573" t="str">
        <f t="shared" si="7"/>
        <v>NA</v>
      </c>
      <c r="L36" s="3128" t="str">
        <f t="shared" si="8"/>
        <v>NA</v>
      </c>
      <c r="M36" s="3505" t="str">
        <f t="shared" ref="M36:S36" si="50">M37</f>
        <v>IE</v>
      </c>
      <c r="N36" s="3506">
        <f t="shared" si="50"/>
        <v>-0.40799999999999997</v>
      </c>
      <c r="O36" s="3506">
        <f t="shared" si="50"/>
        <v>-0.40799999999999997</v>
      </c>
      <c r="P36" s="3506" t="str">
        <f t="shared" si="50"/>
        <v>NA</v>
      </c>
      <c r="Q36" s="3601" t="str">
        <f t="shared" si="50"/>
        <v>NA</v>
      </c>
      <c r="R36" s="3601" t="str">
        <f t="shared" si="50"/>
        <v>NA</v>
      </c>
      <c r="S36" s="3287">
        <f t="shared" si="50"/>
        <v>1.4959999999999998</v>
      </c>
      <c r="U36" s="2402"/>
    </row>
    <row r="37" spans="2:21" ht="18" customHeight="1" x14ac:dyDescent="0.2">
      <c r="B37" s="1479"/>
      <c r="C37" s="885" t="s">
        <v>278</v>
      </c>
      <c r="D37" s="3600">
        <f>IF(SUM(E37:F37)=0,E37,SUM(E37:F37))</f>
        <v>44.415999999999997</v>
      </c>
      <c r="E37" s="3569">
        <v>44.415999999999997</v>
      </c>
      <c r="F37" s="3554" t="s">
        <v>2153</v>
      </c>
      <c r="G37" s="3622" t="str">
        <f t="shared" si="3"/>
        <v>NA</v>
      </c>
      <c r="H37" s="3591">
        <f t="shared" si="4"/>
        <v>-9.1858789625360229E-3</v>
      </c>
      <c r="I37" s="3623">
        <f t="shared" si="5"/>
        <v>-9.1858789625360229E-3</v>
      </c>
      <c r="J37" s="3591" t="str">
        <f t="shared" si="6"/>
        <v>NA</v>
      </c>
      <c r="K37" s="3591" t="str">
        <f t="shared" si="7"/>
        <v>NA</v>
      </c>
      <c r="L37" s="3595" t="str">
        <f t="shared" si="8"/>
        <v>NA</v>
      </c>
      <c r="M37" s="3624" t="s">
        <v>2153</v>
      </c>
      <c r="N37" s="3625">
        <v>-0.40799999999999997</v>
      </c>
      <c r="O37" s="3109">
        <f t="shared" ref="O37" si="51">IF(SUM(M37:N37)=0,M37,SUM(M37:N37))</f>
        <v>-0.40799999999999997</v>
      </c>
      <c r="P37" s="3625" t="s">
        <v>2147</v>
      </c>
      <c r="Q37" s="3626" t="s">
        <v>2147</v>
      </c>
      <c r="R37" s="3626" t="s">
        <v>2147</v>
      </c>
      <c r="S37" s="3570">
        <f t="shared" ref="S37" si="52">IF(SUM(O37:R37)=0,Q37,SUM(O37:R37)*-44/12)</f>
        <v>1.4959999999999998</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1530.5806348252449</v>
      </c>
      <c r="E10" s="3583">
        <f t="shared" ref="E10:F10" si="0">IF(SUM(E11,E13)=0,"IE",SUM(E11,E13))</f>
        <v>1437.7625728510002</v>
      </c>
      <c r="F10" s="3584">
        <f t="shared" si="0"/>
        <v>92.818061974244841</v>
      </c>
      <c r="G10" s="3582">
        <f>IFERROR(IF(SUM($D10)=0,"NA",M10/$D10),"NA")</f>
        <v>2.3280107725759344E-3</v>
      </c>
      <c r="H10" s="3583">
        <f t="shared" ref="H10:J10" si="1">IFERROR(IF(SUM($D10)=0,"NA",N10/$D10),"NA")</f>
        <v>-0.84011543830037716</v>
      </c>
      <c r="I10" s="3583">
        <f t="shared" si="1"/>
        <v>-0.83778742752780122</v>
      </c>
      <c r="J10" s="3583">
        <f t="shared" si="1"/>
        <v>0.1998363988900925</v>
      </c>
      <c r="K10" s="3585">
        <f>IFERROR(IF(SUM(E10)=0,"NA",Q10/E10),"NA")</f>
        <v>-0.10393540370072696</v>
      </c>
      <c r="L10" s="3584">
        <f>IFERROR(IF(SUM(F10)=0,"NA",R10/F10),"NA")</f>
        <v>0.9664558213685337</v>
      </c>
      <c r="M10" s="3586">
        <f>IF(SUM(M11,M13)=0,"IE",SUM(M11,M13))</f>
        <v>3.5632082061692825</v>
      </c>
      <c r="N10" s="3583">
        <f t="shared" ref="N10:S10" si="2">IF(SUM(N11,N13)=0,"IE",SUM(N11,N13))</f>
        <v>-1285.8644208802802</v>
      </c>
      <c r="O10" s="3587">
        <f t="shared" si="2"/>
        <v>-1282.301212674111</v>
      </c>
      <c r="P10" s="3583">
        <f t="shared" si="2"/>
        <v>305.86572227438865</v>
      </c>
      <c r="Q10" s="3585">
        <f t="shared" si="2"/>
        <v>-149.43443343506456</v>
      </c>
      <c r="R10" s="3585">
        <f t="shared" si="2"/>
        <v>89.704556323154264</v>
      </c>
      <c r="S10" s="3588">
        <f t="shared" si="2"/>
        <v>3799.2730142093196</v>
      </c>
      <c r="U10" s="2261"/>
    </row>
    <row r="11" spans="2:21" ht="18" customHeight="1" x14ac:dyDescent="0.2">
      <c r="B11" s="493" t="s">
        <v>993</v>
      </c>
      <c r="C11" s="2256"/>
      <c r="D11" s="3589">
        <f>D12</f>
        <v>1026.8715728510001</v>
      </c>
      <c r="E11" s="3078">
        <f t="shared" ref="E11:F11" si="3">E12</f>
        <v>1026.8715728510001</v>
      </c>
      <c r="F11" s="3078" t="str">
        <f t="shared" si="3"/>
        <v>IE</v>
      </c>
      <c r="G11" s="3558">
        <f t="shared" ref="G11:G24" si="4">IFERROR(IF(SUM($D11)=0,"NA",M11/$D11),"NA")</f>
        <v>3.4699647944059961E-3</v>
      </c>
      <c r="H11" s="3078" t="str">
        <f t="shared" ref="H11:H24" si="5">IFERROR(IF(SUM($D11)=0,"NA",N11/$D11),"NA")</f>
        <v>NA</v>
      </c>
      <c r="I11" s="3078">
        <f t="shared" ref="I11:I24" si="6">IFERROR(IF(SUM($D11)=0,"NA",O11/$D11),"NA")</f>
        <v>3.4699647944059961E-3</v>
      </c>
      <c r="J11" s="3078">
        <f t="shared" ref="J11:J24" si="7">IFERROR(IF(SUM($D11)=0,"NA",P11/$D11),"NA")</f>
        <v>6.939929588811991E-4</v>
      </c>
      <c r="K11" s="3573">
        <f t="shared" ref="K11:K24" si="8">IFERROR(IF(SUM(E11)=0,"NA",Q11/E11),"NA")</f>
        <v>2.7759718355247964E-3</v>
      </c>
      <c r="L11" s="3128" t="str">
        <f t="shared" ref="L11:L24" si="9">IFERROR(IF(SUM(F11)=0,"NA",R11/F11),"NA")</f>
        <v>NA</v>
      </c>
      <c r="M11" s="3590">
        <f t="shared" ref="M11:S11" si="10">M12</f>
        <v>3.5632082061692825</v>
      </c>
      <c r="N11" s="3591" t="str">
        <f t="shared" si="10"/>
        <v>IE</v>
      </c>
      <c r="O11" s="3592">
        <f t="shared" si="10"/>
        <v>3.5632082061692825</v>
      </c>
      <c r="P11" s="3591">
        <f t="shared" si="10"/>
        <v>0.71264164123385632</v>
      </c>
      <c r="Q11" s="3593">
        <f t="shared" si="10"/>
        <v>2.8505665649354253</v>
      </c>
      <c r="R11" s="3593" t="str">
        <f t="shared" si="10"/>
        <v>IE</v>
      </c>
      <c r="S11" s="3594">
        <f t="shared" si="10"/>
        <v>-26.130193511908072</v>
      </c>
      <c r="U11" s="2397"/>
    </row>
    <row r="12" spans="2:21" ht="18" customHeight="1" x14ac:dyDescent="0.2">
      <c r="B12" s="501"/>
      <c r="C12" s="885" t="s">
        <v>278</v>
      </c>
      <c r="D12" s="3600">
        <f>IF(SUM(E12:F12)=0,E12,SUM(E12:F12))</f>
        <v>1026.8715728510001</v>
      </c>
      <c r="E12" s="3569">
        <v>1026.8715728510001</v>
      </c>
      <c r="F12" s="3554" t="s">
        <v>2153</v>
      </c>
      <c r="G12" s="3558">
        <f t="shared" si="4"/>
        <v>3.4699647944059961E-3</v>
      </c>
      <c r="H12" s="3078" t="str">
        <f t="shared" si="5"/>
        <v>NA</v>
      </c>
      <c r="I12" s="3078">
        <f t="shared" si="6"/>
        <v>3.4699647944059961E-3</v>
      </c>
      <c r="J12" s="3078">
        <f t="shared" si="7"/>
        <v>6.939929588811991E-4</v>
      </c>
      <c r="K12" s="3573">
        <f t="shared" si="8"/>
        <v>2.7759718355247964E-3</v>
      </c>
      <c r="L12" s="3128" t="str">
        <f t="shared" si="9"/>
        <v>NA</v>
      </c>
      <c r="M12" s="2905">
        <v>3.5632082061692825</v>
      </c>
      <c r="N12" s="2905" t="s">
        <v>2153</v>
      </c>
      <c r="O12" s="3109">
        <f>IF(SUM(M12:N12)=0,M12,SUM(M12:N12))</f>
        <v>3.5632082061692825</v>
      </c>
      <c r="P12" s="2905">
        <v>0.71264164123385632</v>
      </c>
      <c r="Q12" s="2906">
        <v>2.8505665649354253</v>
      </c>
      <c r="R12" s="2906" t="s">
        <v>2153</v>
      </c>
      <c r="S12" s="3570">
        <f>IF(SUM(O12:R12)=0,Q12,SUM(O12:R12)*-44/12)</f>
        <v>-26.130193511908072</v>
      </c>
      <c r="U12" s="2398"/>
    </row>
    <row r="13" spans="2:21" ht="18" customHeight="1" x14ac:dyDescent="0.2">
      <c r="B13" s="493" t="s">
        <v>994</v>
      </c>
      <c r="C13" s="504"/>
      <c r="D13" s="3589">
        <f>IF(SUM(D14,D17,D19,D21,D23)=0,"IE",SUM(D14,D17,D19,D21,D23))</f>
        <v>503.70906197424483</v>
      </c>
      <c r="E13" s="3591">
        <f t="shared" ref="E13:S13" si="11">IF(SUM(E14,E17,E19,E21,E23)=0,"IE",SUM(E14,E17,E19,E21,E23))</f>
        <v>410.89100000000002</v>
      </c>
      <c r="F13" s="3595">
        <f t="shared" si="11"/>
        <v>92.818061974244841</v>
      </c>
      <c r="G13" s="3558" t="str">
        <f t="shared" si="4"/>
        <v>NA</v>
      </c>
      <c r="H13" s="3078">
        <f t="shared" si="5"/>
        <v>-2.5527919149209746</v>
      </c>
      <c r="I13" s="3078">
        <f t="shared" si="6"/>
        <v>-2.5527919149209746</v>
      </c>
      <c r="J13" s="3078">
        <f t="shared" si="7"/>
        <v>0.6058121714887027</v>
      </c>
      <c r="K13" s="3573">
        <f t="shared" si="8"/>
        <v>-0.3706214056769313</v>
      </c>
      <c r="L13" s="3128">
        <f t="shared" si="9"/>
        <v>0.9664558213685337</v>
      </c>
      <c r="M13" s="3078" t="str">
        <f t="shared" si="11"/>
        <v>IE</v>
      </c>
      <c r="N13" s="3078">
        <f t="shared" si="11"/>
        <v>-1285.8644208802802</v>
      </c>
      <c r="O13" s="3078">
        <f t="shared" si="11"/>
        <v>-1285.8644208802802</v>
      </c>
      <c r="P13" s="3078">
        <f t="shared" si="11"/>
        <v>305.15308063315479</v>
      </c>
      <c r="Q13" s="3573">
        <f t="shared" si="11"/>
        <v>-152.285</v>
      </c>
      <c r="R13" s="3573">
        <f t="shared" si="11"/>
        <v>89.704556323154264</v>
      </c>
      <c r="S13" s="3570">
        <f t="shared" si="11"/>
        <v>3825.4032077212278</v>
      </c>
      <c r="U13" s="2019"/>
    </row>
    <row r="14" spans="2:21" ht="18" customHeight="1" x14ac:dyDescent="0.2">
      <c r="B14" s="495" t="s">
        <v>1101</v>
      </c>
      <c r="C14" s="504"/>
      <c r="D14" s="3599">
        <f>IF(SUM(D15:D16)=0,"IE",SUM(D15:D16))</f>
        <v>503.70906197424483</v>
      </c>
      <c r="E14" s="3564">
        <f t="shared" ref="E14:F14" si="12">IF(SUM(E15:E16)=0,"IE",SUM(E15:E16))</f>
        <v>410.89100000000002</v>
      </c>
      <c r="F14" s="3565">
        <f t="shared" si="12"/>
        <v>92.818061974244841</v>
      </c>
      <c r="G14" s="3558" t="str">
        <f t="shared" si="4"/>
        <v>NA</v>
      </c>
      <c r="H14" s="3078">
        <f t="shared" si="5"/>
        <v>-2.5527919149209746</v>
      </c>
      <c r="I14" s="3078">
        <f t="shared" si="6"/>
        <v>-2.5527919149209746</v>
      </c>
      <c r="J14" s="3078">
        <f t="shared" si="7"/>
        <v>0.6058121714887027</v>
      </c>
      <c r="K14" s="3573">
        <f t="shared" si="8"/>
        <v>-0.3706214056769313</v>
      </c>
      <c r="L14" s="3128">
        <f t="shared" si="9"/>
        <v>0.9664558213685337</v>
      </c>
      <c r="M14" s="3506" t="str">
        <f>IF(SUM(M15:M16)=0,"IE",SUM(M15:M16))</f>
        <v>IE</v>
      </c>
      <c r="N14" s="3506">
        <f t="shared" ref="N14:S14" si="13">IF(SUM(N15:N16)=0,"IE",SUM(N15:N16))</f>
        <v>-1285.8644208802802</v>
      </c>
      <c r="O14" s="3506">
        <f t="shared" si="13"/>
        <v>-1285.8644208802802</v>
      </c>
      <c r="P14" s="3506">
        <f t="shared" si="13"/>
        <v>305.15308063315479</v>
      </c>
      <c r="Q14" s="3601">
        <f t="shared" si="13"/>
        <v>-152.285</v>
      </c>
      <c r="R14" s="3601">
        <f t="shared" si="13"/>
        <v>89.704556323154264</v>
      </c>
      <c r="S14" s="3287">
        <f t="shared" si="13"/>
        <v>3825.4032077212278</v>
      </c>
      <c r="U14" s="2019"/>
    </row>
    <row r="15" spans="2:21" ht="18" customHeight="1" x14ac:dyDescent="0.2">
      <c r="B15" s="496"/>
      <c r="C15" s="508" t="s">
        <v>2235</v>
      </c>
      <c r="D15" s="3600">
        <f>IF(SUM(E15:F15)=0,E15,SUM(E15:F15))</f>
        <v>92.818061974244841</v>
      </c>
      <c r="E15" s="3569" t="s">
        <v>2146</v>
      </c>
      <c r="F15" s="3554">
        <v>92.818061974244841</v>
      </c>
      <c r="G15" s="3558" t="str">
        <f t="shared" si="4"/>
        <v>NA</v>
      </c>
      <c r="H15" s="3078">
        <f t="shared" si="5"/>
        <v>-11.743386984127433</v>
      </c>
      <c r="I15" s="3078">
        <f t="shared" si="6"/>
        <v>-11.743386984127433</v>
      </c>
      <c r="J15" s="3078">
        <f t="shared" si="7"/>
        <v>3.7920968521279925</v>
      </c>
      <c r="K15" s="3573" t="str">
        <f t="shared" si="8"/>
        <v>NA</v>
      </c>
      <c r="L15" s="3128">
        <f t="shared" si="9"/>
        <v>0.9664558213685337</v>
      </c>
      <c r="M15" s="2905" t="s">
        <v>2153</v>
      </c>
      <c r="N15" s="2905">
        <v>-1089.9984208802803</v>
      </c>
      <c r="O15" s="3109">
        <f>IF(SUM(M15:N15)=0,M15,SUM(M15:N15))</f>
        <v>-1089.9984208802803</v>
      </c>
      <c r="P15" s="2905">
        <v>351.97508063315479</v>
      </c>
      <c r="Q15" s="2906" t="s">
        <v>2146</v>
      </c>
      <c r="R15" s="2906">
        <v>89.704556323154264</v>
      </c>
      <c r="S15" s="3570">
        <f>IF(SUM(O15:R15)=0,Q15,SUM(O15:R15)*-44/12)</f>
        <v>2377.1688743878944</v>
      </c>
      <c r="U15" s="2019"/>
    </row>
    <row r="16" spans="2:21" ht="18" customHeight="1" x14ac:dyDescent="0.2">
      <c r="B16" s="494"/>
      <c r="C16" s="508" t="s">
        <v>2236</v>
      </c>
      <c r="D16" s="3600">
        <f>IF(SUM(E16:F16)=0,E16,SUM(E16:F16))</f>
        <v>410.89100000000002</v>
      </c>
      <c r="E16" s="3569">
        <v>410.89100000000002</v>
      </c>
      <c r="F16" s="3554" t="s">
        <v>2153</v>
      </c>
      <c r="G16" s="3558" t="str">
        <f t="shared" si="4"/>
        <v>NA</v>
      </c>
      <c r="H16" s="3078">
        <f t="shared" si="5"/>
        <v>-0.47668603108853685</v>
      </c>
      <c r="I16" s="3078">
        <f t="shared" si="6"/>
        <v>-0.47668603108853685</v>
      </c>
      <c r="J16" s="3078">
        <f t="shared" si="7"/>
        <v>-0.11395236206195804</v>
      </c>
      <c r="K16" s="3573">
        <f t="shared" si="8"/>
        <v>-0.3706214056769313</v>
      </c>
      <c r="L16" s="3128" t="str">
        <f t="shared" si="9"/>
        <v>NA</v>
      </c>
      <c r="M16" s="2905" t="s">
        <v>2153</v>
      </c>
      <c r="N16" s="2905">
        <v>-195.86600000000001</v>
      </c>
      <c r="O16" s="3109">
        <f>IF(SUM(M16:N16)=0,M16,SUM(M16:N16))</f>
        <v>-195.86600000000001</v>
      </c>
      <c r="P16" s="2905">
        <v>-46.822000000000003</v>
      </c>
      <c r="Q16" s="2906">
        <v>-152.285</v>
      </c>
      <c r="R16" s="2906" t="s">
        <v>2153</v>
      </c>
      <c r="S16" s="3570">
        <f>IF(SUM(O16:R16)=0,Q16,SUM(O16:R16)*-44/12)</f>
        <v>1448.2343333333336</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73.548320335298627</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73.548320335298627</v>
      </c>
    </row>
    <row r="270" spans="2:10" ht="18" customHeight="1" x14ac:dyDescent="0.2">
      <c r="B270" s="2827" t="s">
        <v>1187</v>
      </c>
      <c r="C270" s="2828"/>
      <c r="D270" s="2808"/>
      <c r="E270" s="2809"/>
      <c r="F270" s="2810"/>
      <c r="G270" s="2811"/>
      <c r="H270" s="2819" t="s">
        <v>2154</v>
      </c>
      <c r="I270" s="2815" t="s">
        <v>2154</v>
      </c>
      <c r="J270" s="3741">
        <f>J277</f>
        <v>72.709798300420644</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693.15523531392364</v>
      </c>
      <c r="E277" s="2755" t="s">
        <v>2147</v>
      </c>
      <c r="F277" s="2753" t="s">
        <v>2147</v>
      </c>
      <c r="G277" s="3735">
        <f>IF(SUM(D277)=0,"NA",J277*1000/D277)</f>
        <v>104.89684647262463</v>
      </c>
      <c r="H277" s="2778" t="str">
        <f t="shared" ref="H277:J277" si="1">H302</f>
        <v>NE</v>
      </c>
      <c r="I277" s="2777" t="str">
        <f t="shared" si="1"/>
        <v>NE</v>
      </c>
      <c r="J277" s="3734">
        <f t="shared" si="1"/>
        <v>72.709798300420644</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398.08012067612941</v>
      </c>
      <c r="E281" s="2755" t="str">
        <f t="shared" si="2"/>
        <v>NA</v>
      </c>
      <c r="F281" s="2753" t="str">
        <f t="shared" si="2"/>
        <v>NA</v>
      </c>
      <c r="G281" s="3735">
        <f t="shared" si="2"/>
        <v>121.22170320865101</v>
      </c>
      <c r="H281" s="2780" t="str">
        <f t="shared" ref="H281" si="3">H306</f>
        <v>NA</v>
      </c>
      <c r="I281" s="2758" t="str">
        <f t="shared" ref="I281:J281" si="4">I306</f>
        <v>NA</v>
      </c>
      <c r="J281" s="3744">
        <f t="shared" si="4"/>
        <v>48.255950241865733</v>
      </c>
    </row>
    <row r="282" spans="2:10" ht="18" customHeight="1" outlineLevel="1" x14ac:dyDescent="0.2">
      <c r="B282" s="2847" t="str">
        <f>B307</f>
        <v>Other Constructed Water Bodies</v>
      </c>
      <c r="C282" s="2835" t="str">
        <f t="shared" si="2"/>
        <v>Other Constructed Water Bodies</v>
      </c>
      <c r="D282" s="3729">
        <f t="shared" si="2"/>
        <v>295.07511463779417</v>
      </c>
      <c r="E282" s="2755" t="str">
        <f t="shared" si="2"/>
        <v>NA</v>
      </c>
      <c r="F282" s="2753" t="str">
        <f t="shared" si="2"/>
        <v>NA</v>
      </c>
      <c r="G282" s="3735">
        <f t="shared" si="2"/>
        <v>82.873298511032004</v>
      </c>
      <c r="H282" s="2845" t="str">
        <f t="shared" ref="H282" si="5">H307</f>
        <v>NA</v>
      </c>
      <c r="I282" s="2846" t="str">
        <f t="shared" ref="I282:J282" si="6">I307</f>
        <v>NA</v>
      </c>
      <c r="J282" s="3744">
        <f t="shared" si="6"/>
        <v>24.453848058554907</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72.709798300420644</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693.15523531392364</v>
      </c>
      <c r="E302" s="2755" t="s">
        <v>2147</v>
      </c>
      <c r="F302" s="2753" t="s">
        <v>2147</v>
      </c>
      <c r="G302" s="3735">
        <f>IF(SUM(D302)=0,"NA",J302*1000/D302)</f>
        <v>104.89684647262463</v>
      </c>
      <c r="H302" s="2778" t="s">
        <v>2154</v>
      </c>
      <c r="I302" s="2777" t="s">
        <v>2154</v>
      </c>
      <c r="J302" s="3734">
        <f t="shared" ref="J302" si="7">IF(SUM(J306:J307)=0,"NO",SUM(J306:J307))</f>
        <v>72.709798300420644</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398.08012067612941</v>
      </c>
      <c r="E306" s="2755" t="s">
        <v>2147</v>
      </c>
      <c r="F306" s="2753" t="s">
        <v>2147</v>
      </c>
      <c r="G306" s="3735">
        <f>IF(SUM(D306)=0,"NA",J306*1000/D306)</f>
        <v>121.22170320865101</v>
      </c>
      <c r="H306" s="2780" t="s">
        <v>2147</v>
      </c>
      <c r="I306" s="2758" t="s">
        <v>2147</v>
      </c>
      <c r="J306" s="3744">
        <v>48.255950241865733</v>
      </c>
    </row>
    <row r="307" spans="2:10" ht="18" customHeight="1" outlineLevel="2" x14ac:dyDescent="0.2">
      <c r="B307" s="2847" t="s">
        <v>2245</v>
      </c>
      <c r="C307" s="2835" t="s">
        <v>2245</v>
      </c>
      <c r="D307" s="3732">
        <v>295.07511463779417</v>
      </c>
      <c r="E307" s="2755" t="s">
        <v>2147</v>
      </c>
      <c r="F307" s="2753" t="s">
        <v>2147</v>
      </c>
      <c r="G307" s="3735">
        <f>IF(SUM(D307)=0,"NA",J307*1000/D307)</f>
        <v>82.873298511032004</v>
      </c>
      <c r="H307" s="2780" t="s">
        <v>2147</v>
      </c>
      <c r="I307" s="2758" t="s">
        <v>2147</v>
      </c>
      <c r="J307" s="3744">
        <v>24.453848058554907</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0.83852203487798382</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3.6955107382616483</v>
      </c>
      <c r="E327" s="2776" t="str">
        <f t="shared" ref="E327:J327" si="8">E331</f>
        <v>NA</v>
      </c>
      <c r="F327" s="2777" t="str">
        <f t="shared" si="8"/>
        <v>NA</v>
      </c>
      <c r="G327" s="3737">
        <f t="shared" si="8"/>
        <v>226.90288143295203</v>
      </c>
      <c r="H327" s="2778" t="str">
        <f t="shared" si="8"/>
        <v>IE</v>
      </c>
      <c r="I327" s="2777" t="str">
        <f t="shared" si="8"/>
        <v>NA</v>
      </c>
      <c r="J327" s="3734">
        <f t="shared" si="8"/>
        <v>0.83852203487798382</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3.6955107382616483</v>
      </c>
      <c r="E331" s="2755" t="str">
        <f t="shared" si="9"/>
        <v>NA</v>
      </c>
      <c r="F331" s="2753" t="str">
        <f t="shared" si="9"/>
        <v>NA</v>
      </c>
      <c r="G331" s="3735">
        <f t="shared" si="9"/>
        <v>226.90288143295203</v>
      </c>
      <c r="H331" s="2765" t="str">
        <f t="shared" si="9"/>
        <v>IE</v>
      </c>
      <c r="I331" s="2758" t="str">
        <f t="shared" si="9"/>
        <v>NA</v>
      </c>
      <c r="J331" s="3744">
        <f t="shared" si="9"/>
        <v>0.83852203487798382</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0.83852203487798382</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3.6955107382616483</v>
      </c>
      <c r="E411" s="2776" t="str">
        <f t="shared" ref="E411:J411" si="10">E415</f>
        <v>NA</v>
      </c>
      <c r="F411" s="2777" t="str">
        <f t="shared" si="10"/>
        <v>NA</v>
      </c>
      <c r="G411" s="3737">
        <f t="shared" si="10"/>
        <v>226.90288143295203</v>
      </c>
      <c r="H411" s="2778" t="str">
        <f t="shared" si="10"/>
        <v>IE</v>
      </c>
      <c r="I411" s="2777" t="str">
        <f t="shared" si="10"/>
        <v>NA</v>
      </c>
      <c r="J411" s="3734">
        <f t="shared" si="10"/>
        <v>0.83852203487798382</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3.6955107382616483</v>
      </c>
      <c r="E415" s="2755" t="str">
        <f>E427</f>
        <v>NA</v>
      </c>
      <c r="F415" s="2753" t="str">
        <f>F427</f>
        <v>NA</v>
      </c>
      <c r="G415" s="3735">
        <f t="shared" ref="G415:J415" si="11">G427</f>
        <v>226.90288143295203</v>
      </c>
      <c r="H415" s="2780" t="str">
        <f t="shared" si="11"/>
        <v>IE</v>
      </c>
      <c r="I415" s="2758" t="str">
        <f t="shared" si="11"/>
        <v>NA</v>
      </c>
      <c r="J415" s="3744">
        <f t="shared" si="11"/>
        <v>0.83852203487798382</v>
      </c>
    </row>
    <row r="416" spans="2:10" ht="18" customHeight="1" outlineLevel="2" x14ac:dyDescent="0.2">
      <c r="B416" s="2842" t="s">
        <v>1199</v>
      </c>
      <c r="C416" s="2828"/>
      <c r="D416" s="3731"/>
      <c r="E416" s="2809"/>
      <c r="F416" s="2810"/>
      <c r="G416" s="3738"/>
      <c r="H416" s="2819" t="s">
        <v>2154</v>
      </c>
      <c r="I416" s="2815" t="s">
        <v>2154</v>
      </c>
      <c r="J416" s="3741">
        <f>J423</f>
        <v>0.83852203487798382</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3.6955107382616483</v>
      </c>
      <c r="E423" s="2776" t="str">
        <f t="shared" ref="E423:J423" si="12">E427</f>
        <v>NA</v>
      </c>
      <c r="F423" s="2777" t="str">
        <f t="shared" si="12"/>
        <v>NA</v>
      </c>
      <c r="G423" s="3737">
        <f t="shared" si="12"/>
        <v>226.90288143295203</v>
      </c>
      <c r="H423" s="2778" t="str">
        <f t="shared" si="12"/>
        <v>IE</v>
      </c>
      <c r="I423" s="2777" t="str">
        <f t="shared" si="12"/>
        <v>NA</v>
      </c>
      <c r="J423" s="3734">
        <f t="shared" si="12"/>
        <v>0.83852203487798382</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3.6955107382616483</v>
      </c>
      <c r="E427" s="2755" t="s">
        <v>2147</v>
      </c>
      <c r="F427" s="2753" t="s">
        <v>2147</v>
      </c>
      <c r="G427" s="3735">
        <f>IF(SUM(D427)=0,"NA",J427*1000/D427)</f>
        <v>226.90288143295203</v>
      </c>
      <c r="H427" s="2780" t="s">
        <v>2153</v>
      </c>
      <c r="I427" s="2758" t="s">
        <v>2147</v>
      </c>
      <c r="J427" s="3744">
        <v>0.83852203487798382</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657143.76749066229</v>
      </c>
      <c r="D10" s="4332">
        <f>IF(SUM(D11,D20,D28,D37,D46,D55)=0,"NO",SUM(D11,D20,D28,D37,D46,D55))</f>
        <v>56459.751757821439</v>
      </c>
      <c r="E10" s="4333">
        <f t="shared" ref="E10:E12" si="0">IF(SUM(C10)=0,"NA",G10/C10*1000/(44/28))</f>
        <v>1.8332682234672372E-3</v>
      </c>
      <c r="F10" s="4332">
        <f t="shared" ref="F10:F11" si="1">IF(SUM(D10)=0,"NA",H10/D10*1000/(44/28))</f>
        <v>7.5000000000000006E-3</v>
      </c>
      <c r="G10" s="4331">
        <f>IF(SUM(G11,G20,G28,G37,G46,G55)=0,"NO",SUM(G11,G20,G28,G37,G46,G55))</f>
        <v>1.8931326655845586</v>
      </c>
      <c r="H10" s="4334">
        <f>IF(SUM(H11,H20,H28,H37,H46,H55)=0,"NO",SUM(H11,H20,H28,H37,H46,H55))</f>
        <v>0.66541850286003845</v>
      </c>
      <c r="I10" s="4335">
        <f t="shared" ref="I10:I11" si="2">IF(SUM(G10:H10)=0,"NO",SUM(G10:H10))</f>
        <v>2.558551168444597</v>
      </c>
    </row>
    <row r="11" spans="2:10" ht="18" customHeight="1" x14ac:dyDescent="0.2">
      <c r="B11" s="2848" t="s">
        <v>1901</v>
      </c>
      <c r="C11" s="4336">
        <f>IF(SUM(C12:C13)=0,"NO",SUM(C12:C13))</f>
        <v>132778.29350519908</v>
      </c>
      <c r="D11" s="4337">
        <f>IF(SUM(D12:D13)=0,"NO",SUM(D12:D13))</f>
        <v>21891.555109235149</v>
      </c>
      <c r="E11" s="4336">
        <f t="shared" si="0"/>
        <v>2.9458155693018648E-3</v>
      </c>
      <c r="F11" s="4337">
        <f t="shared" si="1"/>
        <v>7.4999999999999997E-3</v>
      </c>
      <c r="G11" s="4336">
        <f>IF(SUM(G12:G13)=0,"NO",SUM(G12:G13))</f>
        <v>0.61464914385748992</v>
      </c>
      <c r="H11" s="4338">
        <f>IF(SUM(H12:H13)=0,"NO",SUM(H12:H13))</f>
        <v>0.25800761378741427</v>
      </c>
      <c r="I11" s="4337">
        <f t="shared" si="2"/>
        <v>0.87265675764490425</v>
      </c>
    </row>
    <row r="12" spans="2:10" ht="18" customHeight="1" x14ac:dyDescent="0.2">
      <c r="B12" s="914" t="s">
        <v>1228</v>
      </c>
      <c r="C12" s="4339">
        <f>Table4.A!E11</f>
        <v>119996.991302924</v>
      </c>
      <c r="D12" s="4340">
        <f>H12/F12*1000/(44/28)</f>
        <v>6096.3653861775638</v>
      </c>
      <c r="E12" s="4341">
        <f t="shared" si="0"/>
        <v>4.9809816547961795E-4</v>
      </c>
      <c r="F12" s="4342">
        <v>7.4999999999999997E-3</v>
      </c>
      <c r="G12" s="4339">
        <v>9.3924727648808742E-2</v>
      </c>
      <c r="H12" s="4343">
        <v>7.1850020622807001E-2</v>
      </c>
      <c r="I12" s="4344">
        <f>IF(SUM(G12:H12)=0,"NO",SUM(G12:H12))</f>
        <v>0.16577474827161576</v>
      </c>
    </row>
    <row r="13" spans="2:10" ht="18" customHeight="1" x14ac:dyDescent="0.2">
      <c r="B13" s="914" t="s">
        <v>1902</v>
      </c>
      <c r="C13" s="4345">
        <f>IF(SUM(C15:C19)=0,"NO",SUM(C15:C19))</f>
        <v>12781.302202275092</v>
      </c>
      <c r="D13" s="4344">
        <f>IF(SUM(D15:D19)=0,"NO",SUM(D15:D19))</f>
        <v>15795.189723057585</v>
      </c>
      <c r="E13" s="4345">
        <f>IF(SUM(C13)=0,"NA",G13/C13*1000/(44/28))</f>
        <v>2.592615977602843E-2</v>
      </c>
      <c r="F13" s="4344">
        <f>IF(SUM(D13)=0,"NA",H13/D13*1000/(44/28))</f>
        <v>7.4999999999999997E-3</v>
      </c>
      <c r="G13" s="4345">
        <f>IF(SUM(G15:G19)=0,"NO",SUM(G15:G19))</f>
        <v>0.52072441620868115</v>
      </c>
      <c r="H13" s="4346">
        <f>IF(SUM(H15:H19)=0,"NO",SUM(H15:H19))</f>
        <v>0.18615759316460725</v>
      </c>
      <c r="I13" s="4344">
        <f>IF(SUM(G13:H13)=0,"NO",SUM(G13:H13))</f>
        <v>0.70688200937328838</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89.081999999999994</v>
      </c>
      <c r="D15" s="4340">
        <f>H15/F15*1000/(44/28)</f>
        <v>157.35646142393003</v>
      </c>
      <c r="E15" s="4345">
        <f>IF(SUM(C15)=0,"NA",G15/C15*1000/(44/28))</f>
        <v>3.7638168578762642E-2</v>
      </c>
      <c r="F15" s="4342">
        <v>7.4999999999999997E-3</v>
      </c>
      <c r="G15" s="4350">
        <v>5.2688166666666663E-3</v>
      </c>
      <c r="H15" s="4351">
        <v>1.8545582953534609E-3</v>
      </c>
      <c r="I15" s="4344">
        <f>IF(SUM(G15:H15)=0,"NO",SUM(G15:H15))</f>
        <v>7.1233749620201268E-3</v>
      </c>
    </row>
    <row r="16" spans="2:10" ht="18" customHeight="1" x14ac:dyDescent="0.2">
      <c r="B16" s="528" t="s">
        <v>1230</v>
      </c>
      <c r="C16" s="4350">
        <f>Table4.A!E19</f>
        <v>12622.173202275091</v>
      </c>
      <c r="D16" s="4340">
        <f>H16/F16*1000/(44/28)</f>
        <v>15441.385302660485</v>
      </c>
      <c r="E16" s="4345">
        <f t="shared" ref="E16:E21" si="3">IF(SUM(C16)=0,"NA",G16/C16*1000/(44/28))</f>
        <v>2.557686075144585E-2</v>
      </c>
      <c r="F16" s="4342">
        <v>7.4999999999999997E-3</v>
      </c>
      <c r="G16" s="4350">
        <v>0.50731303287534779</v>
      </c>
      <c r="H16" s="4351">
        <v>0.18198775535278428</v>
      </c>
      <c r="I16" s="4344">
        <f t="shared" ref="I16:I21" si="4">IF(SUM(G16:H16)=0,"NO",SUM(G16:H16))</f>
        <v>0.68930078822813212</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70.046999999999997</v>
      </c>
      <c r="D18" s="4340">
        <f>H18/F18*1000/(44/28)</f>
        <v>196.44795897317007</v>
      </c>
      <c r="E18" s="4345">
        <f t="shared" si="3"/>
        <v>7.3973665300916994E-2</v>
      </c>
      <c r="F18" s="4342">
        <v>7.4999999999999997E-3</v>
      </c>
      <c r="G18" s="4350">
        <v>8.142566666666665E-3</v>
      </c>
      <c r="H18" s="4351">
        <v>2.3152795164695047E-3</v>
      </c>
      <c r="I18" s="4344">
        <f t="shared" si="4"/>
        <v>1.0457846183136169E-2</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2286.21</v>
      </c>
      <c r="D20" s="4360">
        <f>D21</f>
        <v>1803.093327815471</v>
      </c>
      <c r="E20" s="4359">
        <f t="shared" si="3"/>
        <v>1.7000435947120633E-2</v>
      </c>
      <c r="F20" s="4360">
        <f t="shared" si="5"/>
        <v>7.4999999999999997E-3</v>
      </c>
      <c r="G20" s="4359">
        <f>G21</f>
        <v>6.1076033333333328E-2</v>
      </c>
      <c r="H20" s="4361">
        <f>H21</f>
        <v>2.1250742792110908E-2</v>
      </c>
      <c r="I20" s="4360">
        <f t="shared" si="4"/>
        <v>8.2326776125444229E-2</v>
      </c>
    </row>
    <row r="21" spans="2:9" ht="18" customHeight="1" x14ac:dyDescent="0.2">
      <c r="B21" s="914" t="s">
        <v>1904</v>
      </c>
      <c r="C21" s="4345">
        <f>IF(SUM(C23:C27)=0,"NO",SUM(C23:C27))</f>
        <v>2286.21</v>
      </c>
      <c r="D21" s="4344">
        <f>IF(SUM(D23:D27)=0,"NO",SUM(D23:D27))</f>
        <v>1803.093327815471</v>
      </c>
      <c r="E21" s="4345">
        <f t="shared" si="3"/>
        <v>1.7000435947120633E-2</v>
      </c>
      <c r="F21" s="4344">
        <f t="shared" si="5"/>
        <v>7.4999999999999997E-3</v>
      </c>
      <c r="G21" s="4345">
        <f>IF(SUM(G23:G27)=0,"NO",SUM(G23:G27))</f>
        <v>6.1076033333333328E-2</v>
      </c>
      <c r="H21" s="4346">
        <f>IF(SUM(H23:H27)=0,"NO",SUM(H23:H27))</f>
        <v>2.1250742792110908E-2</v>
      </c>
      <c r="I21" s="4344">
        <f t="shared" si="4"/>
        <v>8.2326776125444229E-2</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2286.21</v>
      </c>
      <c r="D23" s="4340">
        <f>H23/F23*1000/(44/28)</f>
        <v>1803.093327815471</v>
      </c>
      <c r="E23" s="4345">
        <f>IF(SUM(C23)=0,"NA",G23/C23*1000/(44/28))</f>
        <v>1.7000435947120633E-2</v>
      </c>
      <c r="F23" s="4342">
        <v>7.4999999999999997E-3</v>
      </c>
      <c r="G23" s="4350">
        <v>6.1076033333333328E-2</v>
      </c>
      <c r="H23" s="4351">
        <v>2.1250742792110908E-2</v>
      </c>
      <c r="I23" s="4344">
        <f>IF(SUM(G23:H23)=0,"NO",SUM(G23:H23))</f>
        <v>8.2326776125444229E-2</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520641.50141261221</v>
      </c>
      <c r="D28" s="4337">
        <f>IF(SUM(D29:D30)=0,"NO",SUM(D29:D30))</f>
        <v>32111.945326652371</v>
      </c>
      <c r="E28" s="4336">
        <f t="shared" si="6"/>
        <v>1.4537857245425498E-3</v>
      </c>
      <c r="F28" s="4337">
        <f t="shared" si="7"/>
        <v>7.4999999999999997E-3</v>
      </c>
      <c r="G28" s="4336">
        <f>IF(SUM(G29:G30)=0,"NO",SUM(G29:G30))</f>
        <v>1.1894161437055155</v>
      </c>
      <c r="H28" s="4338">
        <f>IF(SUM(H29:H30)=0,"NO",SUM(H29:H30))</f>
        <v>0.37846221277840292</v>
      </c>
      <c r="I28" s="4360">
        <f t="shared" si="8"/>
        <v>1.5678783564839185</v>
      </c>
    </row>
    <row r="29" spans="2:9" ht="18" customHeight="1" x14ac:dyDescent="0.2">
      <c r="B29" s="914" t="s">
        <v>1239</v>
      </c>
      <c r="C29" s="4339">
        <f>Table4.C!E11</f>
        <v>507305.69846342999</v>
      </c>
      <c r="D29" s="4340">
        <f>H29/F29*1000/(44/28)</f>
        <v>23133.652724283969</v>
      </c>
      <c r="E29" s="4341">
        <f t="shared" si="6"/>
        <v>8.8267588507893676E-4</v>
      </c>
      <c r="F29" s="4342">
        <v>7.4999999999999997E-3</v>
      </c>
      <c r="G29" s="4339">
        <v>0.70366451005210839</v>
      </c>
      <c r="H29" s="4343">
        <v>0.27264662139334678</v>
      </c>
      <c r="I29" s="4344">
        <f t="shared" si="8"/>
        <v>0.97631113144545512</v>
      </c>
    </row>
    <row r="30" spans="2:9" ht="18" customHeight="1" x14ac:dyDescent="0.2">
      <c r="B30" s="914" t="s">
        <v>1906</v>
      </c>
      <c r="C30" s="4345">
        <f>IF(SUM(C32:C36)=0,"NO",SUM(C32:C36))</f>
        <v>13335.802949182227</v>
      </c>
      <c r="D30" s="4344">
        <f>IF(SUM(D32:D36)=0,"NO",SUM(D32:D36))</f>
        <v>8978.2926023684013</v>
      </c>
      <c r="E30" s="4345">
        <f>IF(SUM(C30)=0,"NA",G30/C30*1000/(44/28))</f>
        <v>2.3179307398225647E-2</v>
      </c>
      <c r="F30" s="4344">
        <f>IF(SUM(D30)=0,"NA",H30/D30*1000/(44/28))</f>
        <v>7.4999999999999997E-3</v>
      </c>
      <c r="G30" s="4345">
        <f>IF(SUM(G32:G36)=0,"NO",SUM(G32:G36))</f>
        <v>0.48575163365340701</v>
      </c>
      <c r="H30" s="4346">
        <f>IF(SUM(H32:H36)=0,"NO",SUM(H32:H36))</f>
        <v>0.10581559138505614</v>
      </c>
      <c r="I30" s="4344">
        <f t="shared" si="8"/>
        <v>0.59156722503846315</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13335.802949182227</v>
      </c>
      <c r="D32" s="4340">
        <f>H32/F32*1000/(44/28)</f>
        <v>8978.2926023684013</v>
      </c>
      <c r="E32" s="4345">
        <f>IF(SUM(C32)=0,"NA",G32/C32*1000/(44/28))</f>
        <v>2.3179307398225647E-2</v>
      </c>
      <c r="F32" s="4342">
        <v>7.4999999999999997E-3</v>
      </c>
      <c r="G32" s="4350">
        <v>0.48575163365340701</v>
      </c>
      <c r="H32" s="4351">
        <v>0.10581559138505614</v>
      </c>
      <c r="I32" s="4344">
        <f t="shared" si="8"/>
        <v>0.59156722503846315</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1437.7625728510002</v>
      </c>
      <c r="D46" s="4337">
        <f>IF(SUM(D47:D48)=0,"NO",SUM(D47:D48))</f>
        <v>653.15799411845376</v>
      </c>
      <c r="E46" s="4336">
        <f t="shared" si="11"/>
        <v>1.2389162319882956E-2</v>
      </c>
      <c r="F46" s="4337">
        <f t="shared" si="12"/>
        <v>7.4999999999999997E-3</v>
      </c>
      <c r="G46" s="4336">
        <f>IF(SUM(G47:G48)=0,"NO",SUM(G47:G48))</f>
        <v>2.7991344688219916E-2</v>
      </c>
      <c r="H46" s="4338">
        <f>IF(SUM(H47:H48)=0,"NO",SUM(H47:H48))</f>
        <v>7.6979335021103469E-3</v>
      </c>
      <c r="I46" s="4337">
        <f t="shared" si="8"/>
        <v>3.5689278190330263E-2</v>
      </c>
    </row>
    <row r="47" spans="2:9" ht="18" customHeight="1" x14ac:dyDescent="0.2">
      <c r="B47" s="914" t="s">
        <v>1251</v>
      </c>
      <c r="C47" s="4339">
        <f>Table4.E!E11</f>
        <v>1026.8715728510001</v>
      </c>
      <c r="D47" s="4340">
        <f>H47/F47*1000/(44/28)</f>
        <v>2.9188209671306353</v>
      </c>
      <c r="E47" s="4341">
        <f t="shared" si="11"/>
        <v>4.4884443574851864E-5</v>
      </c>
      <c r="F47" s="4342">
        <v>7.4999999999999997E-3</v>
      </c>
      <c r="G47" s="4339">
        <v>7.2428021553250157E-5</v>
      </c>
      <c r="H47" s="4343">
        <v>3.440038996975392E-5</v>
      </c>
      <c r="I47" s="4344">
        <f t="shared" si="8"/>
        <v>1.0682841152300407E-4</v>
      </c>
    </row>
    <row r="48" spans="2:9" ht="18" customHeight="1" x14ac:dyDescent="0.2">
      <c r="B48" s="914" t="s">
        <v>1910</v>
      </c>
      <c r="C48" s="4345">
        <f>IF(SUM(C50:C54)=0,"NO",SUM(C50:C54))</f>
        <v>410.89100000000002</v>
      </c>
      <c r="D48" s="4344">
        <f>IF(SUM(D50:D54)=0,"NO",SUM(D50:D54))</f>
        <v>650.23917315132314</v>
      </c>
      <c r="E48" s="4345">
        <f>IF(SUM(C48)=0,"NA",G48/C48*1000/(44/28))</f>
        <v>4.323916399564199E-2</v>
      </c>
      <c r="F48" s="4344">
        <f>IF(SUM(D48)=0,"NA",H48/D48*1000/(44/28))</f>
        <v>7.4999999999999997E-3</v>
      </c>
      <c r="G48" s="4345">
        <f>IF(SUM(G50:G54)=0,"NO",SUM(G50:G54))</f>
        <v>2.7918916666666665E-2</v>
      </c>
      <c r="H48" s="4346">
        <f>IF(SUM(H50:H54)=0,"NO",SUM(H50:H54))</f>
        <v>7.663533112140593E-3</v>
      </c>
      <c r="I48" s="4344">
        <f t="shared" si="8"/>
        <v>3.5582449778807257E-2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410.89100000000002</v>
      </c>
      <c r="D50" s="4340">
        <f>H50/F50*1000/(44/28)</f>
        <v>650.23917315132314</v>
      </c>
      <c r="E50" s="4345">
        <f>IF(SUM(C50)=0,"NA",G50/C50*1000/(44/28))</f>
        <v>4.323916399564199E-2</v>
      </c>
      <c r="F50" s="4342">
        <v>7.4999999999999997E-3</v>
      </c>
      <c r="G50" s="4350">
        <v>2.7918916666666665E-2</v>
      </c>
      <c r="H50" s="4351">
        <v>7.663533112140593E-3</v>
      </c>
      <c r="I50" s="4344">
        <f t="shared" si="8"/>
        <v>3.5582449778807257E-2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5361691.1931656459</v>
      </c>
      <c r="D10" s="3076" t="s">
        <v>1814</v>
      </c>
      <c r="E10" s="628"/>
      <c r="F10" s="628"/>
      <c r="G10" s="628"/>
      <c r="H10" s="1913">
        <f>IF(SUM(H11:H15)=0,"NO",SUM(H11:H15))</f>
        <v>368590.01085932762</v>
      </c>
      <c r="I10" s="1913">
        <f t="shared" ref="I10:K10" si="0">IF(SUM(I11:I16)=0,"NO",SUM(I11:I16))</f>
        <v>83.957574218350175</v>
      </c>
      <c r="J10" s="1913">
        <f t="shared" si="0"/>
        <v>10.853009083001748</v>
      </c>
      <c r="K10" s="3085" t="str">
        <f t="shared" si="0"/>
        <v>NO</v>
      </c>
    </row>
    <row r="11" spans="2:11" ht="18" customHeight="1" x14ac:dyDescent="0.2">
      <c r="B11" s="282" t="s">
        <v>132</v>
      </c>
      <c r="C11" s="3086">
        <f>IF(SUM(C18,'Table1.A(a)s2'!C11,'Table1.A(a)s3'!C11,'Table1.A(a)s4'!C11,'Table1.A(a)s4'!C94)=0,"NO",SUM(C18,'Table1.A(a)s2'!C11,'Table1.A(a)s3'!C11,'Table1.A(a)s4'!C11,'Table1.A(a)s4'!C94))</f>
        <v>1975661.3638231587</v>
      </c>
      <c r="D11" s="3077" t="s">
        <v>2145</v>
      </c>
      <c r="E11" s="1913">
        <f>IFERROR(H11*1000/$C11,"NA")</f>
        <v>68.332192445043049</v>
      </c>
      <c r="F11" s="1913">
        <f t="shared" ref="F11:G16" si="1">IFERROR(I11*1000000/$C11,"NA")</f>
        <v>8.8611936280497332</v>
      </c>
      <c r="G11" s="1913">
        <f t="shared" si="1"/>
        <v>3.4459620290662931</v>
      </c>
      <c r="H11" s="1913">
        <f>IF(SUM(H18,'Table1.A(a)s2'!H11,'Table1.A(a)s3'!H11,'Table1.A(a)s4'!H11,'Table1.A(a)s4'!H94)=0,"NO",SUM(H18,'Table1.A(a)s2'!H11,'Table1.A(a)s3'!H11,'Table1.A(a)s4'!H11,'Table1.A(a)s4'!H94))</f>
        <v>135001.27251900028</v>
      </c>
      <c r="I11" s="1913">
        <f>IF(SUM(I18,'Table1.A(a)s2'!I11,'Table1.A(a)s3'!I11,'Table1.A(a)s4'!I11,'Table1.A(a)s4'!I94)=0,"NO",SUM(I18,'Table1.A(a)s2'!I11,'Table1.A(a)s3'!I11,'Table1.A(a)s4'!I11,'Table1.A(a)s4'!I94))</f>
        <v>17.506717888293817</v>
      </c>
      <c r="J11" s="1913">
        <f>IF(SUM(J18,'Table1.A(a)s2'!J11,'Table1.A(a)s3'!J11,'Table1.A(a)s4'!J11,'Table1.A(a)s4'!J94)=0,"NO",SUM(J18,'Table1.A(a)s2'!J11,'Table1.A(a)s3'!J11,'Table1.A(a)s4'!J11,'Table1.A(a)s4'!J94))</f>
        <v>6.8080540420279316</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1837511.8810939528</v>
      </c>
      <c r="D12" s="3077" t="s">
        <v>1814</v>
      </c>
      <c r="E12" s="1913">
        <f t="shared" ref="E12:E16" si="2">IFERROR(H12*1000/$C12,"NA")</f>
        <v>90.332384854646051</v>
      </c>
      <c r="F12" s="1913">
        <f t="shared" si="1"/>
        <v>0.67932055849261419</v>
      </c>
      <c r="G12" s="1913">
        <f t="shared" si="1"/>
        <v>0.93602573029597624</v>
      </c>
      <c r="H12" s="1913">
        <f>IF(SUM(H19,'Table1.A(a)s2'!H12,'Table1.A(a)s3'!H12,'Table1.A(a)s4'!H12,'Table1.A(a)s4'!H95)=0,"NO",SUM(H19,'Table1.A(a)s2'!H12,'Table1.A(a)s3'!H12,'Table1.A(a)s4'!H12,'Table1.A(a)s4'!H95))</f>
        <v>165986.83041796356</v>
      </c>
      <c r="I12" s="1913">
        <f>IF(SUM(I19,'Table1.A(a)s2'!I12,'Table1.A(a)s3'!I12,'Table1.A(a)s4'!I12,'Table1.A(a)s4'!I95)=0,"NO",SUM(I19,'Table1.A(a)s2'!I12,'Table1.A(a)s3'!I12,'Table1.A(a)s4'!I12,'Table1.A(a)s4'!I95))</f>
        <v>1.2482595973015582</v>
      </c>
      <c r="J12" s="1913">
        <f>IF(SUM(J19,'Table1.A(a)s2'!J12,'Table1.A(a)s3'!J12,'Table1.A(a)s4'!J12,'Table1.A(a)s4'!J95)=0,"NO",SUM(J19,'Table1.A(a)s2'!J12,'Table1.A(a)s3'!J12,'Table1.A(a)s4'!J12,'Table1.A(a)s4'!J95))</f>
        <v>1.7199584004285002</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1322793.4026559861</v>
      </c>
      <c r="D13" s="3077" t="s">
        <v>2145</v>
      </c>
      <c r="E13" s="1913">
        <f t="shared" si="2"/>
        <v>50.971925025765501</v>
      </c>
      <c r="F13" s="1913">
        <f t="shared" si="1"/>
        <v>18.634324438210577</v>
      </c>
      <c r="G13" s="1913">
        <f t="shared" si="1"/>
        <v>0.97741637540562321</v>
      </c>
      <c r="H13" s="1913">
        <f>IF(SUM(H20,'Table1.A(a)s2'!H13,'Table1.A(a)s3'!H13,'Table1.A(a)s4'!H13,'Table1.A(a)s4'!H96)=0,"NO",SUM(H20,'Table1.A(a)s2'!H13,'Table1.A(a)s3'!H13,'Table1.A(a)s4'!H13,'Table1.A(a)s4'!H96))</f>
        <v>67425.326144758161</v>
      </c>
      <c r="I13" s="1913">
        <f>IF(SUM(I20,'Table1.A(a)s2'!I13,'Table1.A(a)s3'!I13,'Table1.A(a)s4'!I13,'Table1.A(a)s4'!I96)=0,"NO",SUM(I20,'Table1.A(a)s2'!I13,'Table1.A(a)s3'!I13,'Table1.A(a)s4'!I13,'Table1.A(a)s4'!I96))</f>
        <v>24.649361429816167</v>
      </c>
      <c r="J13" s="1913">
        <f>IF(SUM(J20,'Table1.A(a)s2'!J13,'Table1.A(a)s3'!J13,'Table1.A(a)s4'!J13,'Table1.A(a)s4'!J96)=0,"NO",SUM(J20,'Table1.A(a)s2'!J13,'Table1.A(a)s3'!J13,'Table1.A(a)s4'!J13,'Table1.A(a)s4'!J96))</f>
        <v>1.2929199330344849</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4074.3452936069957</v>
      </c>
      <c r="D14" s="3077" t="s">
        <v>2145</v>
      </c>
      <c r="E14" s="1913">
        <f t="shared" si="2"/>
        <v>43.339914730027203</v>
      </c>
      <c r="F14" s="1913">
        <f t="shared" si="1"/>
        <v>1.0238319799658475</v>
      </c>
      <c r="G14" s="1913">
        <f t="shared" si="1"/>
        <v>0.42283989199120009</v>
      </c>
      <c r="H14" s="1913">
        <f>IF(SUM(H21,'Table1.A(a)s2'!H14,'Table1.A(a)s3'!H14,'Table1.A(a)s4'!H14,'Table1.A(a)s4'!H97)=0,"NO",SUM(H21,'Table1.A(a)s2'!H14,'Table1.A(a)s3'!H14,'Table1.A(a)s4'!H14,'Table1.A(a)s4'!H97))</f>
        <v>176.58177760561486</v>
      </c>
      <c r="I14" s="1913">
        <f>IF(SUM(I21,'Table1.A(a)s2'!I14,'Table1.A(a)s3'!I14,'Table1.A(a)s4'!I14,'Table1.A(a)s4'!I97)=0,"NO",SUM(I21,'Table1.A(a)s2'!I14,'Table1.A(a)s3'!I14,'Table1.A(a)s4'!I14,'Table1.A(a)s4'!I97))</f>
        <v>4.1714450090181822E-3</v>
      </c>
      <c r="J14" s="1913">
        <f>IF(SUM(J21,'Table1.A(a)s2'!J14,'Table1.A(a)s3'!J14,'Table1.A(a)s4'!J14,'Table1.A(a)s4'!J97)=0,"NO",SUM(J21,'Table1.A(a)s2'!J14,'Table1.A(a)s3'!J14,'Table1.A(a)s4'!J14,'Table1.A(a)s4'!J97))</f>
        <v>1.7227957238836367E-3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221650.20029894129</v>
      </c>
      <c r="D16" s="3079" t="s">
        <v>2145</v>
      </c>
      <c r="E16" s="2880">
        <f t="shared" si="2"/>
        <v>86.203103043457915</v>
      </c>
      <c r="F16" s="1913">
        <f t="shared" si="1"/>
        <v>182.94169733770053</v>
      </c>
      <c r="G16" s="1913">
        <f t="shared" si="1"/>
        <v>4.6485584510968216</v>
      </c>
      <c r="H16" s="2880">
        <f>IF(SUM(H23,'Table1.A(a)s2'!H16,'Table1.A(a)s3'!H15,'Table1.A(a)s4'!H16,'Table1.A(a)s4'!H99)=0,"NO",SUM(H23,'Table1.A(a)s2'!H16,'Table1.A(a)s3'!H15,'Table1.A(a)s4'!H16,'Table1.A(a)s4'!H99))</f>
        <v>19106.935055972721</v>
      </c>
      <c r="I16" s="2880">
        <f>IF(SUM(I23,'Table1.A(a)s2'!I16,'Table1.A(a)s3'!I15,'Table1.A(a)s4'!I16,'Table1.A(a)s4'!I99)=0,"NO",SUM(I23,'Table1.A(a)s2'!I16,'Table1.A(a)s3'!I15,'Table1.A(a)s4'!I16,'Table1.A(a)s4'!I99))</f>
        <v>40.549063857929617</v>
      </c>
      <c r="J16" s="2880">
        <f>IF(SUM(J23,'Table1.A(a)s2'!J16,'Table1.A(a)s3'!J15,'Table1.A(a)s4'!J16,'Table1.A(a)s4'!J99)=0,"NO",SUM(J23,'Table1.A(a)s2'!J16,'Table1.A(a)s3'!J15,'Table1.A(a)s4'!J16,'Table1.A(a)s4'!J99))</f>
        <v>1.0303539117869467</v>
      </c>
      <c r="K16" s="3066" t="str">
        <f>IF(SUM(K23,'Table1.A(a)s2'!K16,'Table1.A(a)s3'!K15,'Table1.A(a)s4'!K16,'Table1.A(a)s4'!K99)=0,"NO",SUM(K23,'Table1.A(a)s2'!K16,'Table1.A(a)s3'!K15,'Table1.A(a)s4'!K16,'Table1.A(a)s4'!K99))</f>
        <v>NO</v>
      </c>
    </row>
    <row r="17" spans="2:12" ht="18" customHeight="1" x14ac:dyDescent="0.2">
      <c r="B17" s="2184" t="s">
        <v>76</v>
      </c>
      <c r="C17" s="3067">
        <f>IF(SUM(C18:C23)=0,"NO",SUM(C18:C23))</f>
        <v>2763616.009881055</v>
      </c>
      <c r="D17" s="3080" t="s">
        <v>1814</v>
      </c>
      <c r="E17" s="3081"/>
      <c r="F17" s="3081"/>
      <c r="G17" s="3081"/>
      <c r="H17" s="3067">
        <f>IF(SUM(H18:H22)=0,"NO",SUM(H18:H22))</f>
        <v>210657.41379242553</v>
      </c>
      <c r="I17" s="3067">
        <f t="shared" ref="I17" si="3">IF(SUM(I18:I23)=0,"NO",SUM(I18:I23))</f>
        <v>29.102627636751961</v>
      </c>
      <c r="J17" s="3067">
        <f t="shared" ref="J17" si="4">IF(SUM(J18:J23)=0,"NO",SUM(J18:J23))</f>
        <v>3.1706338463043906</v>
      </c>
      <c r="K17" s="3068" t="str">
        <f t="shared" ref="K17" si="5">IF(SUM(K18:K23)=0,"NO",SUM(K18:K23))</f>
        <v>NO</v>
      </c>
    </row>
    <row r="18" spans="2:12" ht="18" customHeight="1" x14ac:dyDescent="0.2">
      <c r="B18" s="282" t="s">
        <v>132</v>
      </c>
      <c r="C18" s="3086">
        <f>IF(SUM(C25,C54,C61)=0,"NO",SUM(C25,C54,C61))</f>
        <v>224051.76462496808</v>
      </c>
      <c r="D18" s="3077" t="s">
        <v>1814</v>
      </c>
      <c r="E18" s="1913">
        <f>IFERROR(H18*1000/$C18,"NA")</f>
        <v>67.166172271747314</v>
      </c>
      <c r="F18" s="1913">
        <f t="shared" ref="F18:G23" si="6">IFERROR(I18*1000000/$C18,"NA")</f>
        <v>2.8663331432140495</v>
      </c>
      <c r="G18" s="1913">
        <f t="shared" si="6"/>
        <v>1.7664099177796186</v>
      </c>
      <c r="H18" s="3086">
        <f>IF(SUM(H25,H54,H61)=0,"NO",SUM(H25,H54,H61))</f>
        <v>15048.699420589586</v>
      </c>
      <c r="I18" s="3086">
        <f>IF(SUM(I25,I54,I61)=0,"NO",SUM(I25,I54,I61))</f>
        <v>0.6422069987401392</v>
      </c>
      <c r="J18" s="3086">
        <f>IF(SUM(J25,J54,J61)=0,"NO",SUM(J25,J54,J61))</f>
        <v>0.39576725912956834</v>
      </c>
      <c r="K18" s="3069" t="str">
        <f>IF(SUM(K25,K54,K61)=0,"NO",SUM(K25,K54,K61))</f>
        <v>NO</v>
      </c>
      <c r="L18" s="19"/>
    </row>
    <row r="19" spans="2:12" ht="18" customHeight="1" x14ac:dyDescent="0.2">
      <c r="B19" s="282" t="s">
        <v>133</v>
      </c>
      <c r="C19" s="3086">
        <f t="shared" ref="C19:C23" si="7">IF(SUM(C26,C55,C62)=0,"NO",SUM(C26,C55,C62))</f>
        <v>1723900.5221662899</v>
      </c>
      <c r="D19" s="3077" t="s">
        <v>1814</v>
      </c>
      <c r="E19" s="1913">
        <f t="shared" ref="E19:E23" si="8">IFERROR(H19*1000/$C19,"NA")</f>
        <v>90.891127623278621</v>
      </c>
      <c r="F19" s="1913">
        <f t="shared" si="6"/>
        <v>0.66157949291363449</v>
      </c>
      <c r="G19" s="1913">
        <f t="shared" si="6"/>
        <v>0.9516591874542607</v>
      </c>
      <c r="H19" s="3086">
        <f t="shared" ref="H19:K23" si="9">IF(SUM(H26,H55,H62)=0,"NO",SUM(H26,H55,H62))</f>
        <v>156687.26237005289</v>
      </c>
      <c r="I19" s="3086">
        <f t="shared" si="9"/>
        <v>1.1404972332883236</v>
      </c>
      <c r="J19" s="3086">
        <f t="shared" si="9"/>
        <v>1.6405657701767471</v>
      </c>
      <c r="K19" s="3069" t="str">
        <f t="shared" si="9"/>
        <v>NO</v>
      </c>
      <c r="L19" s="19"/>
    </row>
    <row r="20" spans="2:12" ht="18" customHeight="1" x14ac:dyDescent="0.2">
      <c r="B20" s="282" t="s">
        <v>134</v>
      </c>
      <c r="C20" s="3086">
        <f t="shared" si="7"/>
        <v>764971.20088691299</v>
      </c>
      <c r="D20" s="3077" t="s">
        <v>1814</v>
      </c>
      <c r="E20" s="1913">
        <f t="shared" si="8"/>
        <v>50.650447558575131</v>
      </c>
      <c r="F20" s="1913">
        <f t="shared" si="6"/>
        <v>30.844747274640515</v>
      </c>
      <c r="G20" s="1913">
        <f t="shared" si="6"/>
        <v>1.1960662112446316</v>
      </c>
      <c r="H20" s="3086">
        <f t="shared" si="9"/>
        <v>38746.133694342832</v>
      </c>
      <c r="I20" s="3086">
        <f t="shared" si="9"/>
        <v>23.59534336373509</v>
      </c>
      <c r="J20" s="3086">
        <f t="shared" si="9"/>
        <v>0.91495620595606608</v>
      </c>
      <c r="K20" s="3069" t="str">
        <f t="shared" si="9"/>
        <v>NO</v>
      </c>
      <c r="L20" s="19"/>
    </row>
    <row r="21" spans="2:12" ht="18" customHeight="1" x14ac:dyDescent="0.2">
      <c r="B21" s="282" t="s">
        <v>135</v>
      </c>
      <c r="C21" s="3086">
        <f t="shared" si="7"/>
        <v>4057.1083200000003</v>
      </c>
      <c r="D21" s="3077" t="s">
        <v>1814</v>
      </c>
      <c r="E21" s="1913">
        <f t="shared" si="8"/>
        <v>43.212626731203983</v>
      </c>
      <c r="F21" s="1913">
        <f t="shared" si="6"/>
        <v>1.0281818181818183</v>
      </c>
      <c r="G21" s="1913">
        <f t="shared" si="6"/>
        <v>0.42463636363636365</v>
      </c>
      <c r="H21" s="3086">
        <f t="shared" si="9"/>
        <v>175.3183074402221</v>
      </c>
      <c r="I21" s="3086">
        <f t="shared" si="9"/>
        <v>4.1714450090181822E-3</v>
      </c>
      <c r="J21" s="3086">
        <f t="shared" si="9"/>
        <v>1.7227957238836367E-3</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46635.413882883717</v>
      </c>
      <c r="D23" s="3077" t="s">
        <v>1814</v>
      </c>
      <c r="E23" s="1913">
        <f t="shared" si="8"/>
        <v>78.752707973412271</v>
      </c>
      <c r="F23" s="1913">
        <f t="shared" si="6"/>
        <v>79.776467843139812</v>
      </c>
      <c r="G23" s="1913">
        <f t="shared" si="6"/>
        <v>4.666449747066526</v>
      </c>
      <c r="H23" s="3086">
        <f t="shared" si="9"/>
        <v>3672.665130737958</v>
      </c>
      <c r="I23" s="3086">
        <f t="shared" si="9"/>
        <v>3.7204085959793889</v>
      </c>
      <c r="J23" s="3086">
        <f t="shared" si="9"/>
        <v>0.21762181531812547</v>
      </c>
      <c r="K23" s="3069" t="str">
        <f t="shared" si="9"/>
        <v>NO</v>
      </c>
      <c r="L23" s="19"/>
    </row>
    <row r="24" spans="2:12" ht="18" customHeight="1" x14ac:dyDescent="0.2">
      <c r="B24" s="1237" t="s">
        <v>138</v>
      </c>
      <c r="C24" s="3086">
        <f>IF(SUM(C25:C30)=0,"NO",SUM(C25:C30))</f>
        <v>2368922.9248110279</v>
      </c>
      <c r="D24" s="3077" t="s">
        <v>1814</v>
      </c>
      <c r="E24" s="628"/>
      <c r="F24" s="628"/>
      <c r="G24" s="628"/>
      <c r="H24" s="3086">
        <f>IF(SUM(H25:H29)=0,"NO",SUM(H25:H29))</f>
        <v>187753.38000039611</v>
      </c>
      <c r="I24" s="3086">
        <f t="shared" ref="I24" si="10">IF(SUM(I25:I30)=0,"NO",SUM(I25:I30))</f>
        <v>18.541483130309281</v>
      </c>
      <c r="J24" s="3086">
        <f t="shared" ref="J24" si="11">IF(SUM(J25:J30)=0,"NO",SUM(J25:J30))</f>
        <v>2.591771936284021</v>
      </c>
      <c r="K24" s="3069" t="str">
        <f t="shared" ref="K24" si="12">IF(SUM(K25:K30)=0,"NO",SUM(K25:K30))</f>
        <v>NO</v>
      </c>
      <c r="L24" s="19"/>
    </row>
    <row r="25" spans="2:12" ht="18" customHeight="1" x14ac:dyDescent="0.2">
      <c r="B25" s="160" t="s">
        <v>132</v>
      </c>
      <c r="C25" s="3074">
        <f>IF(SUM(C33,C40,C47)=0,"NO",SUM(C33,C40,C47))</f>
        <v>61123.375857067513</v>
      </c>
      <c r="D25" s="3082" t="s">
        <v>1814</v>
      </c>
      <c r="E25" s="3086">
        <f>IFERROR(H25*1000/$C25,"NA")</f>
        <v>69.231450869140772</v>
      </c>
      <c r="F25" s="1913">
        <f t="shared" ref="F25:G30" si="13">IFERROR(I25*1000000/$C25,"NA")</f>
        <v>3.4924412307205475</v>
      </c>
      <c r="G25" s="1913">
        <f t="shared" si="13"/>
        <v>0.37431607582299969</v>
      </c>
      <c r="H25" s="3086">
        <f>IF(SUM(H33,H40,H47)=0,"NO",SUM(H33,H40,H47))</f>
        <v>4231.6599926045947</v>
      </c>
      <c r="I25" s="3086">
        <f>IF(SUM(I33,I40,I47)=0,"NO",SUM(I33,I40,I47))</f>
        <v>0.21346979800405147</v>
      </c>
      <c r="J25" s="3086">
        <f>IF(SUM(J33,J40,J47)=0,"NO",SUM(J33,J40,J47))</f>
        <v>2.2879462191871792E-2</v>
      </c>
      <c r="K25" s="3069" t="str">
        <f>IF(SUM(K33,K40,K47)=0,"NO",SUM(K33,K40,K47))</f>
        <v>NO</v>
      </c>
      <c r="L25" s="19"/>
    </row>
    <row r="26" spans="2:12" ht="18" customHeight="1" x14ac:dyDescent="0.2">
      <c r="B26" s="160" t="s">
        <v>133</v>
      </c>
      <c r="C26" s="3086">
        <f t="shared" ref="C26:C30" si="14">IF(SUM(C34,C41,C48)=0,"NO",SUM(C34,C41,C48))</f>
        <v>1710987.1717174579</v>
      </c>
      <c r="D26" s="3082" t="s">
        <v>1814</v>
      </c>
      <c r="E26" s="3086">
        <f t="shared" ref="E26:E30" si="15">IFERROR(H26*1000/$C26,"NA")</f>
        <v>90.966381429633486</v>
      </c>
      <c r="F26" s="1913">
        <f t="shared" si="13"/>
        <v>0.65932395466099436</v>
      </c>
      <c r="G26" s="1913">
        <f t="shared" si="13"/>
        <v>0.95301255029747867</v>
      </c>
      <c r="H26" s="3086">
        <f t="shared" ref="H26:K30" si="16">IF(SUM(H34,H41,H48)=0,"NO",SUM(H34,H41,H48))</f>
        <v>155642.31168366008</v>
      </c>
      <c r="I26" s="3086">
        <f t="shared" si="16"/>
        <v>1.1280948284309842</v>
      </c>
      <c r="J26" s="3086">
        <f t="shared" si="16"/>
        <v>1.6305922480447246</v>
      </c>
      <c r="K26" s="3069" t="str">
        <f t="shared" si="16"/>
        <v>NO</v>
      </c>
      <c r="L26" s="19"/>
    </row>
    <row r="27" spans="2:12" ht="18" customHeight="1" x14ac:dyDescent="0.2">
      <c r="B27" s="160" t="s">
        <v>134</v>
      </c>
      <c r="C27" s="3086">
        <f t="shared" si="14"/>
        <v>553321.74635361868</v>
      </c>
      <c r="D27" s="3082" t="s">
        <v>1814</v>
      </c>
      <c r="E27" s="3086">
        <f t="shared" si="15"/>
        <v>50.385527964256347</v>
      </c>
      <c r="F27" s="1913">
        <f t="shared" si="13"/>
        <v>24.381516916304111</v>
      </c>
      <c r="G27" s="1913">
        <f t="shared" si="13"/>
        <v>1.3228515150907878</v>
      </c>
      <c r="H27" s="3086">
        <f t="shared" si="16"/>
        <v>27879.408324131411</v>
      </c>
      <c r="I27" s="3086">
        <f t="shared" si="16"/>
        <v>13.490823518879687</v>
      </c>
      <c r="J27" s="3086">
        <f t="shared" si="16"/>
        <v>0.73196251049656502</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43490.630882883721</v>
      </c>
      <c r="D30" s="3082" t="s">
        <v>1814</v>
      </c>
      <c r="E30" s="3086">
        <f t="shared" si="15"/>
        <v>79.52230020516501</v>
      </c>
      <c r="F30" s="1913">
        <f t="shared" si="13"/>
        <v>85.284920216099223</v>
      </c>
      <c r="G30" s="1913">
        <f t="shared" si="13"/>
        <v>4.7444176219588092</v>
      </c>
      <c r="H30" s="3086">
        <f t="shared" si="16"/>
        <v>3458.4750051806996</v>
      </c>
      <c r="I30" s="3086">
        <f t="shared" si="16"/>
        <v>3.7090949849945591</v>
      </c>
      <c r="J30" s="3086">
        <f t="shared" si="16"/>
        <v>0.20633771555085956</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2368922.9248110279</v>
      </c>
      <c r="D32" s="3077" t="s">
        <v>1814</v>
      </c>
      <c r="E32" s="1914"/>
      <c r="F32" s="1914"/>
      <c r="G32" s="1914"/>
      <c r="H32" s="3086">
        <f>IF(SUM(H33:H37)=0,"NO",SUM(H33:H37))</f>
        <v>187753.38000039611</v>
      </c>
      <c r="I32" s="3086">
        <f t="shared" ref="I32" si="17">IF(SUM(I33:I38)=0,"NO",SUM(I33:I38))</f>
        <v>18.541483130309281</v>
      </c>
      <c r="J32" s="3086">
        <f t="shared" ref="J32" si="18">IF(SUM(J33:J38)=0,"NO",SUM(J33:J38))</f>
        <v>2.591771936284021</v>
      </c>
      <c r="K32" s="3069" t="str">
        <f t="shared" ref="K32" si="19">IF(SUM(K33:K38)=0,"NO",SUM(K33:K38))</f>
        <v>NO</v>
      </c>
      <c r="L32" s="19"/>
    </row>
    <row r="33" spans="2:12" ht="18" customHeight="1" x14ac:dyDescent="0.2">
      <c r="B33" s="160" t="s">
        <v>132</v>
      </c>
      <c r="C33" s="3033">
        <v>61123.375857067513</v>
      </c>
      <c r="D33" s="3077" t="s">
        <v>1814</v>
      </c>
      <c r="E33" s="1913">
        <f>IFERROR(H33*1000/$C33,"NA")</f>
        <v>69.231450869140772</v>
      </c>
      <c r="F33" s="1913">
        <f t="shared" ref="F33:G38" si="20">IFERROR(I33*1000000/$C33,"NA")</f>
        <v>3.4924412307205475</v>
      </c>
      <c r="G33" s="1913">
        <f t="shared" si="20"/>
        <v>0.37431607582299969</v>
      </c>
      <c r="H33" s="3033">
        <v>4231.6599926045947</v>
      </c>
      <c r="I33" s="3033">
        <v>0.21346979800405147</v>
      </c>
      <c r="J33" s="3033">
        <v>2.2879462191871792E-2</v>
      </c>
      <c r="K33" s="3072" t="s">
        <v>2146</v>
      </c>
      <c r="L33" s="19"/>
    </row>
    <row r="34" spans="2:12" ht="18" customHeight="1" x14ac:dyDescent="0.2">
      <c r="B34" s="160" t="s">
        <v>133</v>
      </c>
      <c r="C34" s="3033">
        <v>1710987.1717174579</v>
      </c>
      <c r="D34" s="3077" t="s">
        <v>1814</v>
      </c>
      <c r="E34" s="1913">
        <f t="shared" ref="E34:E38" si="21">IFERROR(H34*1000/$C34,"NA")</f>
        <v>90.966381429633486</v>
      </c>
      <c r="F34" s="1913">
        <f t="shared" si="20"/>
        <v>0.65932395466099436</v>
      </c>
      <c r="G34" s="1913">
        <f t="shared" si="20"/>
        <v>0.95301255029747867</v>
      </c>
      <c r="H34" s="3033">
        <v>155642.31168366008</v>
      </c>
      <c r="I34" s="3033">
        <v>1.1280948284309842</v>
      </c>
      <c r="J34" s="3033">
        <v>1.6305922480447246</v>
      </c>
      <c r="K34" s="3072" t="s">
        <v>2146</v>
      </c>
      <c r="L34" s="19"/>
    </row>
    <row r="35" spans="2:12" ht="18" customHeight="1" x14ac:dyDescent="0.2">
      <c r="B35" s="160" t="s">
        <v>134</v>
      </c>
      <c r="C35" s="3033">
        <v>553321.74635361868</v>
      </c>
      <c r="D35" s="3077" t="s">
        <v>1814</v>
      </c>
      <c r="E35" s="1913">
        <f t="shared" si="21"/>
        <v>50.385527964256347</v>
      </c>
      <c r="F35" s="1913">
        <f t="shared" si="20"/>
        <v>24.381516916304111</v>
      </c>
      <c r="G35" s="1913">
        <f t="shared" si="20"/>
        <v>1.3228515150907878</v>
      </c>
      <c r="H35" s="3033">
        <v>27879.408324131411</v>
      </c>
      <c r="I35" s="3033">
        <v>13.490823518879687</v>
      </c>
      <c r="J35" s="3033">
        <v>0.73196251049656502</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43490.630882883721</v>
      </c>
      <c r="D38" s="3077" t="s">
        <v>1814</v>
      </c>
      <c r="E38" s="1913">
        <f t="shared" si="21"/>
        <v>79.52230020516501</v>
      </c>
      <c r="F38" s="1913">
        <f t="shared" si="20"/>
        <v>85.284920216099223</v>
      </c>
      <c r="G38" s="1913">
        <f t="shared" si="20"/>
        <v>4.7444176219588092</v>
      </c>
      <c r="H38" s="3033">
        <v>3458.4750051806996</v>
      </c>
      <c r="I38" s="3033">
        <v>3.7090949849945591</v>
      </c>
      <c r="J38" s="3033">
        <v>0.20633771555085956</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69473.90662986759</v>
      </c>
      <c r="D53" s="3077" t="s">
        <v>1814</v>
      </c>
      <c r="E53" s="628"/>
      <c r="F53" s="628"/>
      <c r="G53" s="628"/>
      <c r="H53" s="3086">
        <f>IF(SUM(H54:H58)=0,"NO",SUM(H54:H58))</f>
        <v>4027.8621077896255</v>
      </c>
      <c r="I53" s="3086">
        <f t="shared" ref="I53:K53" si="28">IF(SUM(I54:I59)=0,"NO",SUM(I54:I59))</f>
        <v>6.7369940695785169E-2</v>
      </c>
      <c r="J53" s="3086">
        <f t="shared" si="28"/>
        <v>1.139013770427851E-2</v>
      </c>
      <c r="K53" s="3069" t="str">
        <f t="shared" si="28"/>
        <v>NO</v>
      </c>
      <c r="L53" s="19"/>
    </row>
    <row r="54" spans="2:12" ht="18" customHeight="1" x14ac:dyDescent="0.2">
      <c r="B54" s="160" t="s">
        <v>132</v>
      </c>
      <c r="C54" s="3033">
        <v>55498.198757900587</v>
      </c>
      <c r="D54" s="3077" t="s">
        <v>1814</v>
      </c>
      <c r="E54" s="1913">
        <f>IFERROR(H54*1000/$C54,"NA")</f>
        <v>60.491849250696106</v>
      </c>
      <c r="F54" s="1913">
        <f t="shared" ref="F54:G59" si="29">IFERROR(I54*1000000/$C54,"NA")</f>
        <v>0.95499265114551446</v>
      </c>
      <c r="G54" s="1913">
        <f t="shared" si="29"/>
        <v>9.8301279255584906E-2</v>
      </c>
      <c r="H54" s="3033">
        <v>3357.1886729480921</v>
      </c>
      <c r="I54" s="3033">
        <v>5.3000371965608181E-2</v>
      </c>
      <c r="J54" s="3033">
        <v>5.4555439342823409E-3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9918.5995519670014</v>
      </c>
      <c r="D56" s="3077" t="s">
        <v>1814</v>
      </c>
      <c r="E56" s="1913">
        <f t="shared" si="30"/>
        <v>49.942043209424178</v>
      </c>
      <c r="F56" s="1913">
        <f t="shared" si="29"/>
        <v>1.0281818181818181</v>
      </c>
      <c r="G56" s="1913">
        <f t="shared" si="29"/>
        <v>0.4246363636363637</v>
      </c>
      <c r="H56" s="3033">
        <v>495.35512740131128</v>
      </c>
      <c r="I56" s="3033">
        <v>1.0198123721158798E-2</v>
      </c>
      <c r="J56" s="3033">
        <v>4.2117980461125332E-3</v>
      </c>
      <c r="K56" s="3072" t="s">
        <v>2146</v>
      </c>
    </row>
    <row r="57" spans="2:12" ht="18" customHeight="1" x14ac:dyDescent="0.2">
      <c r="B57" s="282" t="s">
        <v>135</v>
      </c>
      <c r="C57" s="3033">
        <v>4057.1083200000003</v>
      </c>
      <c r="D57" s="3077" t="s">
        <v>1814</v>
      </c>
      <c r="E57" s="1913">
        <f t="shared" si="30"/>
        <v>43.212626731203983</v>
      </c>
      <c r="F57" s="1913">
        <f t="shared" si="29"/>
        <v>1.0281818181818183</v>
      </c>
      <c r="G57" s="1913">
        <f t="shared" si="29"/>
        <v>0.42463636363636365</v>
      </c>
      <c r="H57" s="3033">
        <v>175.3183074402221</v>
      </c>
      <c r="I57" s="3033">
        <v>4.1714450090181822E-3</v>
      </c>
      <c r="J57" s="3033">
        <v>1.7227957238836367E-3</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325219.17844015913</v>
      </c>
      <c r="D60" s="3077" t="s">
        <v>1814</v>
      </c>
      <c r="E60" s="628"/>
      <c r="F60" s="628"/>
      <c r="G60" s="628"/>
      <c r="H60" s="3086">
        <f>IF(SUM(H61:H65)=0,"NO",SUM(H61:H65))</f>
        <v>18876.171684239809</v>
      </c>
      <c r="I60" s="3086">
        <f t="shared" ref="I60:K60" si="31">IF(SUM(I61:I66)=0,"NO",SUM(I61:I66))</f>
        <v>10.493774565746891</v>
      </c>
      <c r="J60" s="3086">
        <f t="shared" si="31"/>
        <v>0.56747177231609103</v>
      </c>
      <c r="K60" s="3069" t="str">
        <f t="shared" si="31"/>
        <v>NO</v>
      </c>
      <c r="L60" s="19"/>
    </row>
    <row r="61" spans="2:12" ht="18" customHeight="1" x14ac:dyDescent="0.2">
      <c r="B61" s="160" t="s">
        <v>132</v>
      </c>
      <c r="C61" s="3074">
        <f>IF(SUM(C69,C76,C83)=0,"NO",SUM(C69,C76,C83))</f>
        <v>107430.19000999999</v>
      </c>
      <c r="D61" s="3077" t="s">
        <v>1814</v>
      </c>
      <c r="E61" s="1913">
        <f>IFERROR(H61*1000/$C61,"NA")</f>
        <v>69.439053904144743</v>
      </c>
      <c r="F61" s="1913">
        <f t="shared" ref="F61:G66" si="32">IFERROR(I61*1000000/$C61,"NA")</f>
        <v>3.4974975724747819</v>
      </c>
      <c r="G61" s="1913">
        <f t="shared" si="32"/>
        <v>3.420195505278472</v>
      </c>
      <c r="H61" s="3074">
        <f>IF(SUM(H69,H76,H83)=0,"NO",SUM(H69,H76,H83))</f>
        <v>7459.8507550369004</v>
      </c>
      <c r="I61" s="3074">
        <f>IF(SUM(I69,I76,I83)=0,"NO",SUM(I69,I76,I83))</f>
        <v>0.37573682877047954</v>
      </c>
      <c r="J61" s="3074">
        <f>IF(SUM(J69,J76,J83)=0,"NO",SUM(J69,J76,J83))</f>
        <v>0.3674322530034142</v>
      </c>
      <c r="K61" s="3088" t="str">
        <f>IF(SUM(K69,K76,K83)=0,"NO",SUM(K69,K76,K83))</f>
        <v>NO</v>
      </c>
    </row>
    <row r="62" spans="2:12" ht="18" customHeight="1" x14ac:dyDescent="0.2">
      <c r="B62" s="160" t="s">
        <v>133</v>
      </c>
      <c r="C62" s="3074">
        <f t="shared" ref="C62:C66" si="33">IF(SUM(C70,C77,C84)=0,"NO",SUM(C70,C77,C84))</f>
        <v>12913.350448831805</v>
      </c>
      <c r="D62" s="3077" t="s">
        <v>1814</v>
      </c>
      <c r="E62" s="1913">
        <f t="shared" ref="E62:E66" si="34">IFERROR(H62*1000/$C62,"NA")</f>
        <v>80.92018338179075</v>
      </c>
      <c r="F62" s="1913">
        <f t="shared" si="32"/>
        <v>0.96043276347862172</v>
      </c>
      <c r="G62" s="1913">
        <f t="shared" si="32"/>
        <v>0.77234193957190034</v>
      </c>
      <c r="H62" s="3074">
        <f t="shared" ref="H62:K66" si="35">IF(SUM(H70,H77,H84)=0,"NO",SUM(H70,H77,H84))</f>
        <v>1044.9506863927995</v>
      </c>
      <c r="I62" s="3074">
        <f t="shared" si="35"/>
        <v>1.2402404857339431E-2</v>
      </c>
      <c r="J62" s="3074">
        <f t="shared" si="35"/>
        <v>9.9735221320224263E-3</v>
      </c>
      <c r="K62" s="3088" t="str">
        <f t="shared" si="35"/>
        <v>NO</v>
      </c>
    </row>
    <row r="63" spans="2:12" ht="18" customHeight="1" x14ac:dyDescent="0.2">
      <c r="B63" s="160" t="s">
        <v>134</v>
      </c>
      <c r="C63" s="3074">
        <f t="shared" si="33"/>
        <v>201730.85498132734</v>
      </c>
      <c r="D63" s="3077" t="s">
        <v>1814</v>
      </c>
      <c r="E63" s="1913">
        <f t="shared" si="34"/>
        <v>51.411918339264993</v>
      </c>
      <c r="F63" s="1913">
        <f t="shared" si="32"/>
        <v>50.038561141619098</v>
      </c>
      <c r="G63" s="1913">
        <f t="shared" si="32"/>
        <v>0.88623972485486657</v>
      </c>
      <c r="H63" s="3074">
        <f t="shared" si="35"/>
        <v>10371.37024281011</v>
      </c>
      <c r="I63" s="3074">
        <f t="shared" si="35"/>
        <v>10.094321721134243</v>
      </c>
      <c r="J63" s="3074">
        <f t="shared" si="35"/>
        <v>0.17878189741338854</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3144.7829999999994</v>
      </c>
      <c r="D66" s="3077" t="s">
        <v>1814</v>
      </c>
      <c r="E66" s="1913">
        <f t="shared" si="34"/>
        <v>68.109667839484715</v>
      </c>
      <c r="F66" s="1913">
        <f t="shared" si="32"/>
        <v>3.5975808139479937</v>
      </c>
      <c r="G66" s="1913">
        <f t="shared" si="32"/>
        <v>3.5881966314578477</v>
      </c>
      <c r="H66" s="3074">
        <f t="shared" si="35"/>
        <v>214.1901255572582</v>
      </c>
      <c r="I66" s="3074">
        <f t="shared" si="35"/>
        <v>1.1313610984829811E-2</v>
      </c>
      <c r="J66" s="3074">
        <f t="shared" si="35"/>
        <v>1.1284099767265902E-2</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12913.994448831805</v>
      </c>
      <c r="D68" s="3077" t="s">
        <v>1814</v>
      </c>
      <c r="E68" s="628"/>
      <c r="F68" s="628"/>
      <c r="G68" s="628"/>
      <c r="H68" s="3086">
        <f>IF(SUM(H69:H73)=0,"NO",SUM(H69:H73))</f>
        <v>1044.9958237404728</v>
      </c>
      <c r="I68" s="3086">
        <f t="shared" ref="I68:K68" si="36">IF(SUM(I69:I74)=0,"NO",SUM(I69:I74))</f>
        <v>1.240456627325091E-2</v>
      </c>
      <c r="J68" s="3086">
        <f t="shared" si="36"/>
        <v>9.9756301126766728E-3</v>
      </c>
      <c r="K68" s="3069" t="str">
        <f t="shared" si="36"/>
        <v>NO</v>
      </c>
    </row>
    <row r="69" spans="2:11" ht="18" customHeight="1" x14ac:dyDescent="0.2">
      <c r="B69" s="282" t="s">
        <v>132</v>
      </c>
      <c r="C69" s="3033">
        <v>0.63999999999999979</v>
      </c>
      <c r="D69" s="3076" t="s">
        <v>1814</v>
      </c>
      <c r="E69" s="1913">
        <f>IFERROR(H69*1000/$C69,"NA")</f>
        <v>70.205781250000015</v>
      </c>
      <c r="F69" s="1913">
        <f t="shared" ref="F69:G74" si="37">IFERROR(I69*1000000/$C69,"NA")</f>
        <v>3.3648657707777505</v>
      </c>
      <c r="G69" s="1913">
        <f t="shared" si="37"/>
        <v>3.2881896586223625</v>
      </c>
      <c r="H69" s="3033">
        <v>4.4931699999999998E-2</v>
      </c>
      <c r="I69" s="3033">
        <v>2.1535140932977596E-6</v>
      </c>
      <c r="J69" s="3033">
        <v>2.1044413815183111E-6</v>
      </c>
      <c r="K69" s="3072" t="s">
        <v>2146</v>
      </c>
    </row>
    <row r="70" spans="2:11" ht="18" customHeight="1" x14ac:dyDescent="0.2">
      <c r="B70" s="282" t="s">
        <v>133</v>
      </c>
      <c r="C70" s="3033">
        <v>12913.350448831805</v>
      </c>
      <c r="D70" s="3076" t="s">
        <v>1814</v>
      </c>
      <c r="E70" s="1913">
        <f t="shared" ref="E70:E74" si="38">IFERROR(H70*1000/$C70,"NA")</f>
        <v>80.92018338179075</v>
      </c>
      <c r="F70" s="1913">
        <f t="shared" si="37"/>
        <v>0.96043276347862172</v>
      </c>
      <c r="G70" s="1913">
        <f t="shared" si="37"/>
        <v>0.77234193957190034</v>
      </c>
      <c r="H70" s="3033">
        <v>1044.9506863927995</v>
      </c>
      <c r="I70" s="3033">
        <v>1.2402404857339431E-2</v>
      </c>
      <c r="J70" s="3033">
        <v>9.9735221320224263E-3</v>
      </c>
      <c r="K70" s="3072" t="s">
        <v>2146</v>
      </c>
    </row>
    <row r="71" spans="2:11" ht="18" customHeight="1" x14ac:dyDescent="0.2">
      <c r="B71" s="160" t="s">
        <v>134</v>
      </c>
      <c r="C71" s="3033">
        <v>4.0000000000000001E-3</v>
      </c>
      <c r="D71" s="3076" t="s">
        <v>1814</v>
      </c>
      <c r="E71" s="1913">
        <f t="shared" si="38"/>
        <v>51.411918339265</v>
      </c>
      <c r="F71" s="1913">
        <f t="shared" si="37"/>
        <v>1.9754545454545454</v>
      </c>
      <c r="G71" s="1913">
        <f t="shared" si="37"/>
        <v>0.88481818181818184</v>
      </c>
      <c r="H71" s="3033">
        <v>2.0564767335705999E-4</v>
      </c>
      <c r="I71" s="3033">
        <v>7.9018181818181815E-9</v>
      </c>
      <c r="J71" s="3033">
        <v>3.5392727272727271E-9</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199547.60000999999</v>
      </c>
      <c r="D75" s="3077" t="s">
        <v>1814</v>
      </c>
      <c r="E75" s="628"/>
      <c r="F75" s="628"/>
      <c r="G75" s="628"/>
      <c r="H75" s="3086">
        <f>IF(SUM(H76:H80)=0,"NO",SUM(H76:H80))</f>
        <v>10399.82554103885</v>
      </c>
      <c r="I75" s="3086">
        <f t="shared" ref="I75:K75" si="39">IF(SUM(I76:I81)=0,"NO",SUM(I76:I81))</f>
        <v>10.078185682760418</v>
      </c>
      <c r="J75" s="3086">
        <f t="shared" si="39"/>
        <v>0.18546838918520847</v>
      </c>
      <c r="K75" s="3069" t="str">
        <f t="shared" si="39"/>
        <v>NO</v>
      </c>
    </row>
    <row r="76" spans="2:11" ht="18" customHeight="1" x14ac:dyDescent="0.2">
      <c r="B76" s="282" t="s">
        <v>132</v>
      </c>
      <c r="C76" s="3033">
        <v>9636.2500099999997</v>
      </c>
      <c r="D76" s="3076" t="s">
        <v>1814</v>
      </c>
      <c r="E76" s="1913">
        <f>IFERROR(H76*1000/$C76,"NA")</f>
        <v>66.013098713622711</v>
      </c>
      <c r="F76" s="1913">
        <f t="shared" ref="F76:G81" si="40">IFERROR(I76*1000000/$C76,"NA")</f>
        <v>2.5173584891230014</v>
      </c>
      <c r="G76" s="1913">
        <f t="shared" si="40"/>
        <v>1.808937476039197</v>
      </c>
      <c r="H76" s="3033">
        <v>636.11872313927779</v>
      </c>
      <c r="I76" s="3033">
        <v>2.4257895765985107E-2</v>
      </c>
      <c r="J76" s="3033">
        <v>1.7431373771572084E-2</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189911.35</v>
      </c>
      <c r="D78" s="3076" t="s">
        <v>1814</v>
      </c>
      <c r="E78" s="1913">
        <f t="shared" si="41"/>
        <v>51.411918339264986</v>
      </c>
      <c r="F78" s="1913">
        <f t="shared" si="40"/>
        <v>52.940110146099393</v>
      </c>
      <c r="G78" s="1913">
        <f t="shared" si="40"/>
        <v>0.88481818181818195</v>
      </c>
      <c r="H78" s="3033">
        <v>9763.7068178995723</v>
      </c>
      <c r="I78" s="3033">
        <v>10.053927786994434</v>
      </c>
      <c r="J78" s="3033">
        <v>0.16803701541363639</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112757.58398132733</v>
      </c>
      <c r="D82" s="3077" t="s">
        <v>1814</v>
      </c>
      <c r="E82" s="628"/>
      <c r="F82" s="628"/>
      <c r="G82" s="628"/>
      <c r="H82" s="3086">
        <f>IF(SUM(H83:H87)=0,"NO",SUM(H83:H87))</f>
        <v>7431.3503194604873</v>
      </c>
      <c r="I82" s="3086">
        <f t="shared" ref="I82:K82" si="42">IF(SUM(I83:I88)=0,"NO",SUM(I83:I88))</f>
        <v>0.40318431671322263</v>
      </c>
      <c r="J82" s="3086">
        <f t="shared" si="42"/>
        <v>0.37202775301820595</v>
      </c>
      <c r="K82" s="3069" t="str">
        <f t="shared" si="42"/>
        <v>NO</v>
      </c>
    </row>
    <row r="83" spans="2:11" ht="18" customHeight="1" x14ac:dyDescent="0.2">
      <c r="B83" s="282" t="s">
        <v>132</v>
      </c>
      <c r="C83" s="3033">
        <v>97793.299999999988</v>
      </c>
      <c r="D83" s="3076" t="s">
        <v>1814</v>
      </c>
      <c r="E83" s="1913">
        <f>IFERROR(H83*1000/$C83,"NA")</f>
        <v>69.776631938973566</v>
      </c>
      <c r="F83" s="1913">
        <f t="shared" ref="F83:G88" si="43">IFERROR(I83*1000000/$C83,"NA")</f>
        <v>3.5940783212183369</v>
      </c>
      <c r="G83" s="1913">
        <f t="shared" si="43"/>
        <v>3.5789647633371677</v>
      </c>
      <c r="H83" s="3033">
        <v>6823.6871001976224</v>
      </c>
      <c r="I83" s="3033">
        <v>0.35147677949040113</v>
      </c>
      <c r="J83" s="3033">
        <v>0.3499987747904606</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11819.500981327357</v>
      </c>
      <c r="D85" s="3076" t="s">
        <v>1814</v>
      </c>
      <c r="E85" s="1913">
        <f t="shared" si="44"/>
        <v>51.411918339265007</v>
      </c>
      <c r="F85" s="1913">
        <f t="shared" si="43"/>
        <v>3.4175661309057532</v>
      </c>
      <c r="G85" s="1913">
        <f t="shared" si="43"/>
        <v>0.90908055064713433</v>
      </c>
      <c r="H85" s="3033">
        <v>607.66321926286469</v>
      </c>
      <c r="I85" s="3033">
        <v>4.0393926237991692E-2</v>
      </c>
      <c r="J85" s="3033">
        <v>1.0744878460479418E-2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3144.7829999999994</v>
      </c>
      <c r="D88" s="3084" t="s">
        <v>1814</v>
      </c>
      <c r="E88" s="2880">
        <f t="shared" si="44"/>
        <v>68.109667839484715</v>
      </c>
      <c r="F88" s="2880">
        <f t="shared" si="43"/>
        <v>3.5975808139479937</v>
      </c>
      <c r="G88" s="2880">
        <f t="shared" si="43"/>
        <v>3.5881966314578477</v>
      </c>
      <c r="H88" s="3040">
        <v>214.1901255572582</v>
      </c>
      <c r="I88" s="3040">
        <v>1.1313610984829811E-2</v>
      </c>
      <c r="J88" s="3040">
        <v>1.1284099767265902E-2</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54122199.63741865</v>
      </c>
      <c r="G10" s="3657" t="s">
        <v>2147</v>
      </c>
      <c r="H10" s="3658">
        <f t="shared" ref="H10:H13" si="0">IF(SUM($F10)=0,"NA",K10*1000/$F10)</f>
        <v>1.0919177391963571E-2</v>
      </c>
      <c r="I10" s="3659">
        <f t="shared" ref="I10:I13" si="1">IF(SUM($F10)=0,"NA",L10*1000/$F10)</f>
        <v>2.4459994844203944E-4</v>
      </c>
      <c r="J10" s="3499" t="str">
        <f>IF(SUM(J11,J25,J36,J48,J59,J70,J76)=0,"IE",SUM(J11,J25,J36,J48,J59,J70,J76))</f>
        <v>IE</v>
      </c>
      <c r="K10" s="3500">
        <f>IF(SUM(K11,K25,K36,K48,K59,K70,K76)=0,"NO",SUM(K11,K25,K36,K48,K59,K70,K76))</f>
        <v>590.96989868424077</v>
      </c>
      <c r="L10" s="3501">
        <f>IF(SUM(L11,L25,L36,L48,L59,L70,L76)=0,"NO",SUM(L11,L25,L36,L48,L59,L70,L76))</f>
        <v>13.238287240882368</v>
      </c>
    </row>
    <row r="11" spans="2:13" ht="18" customHeight="1" x14ac:dyDescent="0.2">
      <c r="B11" s="933" t="s">
        <v>1985</v>
      </c>
      <c r="C11" s="934"/>
      <c r="D11" s="2850"/>
      <c r="E11" s="2854" t="s">
        <v>2250</v>
      </c>
      <c r="F11" s="3679">
        <f>IF(SUM(F12,F19)=0,"NO",SUM(F12,F19))</f>
        <v>10128491.894709382</v>
      </c>
      <c r="G11" s="3660" t="s">
        <v>2147</v>
      </c>
      <c r="H11" s="3661">
        <f t="shared" si="0"/>
        <v>3.0013040514889365E-2</v>
      </c>
      <c r="I11" s="3662">
        <f t="shared" si="1"/>
        <v>4.6990501343281411E-4</v>
      </c>
      <c r="J11" s="3502" t="str">
        <f>IF(SUM(J12,J19)=0,"IE",SUM(J12,J19))</f>
        <v>IE</v>
      </c>
      <c r="K11" s="3503">
        <f>IF(SUM(K12,K19)=0,"NO",SUM(K12,K19))</f>
        <v>303.98683759064124</v>
      </c>
      <c r="L11" s="3504">
        <f>IF(SUM(L12,L19)=0,"NO",SUM(L12,L19))</f>
        <v>4.7594291198375611</v>
      </c>
      <c r="M11" s="482"/>
    </row>
    <row r="12" spans="2:13" ht="18" customHeight="1" x14ac:dyDescent="0.2">
      <c r="B12" s="903" t="s">
        <v>1912</v>
      </c>
      <c r="C12" s="476"/>
      <c r="D12" s="298"/>
      <c r="E12" s="2852" t="s">
        <v>2250</v>
      </c>
      <c r="F12" s="3680">
        <f>IF(SUM(F13,F17)=0,"NO",SUM(F13,F17))</f>
        <v>10059594.677054813</v>
      </c>
      <c r="G12" s="3663" t="str">
        <f>IFERROR(IF(SUM($F12)=0,"NA",J12*1000/$F12),"NA")</f>
        <v>NA</v>
      </c>
      <c r="H12" s="3664">
        <f t="shared" si="0"/>
        <v>2.9786449974987007E-2</v>
      </c>
      <c r="I12" s="3665">
        <f t="shared" si="1"/>
        <v>4.6715040084367374E-4</v>
      </c>
      <c r="J12" s="3505" t="str">
        <f>IF(SUM(J13,J17)=0,"IE",SUM(J13,J17))</f>
        <v>IE</v>
      </c>
      <c r="K12" s="3506">
        <f>IF(SUM(K13,K17)=0,"NO",SUM(K13,K17))</f>
        <v>299.63961361673876</v>
      </c>
      <c r="L12" s="3507">
        <f>IF(SUM(L13,L17)=0,"NO",SUM(L13,L17))</f>
        <v>4.6993436857110424</v>
      </c>
    </row>
    <row r="13" spans="2:13" ht="18" customHeight="1" x14ac:dyDescent="0.2">
      <c r="B13" s="923" t="s">
        <v>1270</v>
      </c>
      <c r="C13" s="476"/>
      <c r="D13" s="298"/>
      <c r="E13" s="2852" t="s">
        <v>2250</v>
      </c>
      <c r="F13" s="3681">
        <f>IF(SUM(F14:F16)=0,"NO",SUM(F14:F16))</f>
        <v>9515995.171096595</v>
      </c>
      <c r="G13" s="3666" t="str">
        <f t="shared" ref="G13:G76" si="2">IFERROR(IF(SUM($F13)=0,"NA",J13*1000/$F13),"NA")</f>
        <v>NA</v>
      </c>
      <c r="H13" s="3667">
        <f t="shared" si="0"/>
        <v>2.1405774513588202E-2</v>
      </c>
      <c r="I13" s="3668">
        <f t="shared" si="1"/>
        <v>3.9444559494808E-4</v>
      </c>
      <c r="J13" s="3505" t="str">
        <f>IF(SUM(J14:J16)=0,"IE",SUM(J14:J16))</f>
        <v>IE</v>
      </c>
      <c r="K13" s="3505">
        <f>IF(SUM(K14:K16)=0,"NO",SUM(K14:K16))</f>
        <v>203.69724690488789</v>
      </c>
      <c r="L13" s="3508">
        <f>IF(SUM(L14:L16)=0,"NO",SUM(L14:L16))</f>
        <v>3.7535423767862528</v>
      </c>
      <c r="M13" s="482"/>
    </row>
    <row r="14" spans="2:13" ht="24" x14ac:dyDescent="0.2">
      <c r="B14" s="923"/>
      <c r="C14" s="4367" t="s">
        <v>2247</v>
      </c>
      <c r="D14" s="542" t="s">
        <v>940</v>
      </c>
      <c r="E14" s="2851" t="s">
        <v>2250</v>
      </c>
      <c r="F14" s="3654">
        <v>405817.98656271386</v>
      </c>
      <c r="G14" s="3666" t="str">
        <f t="shared" si="2"/>
        <v>NA</v>
      </c>
      <c r="H14" s="3667">
        <f>IF(SUM($F14)=0,"NA",K14*1000/$F14)</f>
        <v>0.10337366994328749</v>
      </c>
      <c r="I14" s="3668">
        <f>IF(SUM($F14)=0,"NA",L14*1000/$F14)</f>
        <v>1.1305027285207522E-3</v>
      </c>
      <c r="J14" s="3509" t="s">
        <v>2153</v>
      </c>
      <c r="K14" s="3510">
        <v>41.950894599983464</v>
      </c>
      <c r="L14" s="3511">
        <v>0.45877834109194593</v>
      </c>
      <c r="M14" s="482"/>
    </row>
    <row r="15" spans="2:13" ht="18" customHeight="1" x14ac:dyDescent="0.2">
      <c r="B15" s="923"/>
      <c r="C15" s="4367" t="s">
        <v>2248</v>
      </c>
      <c r="D15" s="542" t="s">
        <v>940</v>
      </c>
      <c r="E15" s="543" t="s">
        <v>2250</v>
      </c>
      <c r="F15" s="3655">
        <v>104863.21409992268</v>
      </c>
      <c r="G15" s="3666" t="str">
        <f t="shared" si="2"/>
        <v>NA</v>
      </c>
      <c r="H15" s="3667">
        <f t="shared" ref="H15:H77" si="3">IF(SUM($F15)=0,"NA",K15*1000/$F15)</f>
        <v>5.2645619689783603E-2</v>
      </c>
      <c r="I15" s="3668">
        <f t="shared" ref="I15:I77" si="4">IF(SUM($F15)=0,"NA",L15*1000/$F15)</f>
        <v>9.7321277509863848E-4</v>
      </c>
      <c r="J15" s="3509" t="s">
        <v>2153</v>
      </c>
      <c r="K15" s="3510">
        <v>5.5205888889528829</v>
      </c>
      <c r="L15" s="3512">
        <v>0.10205421959994843</v>
      </c>
      <c r="M15" s="482"/>
    </row>
    <row r="16" spans="2:13" ht="18" customHeight="1" x14ac:dyDescent="0.2">
      <c r="B16" s="923"/>
      <c r="C16" s="4367" t="s">
        <v>2263</v>
      </c>
      <c r="D16" s="542" t="s">
        <v>940</v>
      </c>
      <c r="E16" s="543" t="s">
        <v>2250</v>
      </c>
      <c r="F16" s="3655">
        <v>9005313.9704339579</v>
      </c>
      <c r="G16" s="3666" t="str">
        <f t="shared" si="2"/>
        <v>NA</v>
      </c>
      <c r="H16" s="3667">
        <f t="shared" si="3"/>
        <v>1.7348175080721052E-2</v>
      </c>
      <c r="I16" s="3668">
        <f t="shared" si="4"/>
        <v>3.545362023552528E-4</v>
      </c>
      <c r="J16" s="3509" t="s">
        <v>2153</v>
      </c>
      <c r="K16" s="3510">
        <v>156.22576341595155</v>
      </c>
      <c r="L16" s="3512">
        <v>3.1927098160943586</v>
      </c>
      <c r="M16" s="482"/>
    </row>
    <row r="17" spans="2:13" ht="18" customHeight="1" x14ac:dyDescent="0.2">
      <c r="B17" s="923" t="s">
        <v>1271</v>
      </c>
      <c r="C17" s="4368"/>
      <c r="D17" s="298"/>
      <c r="E17" s="5" t="s">
        <v>2250</v>
      </c>
      <c r="F17" s="3681">
        <f>F18</f>
        <v>543599.50595821824</v>
      </c>
      <c r="G17" s="3666" t="str">
        <f t="shared" si="2"/>
        <v>NA</v>
      </c>
      <c r="H17" s="3667">
        <f t="shared" si="3"/>
        <v>0.17649458040387755</v>
      </c>
      <c r="I17" s="3668">
        <f t="shared" si="4"/>
        <v>1.7398862555211474E-3</v>
      </c>
      <c r="J17" s="3505" t="str">
        <f>J18</f>
        <v>IE</v>
      </c>
      <c r="K17" s="3505">
        <f>K18</f>
        <v>95.942366711850866</v>
      </c>
      <c r="L17" s="3508">
        <f>L18</f>
        <v>0.94580130892478997</v>
      </c>
      <c r="M17" s="482"/>
    </row>
    <row r="18" spans="2:13" ht="18" customHeight="1" x14ac:dyDescent="0.2">
      <c r="B18" s="923"/>
      <c r="C18" s="4367" t="s">
        <v>2249</v>
      </c>
      <c r="D18" s="542" t="s">
        <v>940</v>
      </c>
      <c r="E18" s="543" t="s">
        <v>2250</v>
      </c>
      <c r="F18" s="3654">
        <v>543599.50595821824</v>
      </c>
      <c r="G18" s="3666" t="str">
        <f t="shared" si="2"/>
        <v>NA</v>
      </c>
      <c r="H18" s="3667">
        <f t="shared" si="3"/>
        <v>0.17649458040387755</v>
      </c>
      <c r="I18" s="3668">
        <f t="shared" si="4"/>
        <v>1.7398862555211474E-3</v>
      </c>
      <c r="J18" s="3509" t="s">
        <v>2153</v>
      </c>
      <c r="K18" s="3510">
        <v>95.942366711850866</v>
      </c>
      <c r="L18" s="3511">
        <v>0.94580130892478997</v>
      </c>
      <c r="M18" s="482"/>
    </row>
    <row r="19" spans="2:13" ht="18" customHeight="1" x14ac:dyDescent="0.2">
      <c r="B19" s="903" t="s">
        <v>1272</v>
      </c>
      <c r="C19" s="4368"/>
      <c r="D19" s="298"/>
      <c r="E19" s="5" t="s">
        <v>2250</v>
      </c>
      <c r="F19" s="3682">
        <f>IF(SUM(F20,F23)=0,"NO",SUM(F20,F23))</f>
        <v>68897.217654568638</v>
      </c>
      <c r="G19" s="3663" t="s">
        <v>2147</v>
      </c>
      <c r="H19" s="3664">
        <f t="shared" si="3"/>
        <v>6.3097235590822837E-2</v>
      </c>
      <c r="I19" s="3665">
        <f t="shared" si="4"/>
        <v>8.7210247629694192E-4</v>
      </c>
      <c r="J19" s="3505" t="str">
        <f>IF(SUM(J20,J23)=0,"IE",SUM(J20,J23))</f>
        <v>IE</v>
      </c>
      <c r="K19" s="3506">
        <f>IF(SUM(K20,K23)=0,"NO",SUM(K20,K23))</f>
        <v>4.3472239739025156</v>
      </c>
      <c r="L19" s="3507">
        <f>IF(SUM(L20,L23)=0,"NO",SUM(L20,L23))</f>
        <v>6.0085434126518691E-2</v>
      </c>
    </row>
    <row r="20" spans="2:13" ht="18" customHeight="1" x14ac:dyDescent="0.2">
      <c r="B20" s="923" t="s">
        <v>1273</v>
      </c>
      <c r="C20" s="4368"/>
      <c r="D20" s="298"/>
      <c r="E20" s="5" t="s">
        <v>2250</v>
      </c>
      <c r="F20" s="3681">
        <f>IF(SUM(F21:F22)=0,"NO",SUM(F21:F22))</f>
        <v>55297.880653144872</v>
      </c>
      <c r="G20" s="3666" t="str">
        <f t="shared" si="2"/>
        <v>NA</v>
      </c>
      <c r="H20" s="3667">
        <f t="shared" si="3"/>
        <v>3.6223523280295281E-2</v>
      </c>
      <c r="I20" s="3668">
        <f t="shared" si="4"/>
        <v>6.7388620202618685E-4</v>
      </c>
      <c r="J20" s="3505" t="str">
        <f>IF(SUM(J21:J22)=0,"IE",SUM(J21:J22))</f>
        <v>IE</v>
      </c>
      <c r="K20" s="3505">
        <f>IF(SUM(K21:K22)=0,"NO",SUM(K21:K22))</f>
        <v>2.0030840671901831</v>
      </c>
      <c r="L20" s="3508">
        <f>IF(SUM(L21:L22)=0,"NO",SUM(L21:L22))</f>
        <v>3.7264478773445159E-2</v>
      </c>
      <c r="M20" s="482"/>
    </row>
    <row r="21" spans="2:13" ht="18" customHeight="1" x14ac:dyDescent="0.2">
      <c r="B21" s="923"/>
      <c r="C21" s="4367" t="s">
        <v>2248</v>
      </c>
      <c r="D21" s="542" t="s">
        <v>940</v>
      </c>
      <c r="E21" s="543" t="s">
        <v>2250</v>
      </c>
      <c r="F21" s="3654">
        <v>49638.229740687006</v>
      </c>
      <c r="G21" s="3666" t="str">
        <f t="shared" si="2"/>
        <v>NA</v>
      </c>
      <c r="H21" s="3667">
        <f t="shared" si="3"/>
        <v>3.886767733274378E-2</v>
      </c>
      <c r="I21" s="3668">
        <f t="shared" si="4"/>
        <v>7.1851220180391617E-4</v>
      </c>
      <c r="J21" s="3509" t="s">
        <v>2153</v>
      </c>
      <c r="K21" s="3510">
        <v>1.9293226969296287</v>
      </c>
      <c r="L21" s="3511">
        <v>3.5665673744629658E-2</v>
      </c>
      <c r="M21" s="482"/>
    </row>
    <row r="22" spans="2:13" ht="18" customHeight="1" x14ac:dyDescent="0.2">
      <c r="B22" s="923"/>
      <c r="C22" s="4367" t="s">
        <v>2263</v>
      </c>
      <c r="D22" s="542" t="s">
        <v>940</v>
      </c>
      <c r="E22" s="543" t="s">
        <v>2250</v>
      </c>
      <c r="F22" s="3655">
        <v>5659.6509124578661</v>
      </c>
      <c r="G22" s="3666" t="str">
        <f t="shared" si="2"/>
        <v>NA</v>
      </c>
      <c r="H22" s="3667">
        <f t="shared" si="3"/>
        <v>1.3032848032763462E-2</v>
      </c>
      <c r="I22" s="3668">
        <f t="shared" si="4"/>
        <v>2.824918097503597E-4</v>
      </c>
      <c r="J22" s="3509" t="s">
        <v>2153</v>
      </c>
      <c r="K22" s="3510">
        <v>7.3761370260554432E-2</v>
      </c>
      <c r="L22" s="3512">
        <v>1.5988050288154973E-3</v>
      </c>
      <c r="M22" s="482"/>
    </row>
    <row r="23" spans="2:13" ht="18" customHeight="1" x14ac:dyDescent="0.2">
      <c r="B23" s="923" t="s">
        <v>1274</v>
      </c>
      <c r="C23" s="4368"/>
      <c r="D23" s="298"/>
      <c r="E23" s="5" t="s">
        <v>2250</v>
      </c>
      <c r="F23" s="3681">
        <f>F24</f>
        <v>13599.337001423766</v>
      </c>
      <c r="G23" s="3666" t="str">
        <f t="shared" si="2"/>
        <v>NA</v>
      </c>
      <c r="H23" s="3667">
        <f t="shared" si="3"/>
        <v>0.17237163153372229</v>
      </c>
      <c r="I23" s="3668">
        <f t="shared" si="4"/>
        <v>1.6780932298893921E-3</v>
      </c>
      <c r="J23" s="3505" t="str">
        <f>J24</f>
        <v>IE</v>
      </c>
      <c r="K23" s="3505">
        <f>K24</f>
        <v>2.344139906712333</v>
      </c>
      <c r="L23" s="3508">
        <f>L24</f>
        <v>2.2820955353073529E-2</v>
      </c>
      <c r="M23" s="482"/>
    </row>
    <row r="24" spans="2:13" ht="18" customHeight="1" thickBot="1" x14ac:dyDescent="0.25">
      <c r="B24" s="938"/>
      <c r="C24" s="4369" t="s">
        <v>2251</v>
      </c>
      <c r="D24" s="939" t="s">
        <v>940</v>
      </c>
      <c r="E24" s="940" t="s">
        <v>2250</v>
      </c>
      <c r="F24" s="3656">
        <v>13599.337001423766</v>
      </c>
      <c r="G24" s="3669" t="str">
        <f t="shared" si="2"/>
        <v>NA</v>
      </c>
      <c r="H24" s="3670">
        <f t="shared" si="3"/>
        <v>0.17237163153372229</v>
      </c>
      <c r="I24" s="3671">
        <f t="shared" si="4"/>
        <v>1.6780932298893921E-3</v>
      </c>
      <c r="J24" s="3513" t="s">
        <v>2153</v>
      </c>
      <c r="K24" s="3514">
        <v>2.344139906712333</v>
      </c>
      <c r="L24" s="3515">
        <v>2.2820955353073529E-2</v>
      </c>
      <c r="M24" s="482"/>
    </row>
    <row r="25" spans="2:13" ht="18" customHeight="1" x14ac:dyDescent="0.2">
      <c r="B25" s="933" t="s">
        <v>1986</v>
      </c>
      <c r="C25" s="4370"/>
      <c r="D25" s="2850"/>
      <c r="E25" s="935" t="s">
        <v>2250</v>
      </c>
      <c r="F25" s="3683">
        <f>IF(SUM(F26,F31)=0,"IE",SUM(F26,F31))</f>
        <v>18402</v>
      </c>
      <c r="G25" s="3660" t="str">
        <f t="shared" si="2"/>
        <v>NA</v>
      </c>
      <c r="H25" s="3661">
        <f t="shared" si="3"/>
        <v>8.0979458754483202E-2</v>
      </c>
      <c r="I25" s="3662">
        <f t="shared" si="4"/>
        <v>1.496995272253016E-3</v>
      </c>
      <c r="J25" s="3502" t="str">
        <f>IF(SUM(J26,J31)=0,"IE",SUM(J26,J31))</f>
        <v>IE</v>
      </c>
      <c r="K25" s="3503">
        <f>IF(SUM(K26,K31)=0,"IE",SUM(K26,K31))</f>
        <v>1.490184</v>
      </c>
      <c r="L25" s="3504">
        <f>IF(SUM(L26,L31)=0,"IE",SUM(L26,L31))</f>
        <v>2.7547707000000001E-2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18402</v>
      </c>
      <c r="G31" s="3663" t="str">
        <f t="shared" si="2"/>
        <v>NA</v>
      </c>
      <c r="H31" s="3664">
        <f t="shared" si="3"/>
        <v>8.0979458754483202E-2</v>
      </c>
      <c r="I31" s="3665">
        <f t="shared" si="4"/>
        <v>1.496995272253016E-3</v>
      </c>
      <c r="J31" s="3505" t="str">
        <f>IF(SUM(J32,J34)=0,"IE",SUM(J32,J34))</f>
        <v>IE</v>
      </c>
      <c r="K31" s="3505">
        <f t="shared" ref="K31:L31" si="6">IF(SUM(K32,K34)=0,"IE",SUM(K32,K34))</f>
        <v>1.490184</v>
      </c>
      <c r="L31" s="3508">
        <f t="shared" si="6"/>
        <v>2.7547707000000001E-2</v>
      </c>
    </row>
    <row r="32" spans="2:13" ht="18" customHeight="1" x14ac:dyDescent="0.2">
      <c r="B32" s="923" t="s">
        <v>1278</v>
      </c>
      <c r="C32" s="4368"/>
      <c r="D32" s="298"/>
      <c r="E32" s="5" t="s">
        <v>2250</v>
      </c>
      <c r="F32" s="3681">
        <f>F33</f>
        <v>18402</v>
      </c>
      <c r="G32" s="3663" t="str">
        <f t="shared" si="2"/>
        <v>NA</v>
      </c>
      <c r="H32" s="3664">
        <f t="shared" si="3"/>
        <v>8.0979458754483202E-2</v>
      </c>
      <c r="I32" s="3665">
        <f t="shared" si="4"/>
        <v>1.496995272253016E-3</v>
      </c>
      <c r="J32" s="3505" t="str">
        <f>J33</f>
        <v>IE</v>
      </c>
      <c r="K32" s="3505">
        <f>K33</f>
        <v>1.490184</v>
      </c>
      <c r="L32" s="3508">
        <f>L33</f>
        <v>2.7547707000000001E-2</v>
      </c>
      <c r="M32" s="482"/>
    </row>
    <row r="33" spans="2:13" ht="18" customHeight="1" x14ac:dyDescent="0.2">
      <c r="B33" s="923"/>
      <c r="C33" s="4367" t="s">
        <v>2252</v>
      </c>
      <c r="D33" s="542" t="s">
        <v>940</v>
      </c>
      <c r="E33" s="543" t="s">
        <v>2250</v>
      </c>
      <c r="F33" s="3654">
        <v>18402</v>
      </c>
      <c r="G33" s="3666" t="str">
        <f t="shared" si="2"/>
        <v>NA</v>
      </c>
      <c r="H33" s="3667">
        <f t="shared" si="3"/>
        <v>8.0979458754483202E-2</v>
      </c>
      <c r="I33" s="3668">
        <f t="shared" si="4"/>
        <v>1.496995272253016E-3</v>
      </c>
      <c r="J33" s="3509" t="s">
        <v>2153</v>
      </c>
      <c r="K33" s="3510">
        <v>1.490184</v>
      </c>
      <c r="L33" s="3511">
        <v>2.7547707000000001E-2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42891777.795551211</v>
      </c>
      <c r="G36" s="3660" t="str">
        <f t="shared" si="2"/>
        <v>NA</v>
      </c>
      <c r="H36" s="3661">
        <f t="shared" ref="H36" si="7">IF(SUM($F36)=0,"NA",K36*1000/$F36)</f>
        <v>6.2161844551656791E-3</v>
      </c>
      <c r="I36" s="3662">
        <f t="shared" ref="I36" si="8">IF(SUM($F36)=0,"NA",L36*1000/$F36)</f>
        <v>1.8825013622532407E-4</v>
      </c>
      <c r="J36" s="3502" t="str">
        <f>IF(SUM(J37,J42)=0,"IE",SUM(J37,J42))</f>
        <v>IE</v>
      </c>
      <c r="K36" s="3503">
        <f>IF(SUM(K37,K42)=0,"NO",SUM(K37,K42))</f>
        <v>266.62320238712584</v>
      </c>
      <c r="L36" s="3504">
        <f>IF(SUM(L37,L42)=0,"NO",SUM(L37,L42))</f>
        <v>8.0743830129588456</v>
      </c>
      <c r="M36" s="482"/>
    </row>
    <row r="37" spans="2:13" ht="18" customHeight="1" x14ac:dyDescent="0.2">
      <c r="B37" s="903" t="s">
        <v>1876</v>
      </c>
      <c r="C37" s="4368"/>
      <c r="D37" s="298"/>
      <c r="E37" s="5" t="s">
        <v>2250</v>
      </c>
      <c r="F37" s="3680">
        <f>IF(SUM(F38,F40)=0,"NO",SUM(F38,F40))</f>
        <v>42410319.100019492</v>
      </c>
      <c r="G37" s="3666" t="str">
        <f t="shared" si="2"/>
        <v>NA</v>
      </c>
      <c r="H37" s="3664">
        <f t="shared" si="3"/>
        <v>5.3138384826407238E-3</v>
      </c>
      <c r="I37" s="3665">
        <f t="shared" si="4"/>
        <v>1.7228727401862978E-4</v>
      </c>
      <c r="J37" s="3505" t="str">
        <f>IF(SUM(J38,J40)=0,"IE",SUM(J38,J40))</f>
        <v>IE</v>
      </c>
      <c r="K37" s="3506">
        <f>IF(SUM(K38,K40)=0,"NO",SUM(K38,K40))</f>
        <v>225.36158569475649</v>
      </c>
      <c r="L37" s="3507">
        <f>IF(SUM(L38,L40)=0,"NO",SUM(L38,L40))</f>
        <v>7.3067582680025858</v>
      </c>
    </row>
    <row r="38" spans="2:13" ht="18" customHeight="1" x14ac:dyDescent="0.2">
      <c r="B38" s="923" t="s">
        <v>1280</v>
      </c>
      <c r="C38" s="4368"/>
      <c r="D38" s="298"/>
      <c r="E38" s="5" t="s">
        <v>2250</v>
      </c>
      <c r="F38" s="3681">
        <f>F39</f>
        <v>42410319.100019492</v>
      </c>
      <c r="G38" s="3666" t="str">
        <f t="shared" si="2"/>
        <v>NA</v>
      </c>
      <c r="H38" s="3667">
        <f t="shared" si="3"/>
        <v>5.3138384826407238E-3</v>
      </c>
      <c r="I38" s="3668">
        <f t="shared" si="4"/>
        <v>1.7228727401862978E-4</v>
      </c>
      <c r="J38" s="3505" t="str">
        <f>J39</f>
        <v>IE</v>
      </c>
      <c r="K38" s="3505">
        <f>K39</f>
        <v>225.36158569475649</v>
      </c>
      <c r="L38" s="3508">
        <f>L39</f>
        <v>7.3067582680025858</v>
      </c>
      <c r="M38" s="482"/>
    </row>
    <row r="39" spans="2:13" ht="18" customHeight="1" x14ac:dyDescent="0.2">
      <c r="B39" s="923"/>
      <c r="C39" s="4367" t="s">
        <v>2263</v>
      </c>
      <c r="D39" s="542" t="s">
        <v>940</v>
      </c>
      <c r="E39" s="543" t="s">
        <v>2250</v>
      </c>
      <c r="F39" s="3655">
        <v>42410319.100019492</v>
      </c>
      <c r="G39" s="3666" t="str">
        <f t="shared" si="2"/>
        <v>NA</v>
      </c>
      <c r="H39" s="3667">
        <f t="shared" ref="H39:H40" si="9">IF(SUM($F39)=0,"NA",K39*1000/$F39)</f>
        <v>5.3138384826407238E-3</v>
      </c>
      <c r="I39" s="3668">
        <f t="shared" ref="I39:I40" si="10">IF(SUM($F39)=0,"NA",L39*1000/$F39)</f>
        <v>1.7228727401862978E-4</v>
      </c>
      <c r="J39" s="3509" t="s">
        <v>2153</v>
      </c>
      <c r="K39" s="3510">
        <v>225.36158569475649</v>
      </c>
      <c r="L39" s="3512">
        <v>7.3067582680025858</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481458.6955317157</v>
      </c>
      <c r="G42" s="3663" t="str">
        <f t="shared" si="2"/>
        <v>NA</v>
      </c>
      <c r="H42" s="3664">
        <f t="shared" si="11"/>
        <v>8.5701259682932213E-2</v>
      </c>
      <c r="I42" s="3665">
        <f t="shared" si="12"/>
        <v>1.5943730003848131E-3</v>
      </c>
      <c r="J42" s="3505" t="str">
        <f>IF(SUM(J43,J46)=0,"IE",SUM(J43,J46))</f>
        <v>IE</v>
      </c>
      <c r="K42" s="3506">
        <f>IF(SUM(K43,K46)=0,"NO",SUM(K43,K46))</f>
        <v>41.261616692369358</v>
      </c>
      <c r="L42" s="3507">
        <f>IF(SUM(L43,L46)=0,"NO",SUM(L43,L46))</f>
        <v>0.76762474495625976</v>
      </c>
    </row>
    <row r="43" spans="2:13" ht="18" customHeight="1" x14ac:dyDescent="0.2">
      <c r="B43" s="923" t="s">
        <v>1283</v>
      </c>
      <c r="C43" s="4368"/>
      <c r="D43" s="298"/>
      <c r="E43" s="5" t="s">
        <v>2250</v>
      </c>
      <c r="F43" s="3681">
        <f>IF(SUM(F44:F45)=0,"NO",SUM(F44:F45))</f>
        <v>481458.6955317157</v>
      </c>
      <c r="G43" s="3666" t="str">
        <f t="shared" si="2"/>
        <v>NA</v>
      </c>
      <c r="H43" s="3667">
        <f t="shared" ref="H43" si="13">IF(SUM($F43)=0,"NA",K43*1000/$F43)</f>
        <v>8.5701259682932213E-2</v>
      </c>
      <c r="I43" s="3668">
        <f t="shared" ref="I43" si="14">IF(SUM($F43)=0,"NA",L43*1000/$F43)</f>
        <v>1.5943730003848131E-3</v>
      </c>
      <c r="J43" s="3505" t="str">
        <f>IF(SUM(J44:J45)=0,"IE",SUM(J44:J45))</f>
        <v>IE</v>
      </c>
      <c r="K43" s="3505">
        <f>IF(SUM(K44:K45)=0,"NO",SUM(K44:K45))</f>
        <v>41.261616692369358</v>
      </c>
      <c r="L43" s="3508">
        <f>IF(SUM(L44:L45)=0,"NO",SUM(L44:L45))</f>
        <v>0.76762474495625976</v>
      </c>
      <c r="M43" s="482"/>
    </row>
    <row r="44" spans="2:13" ht="18" customHeight="1" x14ac:dyDescent="0.2">
      <c r="B44" s="923"/>
      <c r="C44" s="4367" t="s">
        <v>2252</v>
      </c>
      <c r="D44" s="542" t="s">
        <v>940</v>
      </c>
      <c r="E44" s="543" t="s">
        <v>2250</v>
      </c>
      <c r="F44" s="3655">
        <v>421861.27738673036</v>
      </c>
      <c r="G44" s="3666" t="str">
        <f t="shared" si="2"/>
        <v>NA</v>
      </c>
      <c r="H44" s="3667">
        <f t="shared" ref="H44:H46" si="15">IF(SUM($F44)=0,"NA",K44*1000/$F44)</f>
        <v>9.4911278537466615E-2</v>
      </c>
      <c r="I44" s="3668">
        <f t="shared" ref="I44:I46" si="16">IF(SUM($F44)=0,"NA",L44*1000/$F44)</f>
        <v>1.754540440741223E-3</v>
      </c>
      <c r="J44" s="3509" t="s">
        <v>2153</v>
      </c>
      <c r="K44" s="3510">
        <v>40.03939320222343</v>
      </c>
      <c r="L44" s="3512">
        <v>0.74017267155776922</v>
      </c>
      <c r="M44" s="482"/>
    </row>
    <row r="45" spans="2:13" ht="18" customHeight="1" x14ac:dyDescent="0.2">
      <c r="B45" s="923"/>
      <c r="C45" s="4367" t="s">
        <v>2263</v>
      </c>
      <c r="D45" s="542" t="s">
        <v>940</v>
      </c>
      <c r="E45" s="543" t="s">
        <v>2250</v>
      </c>
      <c r="F45" s="3655">
        <v>59597.418144985313</v>
      </c>
      <c r="G45" s="3666" t="str">
        <f t="shared" si="2"/>
        <v>NA</v>
      </c>
      <c r="H45" s="3667">
        <f t="shared" si="15"/>
        <v>2.0507993939814197E-2</v>
      </c>
      <c r="I45" s="3668">
        <f t="shared" si="16"/>
        <v>4.6062521251686922E-4</v>
      </c>
      <c r="J45" s="3509" t="s">
        <v>2153</v>
      </c>
      <c r="K45" s="3510">
        <v>1.2222234901459315</v>
      </c>
      <c r="L45" s="3512">
        <v>2.7452073398490574E-2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1073426.9471580617</v>
      </c>
      <c r="G48" s="3660" t="str">
        <f t="shared" si="2"/>
        <v>NA</v>
      </c>
      <c r="H48" s="3661">
        <f t="shared" si="17"/>
        <v>1.6340082716305181E-2</v>
      </c>
      <c r="I48" s="3662">
        <f t="shared" si="18"/>
        <v>3.2824288948475437E-4</v>
      </c>
      <c r="J48" s="3502" t="str">
        <f>IF(SUM(J49,J54)=0,"IE",SUM(J49,J54))</f>
        <v>IE</v>
      </c>
      <c r="K48" s="3503">
        <f>IF(SUM(K49,K54)=0,"NO",SUM(K49,K54))</f>
        <v>17.539885106473676</v>
      </c>
      <c r="L48" s="3504">
        <f>IF(SUM(L49,L54)=0,"NO",SUM(L49,L54))</f>
        <v>0.35234476278596089</v>
      </c>
      <c r="M48" s="482"/>
    </row>
    <row r="49" spans="2:13" ht="18" customHeight="1" x14ac:dyDescent="0.2">
      <c r="B49" s="903" t="s">
        <v>1285</v>
      </c>
      <c r="C49" s="4368"/>
      <c r="D49" s="298"/>
      <c r="E49" s="5" t="s">
        <v>2250</v>
      </c>
      <c r="F49" s="3680">
        <f>IF(SUM(F50,F52)=0,"NO",SUM(F50,F52))</f>
        <v>1073426.9471580617</v>
      </c>
      <c r="G49" s="3663" t="str">
        <f t="shared" si="2"/>
        <v>NA</v>
      </c>
      <c r="H49" s="3664">
        <f t="shared" si="17"/>
        <v>1.6340082716305181E-2</v>
      </c>
      <c r="I49" s="3665">
        <f t="shared" si="18"/>
        <v>3.2824288948475437E-4</v>
      </c>
      <c r="J49" s="3505" t="str">
        <f>IF(SUM(J50,J52)=0,"IE",SUM(J50,J52))</f>
        <v>IE</v>
      </c>
      <c r="K49" s="3506">
        <f>IF(SUM(K50,K52)=0,"NO",SUM(K50,K52))</f>
        <v>17.539885106473676</v>
      </c>
      <c r="L49" s="3507">
        <f>IF(SUM(L50,L52)=0,"NO",SUM(L50,L52))</f>
        <v>0.35234476278596089</v>
      </c>
    </row>
    <row r="50" spans="2:13" ht="18" customHeight="1" x14ac:dyDescent="0.2">
      <c r="B50" s="923" t="s">
        <v>1286</v>
      </c>
      <c r="C50" s="4368"/>
      <c r="D50" s="298"/>
      <c r="E50" s="5" t="s">
        <v>2250</v>
      </c>
      <c r="F50" s="3681">
        <f>F51</f>
        <v>1073426.9471580617</v>
      </c>
      <c r="G50" s="3666" t="str">
        <f t="shared" si="2"/>
        <v>NA</v>
      </c>
      <c r="H50" s="3667">
        <f t="shared" si="17"/>
        <v>1.6340082716305181E-2</v>
      </c>
      <c r="I50" s="3668">
        <f t="shared" si="18"/>
        <v>3.2824288948475437E-4</v>
      </c>
      <c r="J50" s="3505" t="str">
        <f>J51</f>
        <v>IE</v>
      </c>
      <c r="K50" s="3505">
        <f>K51</f>
        <v>17.539885106473676</v>
      </c>
      <c r="L50" s="3508">
        <f>L51</f>
        <v>0.35234476278596089</v>
      </c>
      <c r="M50" s="482"/>
    </row>
    <row r="51" spans="2:13" ht="18" customHeight="1" x14ac:dyDescent="0.2">
      <c r="B51" s="923"/>
      <c r="C51" s="4367" t="s">
        <v>2263</v>
      </c>
      <c r="D51" s="542" t="s">
        <v>940</v>
      </c>
      <c r="E51" s="543" t="s">
        <v>2250</v>
      </c>
      <c r="F51" s="3655">
        <v>1073426.9471580617</v>
      </c>
      <c r="G51" s="3666" t="str">
        <f t="shared" si="2"/>
        <v>NA</v>
      </c>
      <c r="H51" s="3667">
        <f t="shared" si="17"/>
        <v>1.6340082716305181E-2</v>
      </c>
      <c r="I51" s="3668">
        <f t="shared" si="18"/>
        <v>3.2824288948475437E-4</v>
      </c>
      <c r="J51" s="3509" t="s">
        <v>2153</v>
      </c>
      <c r="K51" s="3510">
        <v>17.539885106473676</v>
      </c>
      <c r="L51" s="3512">
        <v>0.35234476278596089</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10101</v>
      </c>
      <c r="G59" s="3660" t="str">
        <f t="shared" si="2"/>
        <v>NA</v>
      </c>
      <c r="H59" s="3661">
        <f t="shared" si="3"/>
        <v>0.13164930204930206</v>
      </c>
      <c r="I59" s="3662">
        <f t="shared" si="4"/>
        <v>2.4336836253836249E-3</v>
      </c>
      <c r="J59" s="3502" t="str">
        <f>IF(SUM(J60,J65)=0,"IE",SUM(J60,J65))</f>
        <v>IE</v>
      </c>
      <c r="K59" s="3503">
        <f>IF(SUM(K60,K65)=0,"NO",SUM(K60,K65))</f>
        <v>1.3297896</v>
      </c>
      <c r="L59" s="3504">
        <f>IF(SUM(L60,L65)=0,"NO",SUM(L60,L65))</f>
        <v>2.4582638299999997E-2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10101</v>
      </c>
      <c r="G65" s="3663" t="str">
        <f t="shared" si="2"/>
        <v>NA</v>
      </c>
      <c r="H65" s="3664">
        <f t="shared" si="3"/>
        <v>0.13164930204930206</v>
      </c>
      <c r="I65" s="3665">
        <f t="shared" si="4"/>
        <v>2.4336836253836249E-3</v>
      </c>
      <c r="J65" s="3505" t="str">
        <f>IF(SUM(J66,J68)=0,"IE",SUM(J66,J68))</f>
        <v>IE</v>
      </c>
      <c r="K65" s="3506">
        <f>IF(SUM(K66,K68)=0,"NO",SUM(K66,K68))</f>
        <v>1.3297896</v>
      </c>
      <c r="L65" s="3507">
        <f>IF(SUM(L66,L68)=0,"NO",SUM(L66,L68))</f>
        <v>2.4582638299999997E-2</v>
      </c>
    </row>
    <row r="66" spans="2:13" ht="18" customHeight="1" x14ac:dyDescent="0.2">
      <c r="B66" s="923" t="s">
        <v>1294</v>
      </c>
      <c r="C66" s="4368"/>
      <c r="D66" s="298"/>
      <c r="E66" s="5" t="s">
        <v>2250</v>
      </c>
      <c r="F66" s="3681">
        <f>F67</f>
        <v>10101</v>
      </c>
      <c r="G66" s="3666" t="str">
        <f t="shared" si="2"/>
        <v>NA</v>
      </c>
      <c r="H66" s="3667">
        <f t="shared" si="3"/>
        <v>0.13164930204930206</v>
      </c>
      <c r="I66" s="3668">
        <f t="shared" si="4"/>
        <v>2.4336836253836249E-3</v>
      </c>
      <c r="J66" s="3505" t="str">
        <f>J67</f>
        <v>IE</v>
      </c>
      <c r="K66" s="3505">
        <f>K67</f>
        <v>1.3297896</v>
      </c>
      <c r="L66" s="3508">
        <f>L67</f>
        <v>2.4582638299999997E-2</v>
      </c>
      <c r="M66" s="482"/>
    </row>
    <row r="67" spans="2:13" ht="18" customHeight="1" x14ac:dyDescent="0.2">
      <c r="B67" s="923"/>
      <c r="C67" s="4367" t="s">
        <v>2252</v>
      </c>
      <c r="D67" s="542" t="s">
        <v>940</v>
      </c>
      <c r="E67" s="543" t="s">
        <v>2250</v>
      </c>
      <c r="F67" s="3655">
        <v>10101</v>
      </c>
      <c r="G67" s="3666" t="str">
        <f t="shared" si="2"/>
        <v>NA</v>
      </c>
      <c r="H67" s="3667">
        <f t="shared" ref="H67:H68" si="23">IF(SUM($F67)=0,"NA",K67*1000/$F67)</f>
        <v>0.13164930204930206</v>
      </c>
      <c r="I67" s="3668">
        <f t="shared" ref="I67:I68" si="24">IF(SUM($F67)=0,"NA",L67*1000/$F67)</f>
        <v>2.4336836253836249E-3</v>
      </c>
      <c r="J67" s="3509" t="s">
        <v>2153</v>
      </c>
      <c r="K67" s="3510">
        <v>1.3297896</v>
      </c>
      <c r="L67" s="3512">
        <v>2.4582638299999997E-2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4205.3541999645458</v>
      </c>
      <c r="D10" s="3521">
        <f>IF(SUM(D11,D16:D17)=0,"NO",SUM(D11,D16:D17))</f>
        <v>-3060.2044922811092</v>
      </c>
      <c r="E10" s="3522"/>
      <c r="F10" s="3523">
        <f>IF(SUM(F11,F16:F17)=0,"NO",SUM(F11,F16:F17))</f>
        <v>1145.1497076834366</v>
      </c>
      <c r="G10" s="3524">
        <f>IF(SUM(G11,G16:G17)=0,"NO",SUM(G11,G16:G17))</f>
        <v>-4198.8822615059344</v>
      </c>
      <c r="H10" s="226"/>
      <c r="I10" s="2"/>
      <c r="J10" s="2"/>
    </row>
    <row r="11" spans="1:10" ht="18" customHeight="1" x14ac:dyDescent="0.2">
      <c r="B11" s="606" t="s">
        <v>1314</v>
      </c>
      <c r="C11" s="3525">
        <f>IF(SUM(C13:C15)=0,"NO",SUM(C13:C15))</f>
        <v>1572.113938584999</v>
      </c>
      <c r="D11" s="3526">
        <f>IF(SUM(D13:D15)=0,"NO",SUM(D13:D15))</f>
        <v>-735.50079289760731</v>
      </c>
      <c r="E11" s="3527"/>
      <c r="F11" s="3528">
        <f>IF(SUM(F13:F15)=0,"NO",SUM(F13:F15))</f>
        <v>836.61314568739169</v>
      </c>
      <c r="G11" s="3529">
        <f>IF(SUM(G13:G15)=0,"NO",SUM(G13:G15))</f>
        <v>-3067.581534187103</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1057.7883235069298</v>
      </c>
      <c r="D13" s="3534">
        <f>F13-C13</f>
        <v>-450.66510198090566</v>
      </c>
      <c r="E13" s="3535" t="s">
        <v>2147</v>
      </c>
      <c r="F13" s="3536">
        <f>G13/(-44/12)</f>
        <v>607.12322152602417</v>
      </c>
      <c r="G13" s="3537">
        <v>-2226.1184789287554</v>
      </c>
      <c r="H13" s="226"/>
      <c r="I13" s="2"/>
      <c r="J13" s="2"/>
    </row>
    <row r="14" spans="1:10" ht="18" customHeight="1" x14ac:dyDescent="0.2">
      <c r="B14" s="1193" t="s">
        <v>1316</v>
      </c>
      <c r="C14" s="3538">
        <v>514.32561507806918</v>
      </c>
      <c r="D14" s="3539">
        <f>F14-C14</f>
        <v>-284.83569091670165</v>
      </c>
      <c r="E14" s="3235" t="s">
        <v>2147</v>
      </c>
      <c r="F14" s="3540">
        <f>G14/(-44/12)</f>
        <v>229.48992416136753</v>
      </c>
      <c r="G14" s="3537">
        <v>-841.46305525834759</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1818.1095041857379</v>
      </c>
      <c r="D16" s="3539">
        <f>F16-C16</f>
        <v>-1818.2924651588255</v>
      </c>
      <c r="E16" s="3235" t="s">
        <v>2147</v>
      </c>
      <c r="F16" s="3540">
        <f>G16/(-44/12)</f>
        <v>-0.18296097308757453</v>
      </c>
      <c r="G16" s="3537">
        <v>0.67085690132110654</v>
      </c>
      <c r="H16" s="226"/>
      <c r="I16" s="2"/>
      <c r="J16" s="2"/>
    </row>
    <row r="17" spans="2:10" ht="18" customHeight="1" x14ac:dyDescent="0.2">
      <c r="B17" s="1197" t="s">
        <v>1320</v>
      </c>
      <c r="C17" s="3542">
        <f>C18</f>
        <v>815.1307571938089</v>
      </c>
      <c r="D17" s="3543">
        <f t="shared" ref="D17:F17" si="0">D18</f>
        <v>-506.41123422467643</v>
      </c>
      <c r="E17" s="3544"/>
      <c r="F17" s="3226">
        <f t="shared" si="0"/>
        <v>308.71952296913247</v>
      </c>
      <c r="G17" s="3537">
        <f>-F17*44/12</f>
        <v>-1131.9715842201524</v>
      </c>
      <c r="H17" s="226"/>
      <c r="I17" s="2"/>
      <c r="J17" s="2"/>
    </row>
    <row r="18" spans="2:10" ht="18" customHeight="1" thickBot="1" x14ac:dyDescent="0.25">
      <c r="B18" s="561" t="s">
        <v>2254</v>
      </c>
      <c r="C18" s="3545">
        <v>815.1307571938089</v>
      </c>
      <c r="D18" s="3546">
        <f>F18-C18</f>
        <v>-506.41123422467643</v>
      </c>
      <c r="E18" s="3238" t="s">
        <v>2147</v>
      </c>
      <c r="F18" s="3547">
        <f>G18/(-44/12)</f>
        <v>308.71952296913247</v>
      </c>
      <c r="G18" s="3548">
        <v>-1131.9715842201524</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31.180693138900697</v>
      </c>
      <c r="D10" s="4371">
        <f t="shared" ref="D10:I10" si="0">IF(SUM(D11,D15,D18,D21)=0,"NO",SUM(D11,D15,D18,D21))</f>
        <v>441.09029348406978</v>
      </c>
      <c r="E10" s="4371">
        <f t="shared" si="0"/>
        <v>1.287982306435683</v>
      </c>
      <c r="F10" s="4371" t="str">
        <f t="shared" si="0"/>
        <v>NO</v>
      </c>
      <c r="G10" s="4371" t="str">
        <f t="shared" si="0"/>
        <v>NO</v>
      </c>
      <c r="H10" s="4371">
        <f t="shared" si="0"/>
        <v>265.02082364715477</v>
      </c>
      <c r="I10" s="4372" t="str">
        <f t="shared" si="0"/>
        <v>NO</v>
      </c>
      <c r="J10" s="4373">
        <f>IF(SUM(C10:E10)=0,"NO",SUM(C10,IFERROR(28*D10,0),IFERROR(265*E10,0)))</f>
        <v>12723.024221898309</v>
      </c>
    </row>
    <row r="11" spans="1:10" ht="18" customHeight="1" x14ac:dyDescent="0.2">
      <c r="B11" s="1504" t="s">
        <v>1371</v>
      </c>
      <c r="C11" s="4374"/>
      <c r="D11" s="2883">
        <f>IF(SUM(D12:D14)=0,"NO",SUM(D12:D14))</f>
        <v>348.23789538</v>
      </c>
      <c r="E11" s="4374"/>
      <c r="F11" s="2883" t="str">
        <f>IF(SUM(F12:F14)=0,"NO",SUM(F12:F14))</f>
        <v>NO</v>
      </c>
      <c r="G11" s="2883" t="str">
        <f t="shared" ref="G11:H11" si="1">IF(SUM(G12:G14)=0,"NO",SUM(G12:G14))</f>
        <v>NO</v>
      </c>
      <c r="H11" s="2883">
        <f t="shared" si="1"/>
        <v>2.9873961769224633</v>
      </c>
      <c r="I11" s="2153"/>
      <c r="J11" s="2872">
        <f t="shared" ref="J11:J18" si="2">IF(SUM(C11:E11)=0,"NO",SUM(C11,IFERROR(28*D11,0),IFERROR(265*E11,0)))</f>
        <v>9750.6610706400006</v>
      </c>
    </row>
    <row r="12" spans="1:10" ht="18" customHeight="1" x14ac:dyDescent="0.2">
      <c r="B12" s="1270" t="s">
        <v>1372</v>
      </c>
      <c r="C12" s="4375"/>
      <c r="D12" s="4376">
        <f>IF(SUM(Table5.A!F10:H10)=0,"NO",SUM(Table5.A!F10))</f>
        <v>348.23789538</v>
      </c>
      <c r="E12" s="4375"/>
      <c r="F12" s="4377" t="s">
        <v>2147</v>
      </c>
      <c r="G12" s="4377" t="s">
        <v>2147</v>
      </c>
      <c r="H12" s="4377">
        <v>2.9873961769224633</v>
      </c>
      <c r="I12" s="4378"/>
      <c r="J12" s="4379">
        <f t="shared" si="2"/>
        <v>9750.6610706400006</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4.2091381424999996</v>
      </c>
      <c r="E15" s="2881">
        <f t="shared" ref="E15" si="3">IF(SUM(E16:E17)=0,"NO",SUM(E16:E17))</f>
        <v>0.5387696822400001</v>
      </c>
      <c r="F15" s="2881" t="s">
        <v>2256</v>
      </c>
      <c r="G15" s="2881" t="s">
        <v>2256</v>
      </c>
      <c r="H15" s="2881" t="s">
        <v>2256</v>
      </c>
      <c r="I15" s="4386"/>
      <c r="J15" s="2873">
        <f t="shared" si="2"/>
        <v>260.62983378360002</v>
      </c>
    </row>
    <row r="16" spans="1:10" ht="18" customHeight="1" x14ac:dyDescent="0.2">
      <c r="B16" s="1883" t="s">
        <v>1376</v>
      </c>
      <c r="C16" s="4387"/>
      <c r="D16" s="4376">
        <f>Table5.B!F10</f>
        <v>4.2091381424999996</v>
      </c>
      <c r="E16" s="4376">
        <f>Table5.B!G10</f>
        <v>0.5387696822400001</v>
      </c>
      <c r="F16" s="4388" t="s">
        <v>2147</v>
      </c>
      <c r="G16" s="4388" t="s">
        <v>2147</v>
      </c>
      <c r="H16" s="4388" t="s">
        <v>2147</v>
      </c>
      <c r="I16" s="4378"/>
      <c r="J16" s="4379">
        <f t="shared" si="2"/>
        <v>260.62983378360002</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31.180693138900697</v>
      </c>
      <c r="D18" s="2871" t="str">
        <f>IF(SUM(D19:D20)=0,"NO,NE",SUM(D19:D20))</f>
        <v>NO,NE</v>
      </c>
      <c r="E18" s="2871" t="str">
        <f>IF(SUM(E19:E20)=0,"NO,NE",SUM(E19:E20))</f>
        <v>NO,NE</v>
      </c>
      <c r="F18" s="2871" t="s">
        <v>2147</v>
      </c>
      <c r="G18" s="2871" t="s">
        <v>2147</v>
      </c>
      <c r="H18" s="2871" t="s">
        <v>2147</v>
      </c>
      <c r="I18" s="2871" t="s">
        <v>2147</v>
      </c>
      <c r="J18" s="2874">
        <f t="shared" si="2"/>
        <v>31.180693138900697</v>
      </c>
    </row>
    <row r="19" spans="2:12" ht="18" customHeight="1" x14ac:dyDescent="0.2">
      <c r="B19" s="1270" t="s">
        <v>1379</v>
      </c>
      <c r="C19" s="4376">
        <f>Table5.C!G10</f>
        <v>31.180693138900697</v>
      </c>
      <c r="D19" s="4376" t="str">
        <f>Table5.C!H10</f>
        <v>NO,NE</v>
      </c>
      <c r="E19" s="4376" t="str">
        <f>Table5.C!I10</f>
        <v>NO,NE</v>
      </c>
      <c r="F19" s="4391" t="s">
        <v>2147</v>
      </c>
      <c r="G19" s="4391" t="s">
        <v>2147</v>
      </c>
      <c r="H19" s="4391" t="s">
        <v>2147</v>
      </c>
      <c r="I19" s="4391" t="s">
        <v>2147</v>
      </c>
      <c r="J19" s="4379">
        <f>IF(SUM(C19:E19)=0,"NO",SUM(C19,IFERROR(28*D19,0),IFERROR(265*E19,0)))</f>
        <v>31.180693138900697</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88.64325996156974</v>
      </c>
      <c r="E21" s="2871">
        <f t="shared" ref="E21:H21" si="5">IF(SUM(E22:E24)=0,"NO",SUM(E22:E24))</f>
        <v>0.7492126241956828</v>
      </c>
      <c r="F21" s="2871" t="str">
        <f t="shared" si="5"/>
        <v>NO</v>
      </c>
      <c r="G21" s="2871" t="str">
        <f t="shared" si="5"/>
        <v>NO</v>
      </c>
      <c r="H21" s="2871">
        <f t="shared" si="5"/>
        <v>262.03342747023231</v>
      </c>
      <c r="I21" s="4393"/>
      <c r="J21" s="2874">
        <f t="shared" si="4"/>
        <v>2680.552624335809</v>
      </c>
    </row>
    <row r="22" spans="2:12" ht="18" customHeight="1" x14ac:dyDescent="0.2">
      <c r="B22" s="1270" t="s">
        <v>1382</v>
      </c>
      <c r="C22" s="4394"/>
      <c r="D22" s="4376">
        <f>IF(SUM(Table5.D!H10)=0,"NO",SUM(Table5.D!H10))</f>
        <v>49.955767880413845</v>
      </c>
      <c r="E22" s="4376">
        <f>IF(SUM(Table5.D!I10:J10)=0,"NO",SUM(Table5.D!I10:J10))</f>
        <v>0.7492126241956828</v>
      </c>
      <c r="F22" s="4377" t="s">
        <v>2147</v>
      </c>
      <c r="G22" s="4377" t="s">
        <v>2147</v>
      </c>
      <c r="H22" s="4377">
        <v>7.8953416309589564</v>
      </c>
      <c r="I22" s="4378"/>
      <c r="J22" s="4379">
        <f t="shared" si="4"/>
        <v>1597.3028460634434</v>
      </c>
    </row>
    <row r="23" spans="2:12" ht="18" customHeight="1" x14ac:dyDescent="0.2">
      <c r="B23" s="1270" t="s">
        <v>1383</v>
      </c>
      <c r="C23" s="4394"/>
      <c r="D23" s="4376">
        <f>IF(SUM(Table5.D!H11)=0,"NO",SUM(Table5.D!H11))</f>
        <v>38.687492081155895</v>
      </c>
      <c r="E23" s="4376" t="str">
        <f>IF(SUM(Table5.D!I11:J11)=0,"IE",SUM(Table5.D!I11:J11))</f>
        <v>IE</v>
      </c>
      <c r="F23" s="4377" t="s">
        <v>2147</v>
      </c>
      <c r="G23" s="4377" t="s">
        <v>2147</v>
      </c>
      <c r="H23" s="4377">
        <v>254.13808583927334</v>
      </c>
      <c r="I23" s="4378"/>
      <c r="J23" s="4379">
        <f t="shared" si="4"/>
        <v>1083.2497782723651</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-299793.21230336587</v>
      </c>
      <c r="D28" s="4404"/>
      <c r="E28" s="4404"/>
      <c r="F28" s="4404"/>
      <c r="G28" s="4404"/>
      <c r="H28" s="4404"/>
      <c r="I28" s="4405"/>
      <c r="J28" s="4406"/>
      <c r="K28"/>
      <c r="L28"/>
    </row>
    <row r="29" spans="2:12" ht="18" customHeight="1" x14ac:dyDescent="0.2">
      <c r="B29" s="2487" t="s">
        <v>2081</v>
      </c>
      <c r="C29" s="4407">
        <v>-3689.0578181888122</v>
      </c>
      <c r="D29" s="4408"/>
      <c r="E29" s="4408"/>
      <c r="F29" s="4408"/>
      <c r="G29" s="4408"/>
      <c r="H29" s="4408"/>
      <c r="I29" s="4406"/>
      <c r="J29" s="4406"/>
      <c r="K29"/>
      <c r="L29"/>
    </row>
    <row r="30" spans="2:12" ht="29.25" customHeight="1" thickBot="1" x14ac:dyDescent="0.25">
      <c r="B30" s="2488" t="s">
        <v>2082</v>
      </c>
      <c r="C30" s="4409">
        <v>-1131.9715842201524</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18375.767237811451</v>
      </c>
      <c r="D10" s="3752"/>
      <c r="E10" s="3751">
        <f>IF(SUM(C10)=0,"NA",(F10-SUM(G10:H10))/C10)</f>
        <v>3.6579038397748828E-2</v>
      </c>
      <c r="F10" s="3753">
        <f>F11</f>
        <v>348.23789538</v>
      </c>
      <c r="G10" s="3753">
        <f>G11</f>
        <v>-20.39</v>
      </c>
      <c r="H10" s="3754">
        <f>H11</f>
        <v>-303.54000000000002</v>
      </c>
      <c r="I10" s="44"/>
    </row>
    <row r="11" spans="1:13" ht="18" customHeight="1" x14ac:dyDescent="0.2">
      <c r="B11" s="1750" t="s">
        <v>1395</v>
      </c>
      <c r="C11" s="3755">
        <f>IF(SUM(C13:C16)=0,"NO",SUM(C13:C16))</f>
        <v>18375.767237811451</v>
      </c>
      <c r="D11" s="3755">
        <v>1</v>
      </c>
      <c r="E11" s="3755">
        <f>IF(SUM(C11)=0,"NA",(F11-SUM(G11:H11))/C11)</f>
        <v>3.6579038397748828E-2</v>
      </c>
      <c r="F11" s="3755">
        <f>IF(SUM(F13:F16)=0,"NO",SUM(F13:F16))</f>
        <v>348.23789538</v>
      </c>
      <c r="G11" s="3756">
        <v>-20.39</v>
      </c>
      <c r="H11" s="3757">
        <v>-303.54000000000002</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10686.927215915763</v>
      </c>
      <c r="D13" s="3762">
        <v>1</v>
      </c>
      <c r="E13" s="3755" t="s">
        <v>2153</v>
      </c>
      <c r="F13" s="3762">
        <v>13.90317608</v>
      </c>
      <c r="G13" s="3763"/>
      <c r="H13" s="3764"/>
      <c r="I13" s="44"/>
    </row>
    <row r="14" spans="1:13" ht="18" customHeight="1" x14ac:dyDescent="0.2">
      <c r="B14" s="1751" t="s">
        <v>1398</v>
      </c>
      <c r="C14" s="3762">
        <v>1808.1206267476518</v>
      </c>
      <c r="D14" s="3762">
        <v>1</v>
      </c>
      <c r="E14" s="3755" t="s">
        <v>2153</v>
      </c>
      <c r="F14" s="3762">
        <v>136.85282659999999</v>
      </c>
      <c r="G14" s="3763"/>
      <c r="H14" s="3764"/>
      <c r="I14" s="44"/>
    </row>
    <row r="15" spans="1:13" ht="18" customHeight="1" x14ac:dyDescent="0.2">
      <c r="B15" s="1751" t="s">
        <v>1399</v>
      </c>
      <c r="C15" s="3762">
        <v>5880.7193951480358</v>
      </c>
      <c r="D15" s="3762">
        <v>1</v>
      </c>
      <c r="E15" s="3755" t="s">
        <v>2153</v>
      </c>
      <c r="F15" s="3762">
        <v>197.4818927</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5612.1841899999999</v>
      </c>
      <c r="D10" s="1913">
        <f>IF(SUM($C10)=0,"NA",F10*1000/$C10)</f>
        <v>0.75</v>
      </c>
      <c r="E10" s="1913">
        <f>IF(SUM($C10)=0,"NA",G10*1000/$C10)</f>
        <v>9.6000000000000016E-2</v>
      </c>
      <c r="F10" s="1909">
        <f>IF(SUM(F11:F12)=0,"NO",SUM(F11:F12))</f>
        <v>4.2091381424999996</v>
      </c>
      <c r="G10" s="1909">
        <f>IF(SUM(G11:G12)=0,"NO",SUM(G11:G12))</f>
        <v>0.5387696822400001</v>
      </c>
      <c r="H10" s="1910"/>
      <c r="I10" s="1911"/>
    </row>
    <row r="11" spans="1:9" ht="18" customHeight="1" x14ac:dyDescent="0.2">
      <c r="B11" s="1526" t="s">
        <v>1411</v>
      </c>
      <c r="C11" s="1912">
        <v>5612.1841899999999</v>
      </c>
      <c r="D11" s="1913">
        <f>IF(SUM($C11)=0,"NA",F11*1000/$C11)</f>
        <v>0.75</v>
      </c>
      <c r="E11" s="1913">
        <f>IF(SUM($C11)=0,"NA",G11*1000/$C11)</f>
        <v>9.6000000000000016E-2</v>
      </c>
      <c r="F11" s="1912">
        <v>4.2091381424999996</v>
      </c>
      <c r="G11" s="1912">
        <v>0.5387696822400001</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15.866698598046106</v>
      </c>
      <c r="D10" s="2887">
        <f>IF(SUM(G10)=0,"NA",G10*1000/$C10)</f>
        <v>1965.1657807844426</v>
      </c>
      <c r="E10" s="2887" t="str">
        <f t="shared" ref="E10:E20" si="0">IF(SUM(H10)=0,"NA",H10*1000/$C10)</f>
        <v>NA</v>
      </c>
      <c r="F10" s="2887" t="str">
        <f t="shared" ref="F10:F20" si="1">IF(SUM(I10)=0,"NA",I10*1000/$C10)</f>
        <v>NA</v>
      </c>
      <c r="G10" s="2887">
        <f>IF(SUM(G11,G21)=0,"NO",SUM(G11,G21))</f>
        <v>31.180693138900697</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15.866698598046106</v>
      </c>
      <c r="D21" s="116">
        <f>IF(SUM(G21)=0,"NA",G21*1000/$C21)</f>
        <v>1965.1657807844426</v>
      </c>
      <c r="E21" s="116" t="str">
        <f t="shared" ref="E21:F21" si="3">IF(SUM(H21)=0,"NA",H21*1000/$C21)</f>
        <v>NA</v>
      </c>
      <c r="F21" s="116" t="str">
        <f t="shared" si="3"/>
        <v>NA</v>
      </c>
      <c r="G21" s="2889">
        <f>IF(SUM(G22:G23)=0,"NO",SUM(G22:G23))</f>
        <v>31.180693138900697</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15.866698598046106</v>
      </c>
      <c r="D23" s="116">
        <f t="shared" si="4"/>
        <v>1965.1657807844426</v>
      </c>
      <c r="E23" s="151" t="str">
        <f t="shared" si="5"/>
        <v>NA</v>
      </c>
      <c r="F23" s="151" t="str">
        <f t="shared" si="6"/>
        <v>NA</v>
      </c>
      <c r="G23" s="151">
        <f>IF(SUM(G25:G30)=0,"NO",SUM(G25:G30))</f>
        <v>31.180693138900697</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15.866698598046106</v>
      </c>
      <c r="D27" s="116">
        <f t="shared" si="4"/>
        <v>879.99999999744273</v>
      </c>
      <c r="E27" s="116" t="str">
        <f t="shared" si="5"/>
        <v>NA</v>
      </c>
      <c r="F27" s="116" t="str">
        <f t="shared" si="6"/>
        <v>NA</v>
      </c>
      <c r="G27" s="2897">
        <v>13.962694766239999</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24012.83</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37.812922829104501</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1251.3885588807</v>
      </c>
      <c r="D10" s="3435">
        <v>863.160680850993</v>
      </c>
      <c r="E10" s="3435">
        <v>135.122916168628</v>
      </c>
      <c r="F10" s="3436">
        <f>(SUM(H10)-SUM(K10:L10))/C10</f>
        <v>7.5838607146196599E-2</v>
      </c>
      <c r="G10" s="3437">
        <f>SUM(I10:J10)/E10/(44/28)</f>
        <v>3.5284293994048742E-3</v>
      </c>
      <c r="H10" s="3434">
        <v>49.955767880413845</v>
      </c>
      <c r="I10" s="3223">
        <v>0.7492126241956828</v>
      </c>
      <c r="J10" s="3223" t="s">
        <v>2153</v>
      </c>
      <c r="K10" s="3438">
        <v>-5.3643085333333342</v>
      </c>
      <c r="L10" s="2911">
        <v>-39.583488890451321</v>
      </c>
      <c r="M10"/>
      <c r="N10" s="1770" t="s">
        <v>1468</v>
      </c>
      <c r="O10" s="3440">
        <v>1</v>
      </c>
    </row>
    <row r="11" spans="1:15" ht="18" customHeight="1" x14ac:dyDescent="0.2">
      <c r="A11"/>
      <c r="B11" s="1749" t="s">
        <v>1383</v>
      </c>
      <c r="C11" s="3435">
        <v>847.12695279757804</v>
      </c>
      <c r="D11" s="3435">
        <v>224.492588304376</v>
      </c>
      <c r="E11" s="691" t="s">
        <v>2153</v>
      </c>
      <c r="F11" s="3162">
        <f>(SUM(H11)-SUM(K11:L11))/C11</f>
        <v>5.526475723914364E-2</v>
      </c>
      <c r="G11" s="3162" t="s">
        <v>2147</v>
      </c>
      <c r="H11" s="691">
        <v>38.687492081155895</v>
      </c>
      <c r="I11" s="691" t="s">
        <v>2153</v>
      </c>
      <c r="J11" s="691" t="s">
        <v>2153</v>
      </c>
      <c r="K11" s="3147" t="s">
        <v>2153</v>
      </c>
      <c r="L11" s="2911">
        <v>-8.1287733159377478</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375219.56430851866</v>
      </c>
      <c r="D10" s="4213">
        <f t="shared" si="0"/>
        <v>4824.4853481170694</v>
      </c>
      <c r="E10" s="4213">
        <f t="shared" si="0"/>
        <v>79.206730171504091</v>
      </c>
      <c r="F10" s="4213">
        <f t="shared" si="0"/>
        <v>9343.4630293335158</v>
      </c>
      <c r="G10" s="4213">
        <f t="shared" si="0"/>
        <v>154.06023702200318</v>
      </c>
      <c r="H10" s="4213" t="str">
        <f>IF(SUM(H11,H22,H31,H42,H51)=0,"NO",SUM(H11,H22,H31,H42,H51))</f>
        <v>NO</v>
      </c>
      <c r="I10" s="4213">
        <f t="shared" ref="I10:N10" si="1">IF(SUM(I11,I22,I31,I42,I51)=0,"NO",SUM(I11,I22,I31,I42,I51))</f>
        <v>5.095269989652507E-3</v>
      </c>
      <c r="J10" s="3834" t="str">
        <f t="shared" si="1"/>
        <v>NO</v>
      </c>
      <c r="K10" s="4213">
        <f t="shared" si="1"/>
        <v>3433.3010099245766</v>
      </c>
      <c r="L10" s="4213">
        <f t="shared" si="1"/>
        <v>25996.632130730773</v>
      </c>
      <c r="M10" s="4213">
        <f t="shared" si="1"/>
        <v>1896.1741189821282</v>
      </c>
      <c r="N10" s="4214">
        <f t="shared" si="1"/>
        <v>2384.7285801878161</v>
      </c>
      <c r="O10" s="3818">
        <f>IF(SUM(C10:J10)=0,"NO",SUM(C10,F10:H10)+28*SUM(D10)+265*SUM(E10)+23500*SUM(I10)+16100*SUM(J10))</f>
        <v>540912.19966235745</v>
      </c>
    </row>
    <row r="11" spans="1:15" ht="18" customHeight="1" x14ac:dyDescent="0.25">
      <c r="B11" s="1120" t="s">
        <v>1476</v>
      </c>
      <c r="C11" s="2552">
        <f>Table1!C10</f>
        <v>379417.86501432775</v>
      </c>
      <c r="D11" s="3810">
        <f>Table1!D10</f>
        <v>1419.7758512521239</v>
      </c>
      <c r="E11" s="3810">
        <f>Table1!E10</f>
        <v>11.013556962295443</v>
      </c>
      <c r="F11" s="4215"/>
      <c r="G11" s="4215"/>
      <c r="H11" s="4216"/>
      <c r="I11" s="4215"/>
      <c r="J11" s="98"/>
      <c r="K11" s="3810">
        <f>Table1!F10</f>
        <v>2518.1989054240717</v>
      </c>
      <c r="L11" s="3810">
        <f>Table1!G10</f>
        <v>2375.6000119138471</v>
      </c>
      <c r="M11" s="3810">
        <f>Table1!H10</f>
        <v>758.00455032063155</v>
      </c>
      <c r="N11" s="4217">
        <f>Table1!I10</f>
        <v>661.38270506065112</v>
      </c>
      <c r="O11" s="3781">
        <f t="shared" ref="O11:O58" si="2">IF(SUM(C11:J11)=0,"NO",SUM(C11,F11:H11)+28*SUM(D11)+265*SUM(E11)+23500*SUM(I11)+16100*SUM(J11))</f>
        <v>422090.18144439557</v>
      </c>
    </row>
    <row r="12" spans="1:15" ht="18" customHeight="1" x14ac:dyDescent="0.25">
      <c r="B12" s="1370" t="s">
        <v>1477</v>
      </c>
      <c r="C12" s="4218">
        <f>Table1!C11</f>
        <v>368590.01085932768</v>
      </c>
      <c r="D12" s="4219">
        <f>Table1!D11</f>
        <v>83.95757421835016</v>
      </c>
      <c r="E12" s="4219">
        <f>Table1!E11</f>
        <v>10.853009083001748</v>
      </c>
      <c r="F12" s="69"/>
      <c r="G12" s="69"/>
      <c r="H12" s="69"/>
      <c r="I12" s="69"/>
      <c r="J12" s="69"/>
      <c r="K12" s="4219">
        <f>Table1!F11</f>
        <v>2515.6041186550715</v>
      </c>
      <c r="L12" s="4219">
        <f>Table1!G11</f>
        <v>2360.550248653647</v>
      </c>
      <c r="M12" s="4219">
        <f>Table1!H11</f>
        <v>522.09414659999936</v>
      </c>
      <c r="N12" s="4220">
        <f>Table1!I11</f>
        <v>661.38270506065112</v>
      </c>
      <c r="O12" s="3782">
        <f t="shared" si="2"/>
        <v>373816.8703444369</v>
      </c>
    </row>
    <row r="13" spans="1:15" ht="18" customHeight="1" x14ac:dyDescent="0.25">
      <c r="B13" s="1371" t="s">
        <v>1478</v>
      </c>
      <c r="C13" s="4218">
        <f>Table1!C12</f>
        <v>210657.41379242556</v>
      </c>
      <c r="D13" s="4219">
        <f>Table1!D12</f>
        <v>29.102627636751954</v>
      </c>
      <c r="E13" s="4219">
        <f>Table1!E12</f>
        <v>3.1706338463043906</v>
      </c>
      <c r="F13" s="69"/>
      <c r="G13" s="69"/>
      <c r="H13" s="69"/>
      <c r="I13" s="69"/>
      <c r="J13" s="69"/>
      <c r="K13" s="4219">
        <f>Table1!F12</f>
        <v>1074.0594881195971</v>
      </c>
      <c r="L13" s="4219">
        <f>Table1!G12</f>
        <v>246.82830977015277</v>
      </c>
      <c r="M13" s="4219">
        <f>Table1!H12</f>
        <v>65.334343443373498</v>
      </c>
      <c r="N13" s="4220">
        <f>Table1!I12</f>
        <v>560.52339425766547</v>
      </c>
      <c r="O13" s="3783">
        <f t="shared" si="2"/>
        <v>212312.50533552526</v>
      </c>
    </row>
    <row r="14" spans="1:15" ht="18" customHeight="1" x14ac:dyDescent="0.25">
      <c r="B14" s="1371" t="s">
        <v>1479</v>
      </c>
      <c r="C14" s="4218">
        <f>Table1!C16</f>
        <v>42279.340220573016</v>
      </c>
      <c r="D14" s="4221">
        <f>Table1!D16</f>
        <v>2.4872832318839135</v>
      </c>
      <c r="E14" s="4221">
        <f>Table1!E16</f>
        <v>1.4903860924080667</v>
      </c>
      <c r="F14" s="3784"/>
      <c r="G14" s="3784"/>
      <c r="H14" s="3784"/>
      <c r="I14" s="3784"/>
      <c r="J14" s="69"/>
      <c r="K14" s="4221">
        <f>Table1!F16</f>
        <v>743.77680483956067</v>
      </c>
      <c r="L14" s="4221">
        <f>Table1!G16</f>
        <v>239.56055136532001</v>
      </c>
      <c r="M14" s="4221">
        <f>Table1!H16</f>
        <v>100.8406107529625</v>
      </c>
      <c r="N14" s="4222">
        <f>Table1!I16</f>
        <v>68.295656715126512</v>
      </c>
      <c r="O14" s="3785">
        <f t="shared" si="2"/>
        <v>42743.936465553903</v>
      </c>
    </row>
    <row r="15" spans="1:15" ht="18" customHeight="1" x14ac:dyDescent="0.25">
      <c r="B15" s="1371" t="s">
        <v>1480</v>
      </c>
      <c r="C15" s="4218">
        <f>Table1!C24</f>
        <v>93380.354578501909</v>
      </c>
      <c r="D15" s="4219">
        <f>Table1!D24</f>
        <v>15.183220360497986</v>
      </c>
      <c r="E15" s="4219">
        <f>Table1!E24</f>
        <v>5.4738715668083655</v>
      </c>
      <c r="F15" s="69"/>
      <c r="G15" s="69"/>
      <c r="H15" s="69"/>
      <c r="I15" s="69"/>
      <c r="J15" s="69"/>
      <c r="K15" s="4219">
        <f>Table1!F24</f>
        <v>306.87821773856359</v>
      </c>
      <c r="L15" s="4219">
        <f>Table1!G24</f>
        <v>1212.7304071241217</v>
      </c>
      <c r="M15" s="4219">
        <f>Table1!H24</f>
        <v>238.96109756976935</v>
      </c>
      <c r="N15" s="4220">
        <f>Table1!I24</f>
        <v>23.988528753319741</v>
      </c>
      <c r="O15" s="3783">
        <f t="shared" si="2"/>
        <v>95256.060713800063</v>
      </c>
    </row>
    <row r="16" spans="1:15" ht="18" customHeight="1" x14ac:dyDescent="0.25">
      <c r="B16" s="1371" t="s">
        <v>1481</v>
      </c>
      <c r="C16" s="4218">
        <f>Table1!C30</f>
        <v>21335.584177847282</v>
      </c>
      <c r="D16" s="4219">
        <f>Table1!D30</f>
        <v>37.157189392663291</v>
      </c>
      <c r="E16" s="4219">
        <f>Table1!E30</f>
        <v>0.69205372598082704</v>
      </c>
      <c r="F16" s="69"/>
      <c r="G16" s="69"/>
      <c r="H16" s="69"/>
      <c r="I16" s="69"/>
      <c r="J16" s="69"/>
      <c r="K16" s="4219">
        <f>Table1!F30</f>
        <v>383.66676256392719</v>
      </c>
      <c r="L16" s="4219">
        <f>Table1!G30</f>
        <v>658.06325806463531</v>
      </c>
      <c r="M16" s="4219">
        <f>Table1!H30</f>
        <v>116.43202654862586</v>
      </c>
      <c r="N16" s="4220">
        <f>Table1!I30</f>
        <v>8.269669539287964</v>
      </c>
      <c r="O16" s="3783">
        <f t="shared" si="2"/>
        <v>22559.379718226774</v>
      </c>
    </row>
    <row r="17" spans="2:15" ht="18" customHeight="1" x14ac:dyDescent="0.25">
      <c r="B17" s="1371" t="s">
        <v>1482</v>
      </c>
      <c r="C17" s="4218">
        <f>Table1!C34</f>
        <v>937.31808997989651</v>
      </c>
      <c r="D17" s="4219">
        <f>Table1!D34</f>
        <v>2.7253596553021842E-2</v>
      </c>
      <c r="E17" s="4219">
        <f>Table1!E34</f>
        <v>2.6063851500097154E-2</v>
      </c>
      <c r="F17" s="69"/>
      <c r="G17" s="69"/>
      <c r="H17" s="69"/>
      <c r="I17" s="69"/>
      <c r="J17" s="69"/>
      <c r="K17" s="4219">
        <f>Table1!F34</f>
        <v>7.22284539342317</v>
      </c>
      <c r="L17" s="4219">
        <f>Table1!G34</f>
        <v>3.367722329417203</v>
      </c>
      <c r="M17" s="4219">
        <f>Table1!H34</f>
        <v>0.52606828526825744</v>
      </c>
      <c r="N17" s="4220">
        <f>Table1!I34</f>
        <v>0.3054557952514026</v>
      </c>
      <c r="O17" s="3783">
        <f t="shared" si="2"/>
        <v>944.98811133090692</v>
      </c>
    </row>
    <row r="18" spans="2:15" ht="18" customHeight="1" x14ac:dyDescent="0.25">
      <c r="B18" s="1370" t="s">
        <v>99</v>
      </c>
      <c r="C18" s="4223">
        <f>Table1!C37</f>
        <v>10827.854155000094</v>
      </c>
      <c r="D18" s="4224">
        <f>Table1!D37</f>
        <v>1335.8182770337737</v>
      </c>
      <c r="E18" s="4224">
        <f>Table1!E37</f>
        <v>0.16054787929369538</v>
      </c>
      <c r="F18" s="69"/>
      <c r="G18" s="69"/>
      <c r="H18" s="69"/>
      <c r="I18" s="69"/>
      <c r="J18" s="69"/>
      <c r="K18" s="4224">
        <f>Table1!F37</f>
        <v>2.5947867690000002</v>
      </c>
      <c r="L18" s="4219">
        <f>Table1!G37</f>
        <v>15.049763260199999</v>
      </c>
      <c r="M18" s="4219">
        <f>Table1!H37</f>
        <v>235.91040372063219</v>
      </c>
      <c r="N18" s="4220" t="str">
        <f>Table1!I37</f>
        <v>NO</v>
      </c>
      <c r="O18" s="3783">
        <f t="shared" si="2"/>
        <v>48273.311099958592</v>
      </c>
    </row>
    <row r="19" spans="2:15" ht="18" customHeight="1" x14ac:dyDescent="0.25">
      <c r="B19" s="1371" t="s">
        <v>1483</v>
      </c>
      <c r="C19" s="4225">
        <f>Table1!C38</f>
        <v>1909.730431069916</v>
      </c>
      <c r="D19" s="4226">
        <f>Table1!D38</f>
        <v>1098.9890253266331</v>
      </c>
      <c r="E19" s="4224">
        <f>Table1!E38</f>
        <v>1.2925263983728057E-3</v>
      </c>
      <c r="F19" s="69"/>
      <c r="G19" s="69"/>
      <c r="H19" s="69"/>
      <c r="I19" s="69"/>
      <c r="J19" s="69"/>
      <c r="K19" s="4224" t="str">
        <f>Table1!F38</f>
        <v>NO</v>
      </c>
      <c r="L19" s="4219" t="str">
        <f>Table1!G38</f>
        <v>NO</v>
      </c>
      <c r="M19" s="4219" t="str">
        <f>Table1!H38</f>
        <v>NO</v>
      </c>
      <c r="N19" s="4220" t="str">
        <f>Table1!I38</f>
        <v>NO</v>
      </c>
      <c r="O19" s="3783">
        <f t="shared" si="2"/>
        <v>32681.765659711207</v>
      </c>
    </row>
    <row r="20" spans="2:15" ht="18" customHeight="1" x14ac:dyDescent="0.25">
      <c r="B20" s="1372" t="s">
        <v>1484</v>
      </c>
      <c r="C20" s="4225">
        <f>Table1!C42</f>
        <v>8918.1237239301772</v>
      </c>
      <c r="D20" s="4227">
        <f>Table1!D42</f>
        <v>236.82925170714071</v>
      </c>
      <c r="E20" s="4224">
        <f>Table1!E42</f>
        <v>0.15925535289532258</v>
      </c>
      <c r="F20" s="3784"/>
      <c r="G20" s="3784"/>
      <c r="H20" s="3784"/>
      <c r="I20" s="3784"/>
      <c r="J20" s="69"/>
      <c r="K20" s="4224">
        <f>Table1!F42</f>
        <v>2.5947867690000002</v>
      </c>
      <c r="L20" s="4221">
        <f>Table1!G42</f>
        <v>15.049763260199999</v>
      </c>
      <c r="M20" s="4221">
        <f>Table1!H42</f>
        <v>235.91040372063219</v>
      </c>
      <c r="N20" s="4222" t="str">
        <f>Table1!I42</f>
        <v>NO</v>
      </c>
      <c r="O20" s="3785">
        <f t="shared" si="2"/>
        <v>15591.545440247377</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19396.344947431895</v>
      </c>
      <c r="D22" s="4230">
        <f>'Table2(I)'!D10</f>
        <v>2.7469845446239813</v>
      </c>
      <c r="E22" s="4231">
        <f>'Table2(I)'!E10</f>
        <v>5.2365326693917149</v>
      </c>
      <c r="F22" s="3810">
        <f>'Table2(I)'!F10</f>
        <v>9343.4630293335158</v>
      </c>
      <c r="G22" s="3810">
        <f>'Table2(I)'!G10</f>
        <v>154.06023702200318</v>
      </c>
      <c r="H22" s="3810" t="str">
        <f>'Table2(I)'!H10</f>
        <v>NO</v>
      </c>
      <c r="I22" s="3810">
        <f>'Table2(I)'!I10</f>
        <v>5.095269989652507E-3</v>
      </c>
      <c r="J22" s="3810" t="str">
        <f>'Table2(I)'!J10</f>
        <v>NO</v>
      </c>
      <c r="K22" s="3810">
        <f>'Table2(I)'!K10</f>
        <v>6.5713082321206127</v>
      </c>
      <c r="L22" s="3810">
        <f>'Table2(I)'!L10</f>
        <v>15.714496325144697</v>
      </c>
      <c r="M22" s="3810">
        <f>'Table2(I)'!M10</f>
        <v>240.72054056939055</v>
      </c>
      <c r="N22" s="4217">
        <f>'Table2(I)'!N10</f>
        <v>1723.3458751271651</v>
      </c>
      <c r="O22" s="3781">
        <f t="shared" si="2"/>
        <v>30478.203783182526</v>
      </c>
    </row>
    <row r="23" spans="2:15" ht="18" customHeight="1" x14ac:dyDescent="0.25">
      <c r="B23" s="1133" t="s">
        <v>1487</v>
      </c>
      <c r="C23" s="4232">
        <f>'Table2(I)'!C11</f>
        <v>5878.5662145273818</v>
      </c>
      <c r="D23" s="3789"/>
      <c r="E23" s="98"/>
      <c r="F23" s="98"/>
      <c r="G23" s="98"/>
      <c r="H23" s="98"/>
      <c r="I23" s="98"/>
      <c r="J23" s="69"/>
      <c r="K23" s="4233" t="str">
        <f>'Table2(I)'!K11</f>
        <v>NO</v>
      </c>
      <c r="L23" s="4233" t="str">
        <f>'Table2(I)'!L11</f>
        <v>NO</v>
      </c>
      <c r="M23" s="4233" t="str">
        <f>'Table2(I)'!M11</f>
        <v>NO</v>
      </c>
      <c r="N23" s="4234" t="str">
        <f>'Table2(I)'!N11</f>
        <v>NO</v>
      </c>
      <c r="O23" s="3782">
        <f t="shared" si="2"/>
        <v>5878.5662145273818</v>
      </c>
    </row>
    <row r="24" spans="2:15" ht="18" customHeight="1" x14ac:dyDescent="0.25">
      <c r="B24" s="1133" t="s">
        <v>621</v>
      </c>
      <c r="C24" s="4232">
        <f>'Table2(I)'!C16</f>
        <v>3219.2235632975812</v>
      </c>
      <c r="D24" s="4235">
        <f>'Table2(I)'!D16</f>
        <v>0.57776359999999993</v>
      </c>
      <c r="E24" s="4236">
        <f>'Table2(I)'!E16</f>
        <v>5.1857166552448222</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4609.615857737459</v>
      </c>
    </row>
    <row r="25" spans="2:15" ht="18" customHeight="1" x14ac:dyDescent="0.25">
      <c r="B25" s="1133" t="s">
        <v>459</v>
      </c>
      <c r="C25" s="4232">
        <f>'Table2(I)'!C27</f>
        <v>9863.6965812133349</v>
      </c>
      <c r="D25" s="4235">
        <f>'Table2(I)'!D27</f>
        <v>2.1692209446239814</v>
      </c>
      <c r="E25" s="4236">
        <f>'Table2(I)'!E27</f>
        <v>5.0816014146892859E-2</v>
      </c>
      <c r="F25" s="4219" t="str">
        <f>'Table2(I)'!F27</f>
        <v>NO</v>
      </c>
      <c r="G25" s="4219">
        <f>'Table2(I)'!G27</f>
        <v>154.06023702200318</v>
      </c>
      <c r="H25" s="4219" t="str">
        <f>'Table2(I)'!H27</f>
        <v>NO</v>
      </c>
      <c r="I25" s="4219" t="str">
        <f>'Table2(I)'!I27</f>
        <v>NO</v>
      </c>
      <c r="J25" s="4219" t="str">
        <f>'Table2(I)'!J27</f>
        <v>NO</v>
      </c>
      <c r="K25" s="4219">
        <f>'Table2(I)'!K27</f>
        <v>6.5713082321206127</v>
      </c>
      <c r="L25" s="4219">
        <f>'Table2(I)'!L27</f>
        <v>15.714496325144697</v>
      </c>
      <c r="M25" s="4219">
        <f>'Table2(I)'!M27</f>
        <v>6.1874797006858571E-2</v>
      </c>
      <c r="N25" s="4220">
        <f>'Table2(I)'!N27</f>
        <v>1723.3458751271651</v>
      </c>
      <c r="O25" s="3783">
        <f t="shared" si="2"/>
        <v>10091.961248433736</v>
      </c>
    </row>
    <row r="26" spans="2:15" ht="18" customHeight="1" x14ac:dyDescent="0.25">
      <c r="B26" s="1133" t="s">
        <v>1488</v>
      </c>
      <c r="C26" s="4232">
        <f>'Table2(I)'!C35</f>
        <v>219.12651274499999</v>
      </c>
      <c r="D26" s="3790" t="str">
        <f>'Table2(I)'!D35</f>
        <v>NO</v>
      </c>
      <c r="E26" s="616" t="str">
        <f>'Table2(I)'!E35</f>
        <v>NO</v>
      </c>
      <c r="F26" s="69"/>
      <c r="G26" s="69"/>
      <c r="H26" s="69"/>
      <c r="I26" s="69"/>
      <c r="J26" s="69"/>
      <c r="K26" s="616" t="str">
        <f>'Table2(I)'!K35</f>
        <v>NO</v>
      </c>
      <c r="L26" s="4236" t="str">
        <f>'Table2(I)'!L35</f>
        <v>NO</v>
      </c>
      <c r="M26" s="4236">
        <f>'Table2(I)'!M35</f>
        <v>187.36926141421932</v>
      </c>
      <c r="N26" s="4237" t="str">
        <f>'Table2(I)'!N35</f>
        <v>NO</v>
      </c>
      <c r="O26" s="3783">
        <f t="shared" si="2"/>
        <v>219.12651274499999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9343.4630293335158</v>
      </c>
      <c r="G28" s="4221" t="str">
        <f>'Table2(I)'!G45</f>
        <v>NO</v>
      </c>
      <c r="H28" s="4221" t="str">
        <f>'Table2(I)'!H45</f>
        <v>NO</v>
      </c>
      <c r="I28" s="4221" t="str">
        <f>'Table2(I)'!I45</f>
        <v>NO</v>
      </c>
      <c r="J28" s="4221" t="str">
        <f>'Table2(I)'!J45</f>
        <v>NO</v>
      </c>
      <c r="K28" s="3784"/>
      <c r="L28" s="3784"/>
      <c r="M28" s="3784"/>
      <c r="N28" s="3793"/>
      <c r="O28" s="3785">
        <f t="shared" si="2"/>
        <v>9343.4630293335158</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5.095269989652507E-3</v>
      </c>
      <c r="J29" s="616" t="str">
        <f>'Table2(I)'!J52</f>
        <v>NO</v>
      </c>
      <c r="K29" s="3796" t="str">
        <f>'Table2(I)'!K52</f>
        <v>NO</v>
      </c>
      <c r="L29" s="3796" t="str">
        <f>'Table2(I)'!L52</f>
        <v>NO</v>
      </c>
      <c r="M29" s="3796" t="str">
        <f>'Table2(I)'!M52</f>
        <v>NO</v>
      </c>
      <c r="N29" s="3797" t="str">
        <f>'Table2(I)'!N52</f>
        <v>NO</v>
      </c>
      <c r="O29" s="3785">
        <f t="shared" si="2"/>
        <v>119.73884475683391</v>
      </c>
    </row>
    <row r="30" spans="2:15" ht="18" customHeight="1" thickBot="1" x14ac:dyDescent="0.3">
      <c r="B30" s="1375" t="s">
        <v>2040</v>
      </c>
      <c r="C30" s="4239">
        <f>'Table2(I)'!C57</f>
        <v>215.73207564860138</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50.446843677464372</v>
      </c>
      <c r="N30" s="4242" t="str">
        <f>'Table2(I)'!N57</f>
        <v>NA</v>
      </c>
      <c r="O30" s="3798">
        <f t="shared" si="2"/>
        <v>215.73207564860138</v>
      </c>
    </row>
    <row r="31" spans="2:15" ht="18" customHeight="1" x14ac:dyDescent="0.25">
      <c r="B31" s="1134" t="s">
        <v>1491</v>
      </c>
      <c r="C31" s="3817">
        <f>Table3!C10</f>
        <v>2532.9696484659198</v>
      </c>
      <c r="D31" s="3799">
        <f>Table3!D10</f>
        <v>2296.3539998167125</v>
      </c>
      <c r="E31" s="3800">
        <f>Table3!E10</f>
        <v>45.696315514849573</v>
      </c>
      <c r="F31" s="3801"/>
      <c r="G31" s="3801"/>
      <c r="H31" s="3801"/>
      <c r="I31" s="3801"/>
      <c r="J31" s="3801"/>
      <c r="K31" s="4243">
        <f>Table3!F10</f>
        <v>20.488964480289933</v>
      </c>
      <c r="L31" s="4243">
        <f>Table3!G10</f>
        <v>329.99325058892867</v>
      </c>
      <c r="M31" s="4243">
        <f>Table3!H10</f>
        <v>19.249606284354172</v>
      </c>
      <c r="N31" s="4244" t="str">
        <f>Table3!I10</f>
        <v>NO</v>
      </c>
      <c r="O31" s="3782">
        <f t="shared" si="2"/>
        <v>78940.405254769008</v>
      </c>
    </row>
    <row r="32" spans="2:15" ht="18" customHeight="1" x14ac:dyDescent="0.25">
      <c r="B32" s="4245" t="s">
        <v>1492</v>
      </c>
      <c r="C32" s="3791"/>
      <c r="D32" s="4246">
        <f>Table3!D11</f>
        <v>2032.0161462685974</v>
      </c>
      <c r="E32" s="98"/>
      <c r="F32" s="3802"/>
      <c r="G32" s="3802"/>
      <c r="H32" s="3789"/>
      <c r="I32" s="3802"/>
      <c r="J32" s="3789"/>
      <c r="K32" s="98"/>
      <c r="L32" s="98"/>
      <c r="M32" s="98"/>
      <c r="N32" s="3803"/>
      <c r="O32" s="3782">
        <f t="shared" si="2"/>
        <v>56896.452095520726</v>
      </c>
    </row>
    <row r="33" spans="2:15" ht="18" customHeight="1" x14ac:dyDescent="0.25">
      <c r="B33" s="4245" t="s">
        <v>1493</v>
      </c>
      <c r="C33" s="3791"/>
      <c r="D33" s="4226">
        <f>Table3!D20</f>
        <v>244.80689602739886</v>
      </c>
      <c r="E33" s="4226">
        <f>Table3!E20</f>
        <v>1.8558823680409184</v>
      </c>
      <c r="F33" s="3802"/>
      <c r="G33" s="3802"/>
      <c r="H33" s="3802"/>
      <c r="I33" s="3802"/>
      <c r="J33" s="3802"/>
      <c r="K33" s="69"/>
      <c r="L33" s="69"/>
      <c r="M33" s="4247" t="str">
        <f>Table3!H20</f>
        <v>NE</v>
      </c>
      <c r="N33" s="3804"/>
      <c r="O33" s="3783">
        <f t="shared" si="2"/>
        <v>7346.4019162980121</v>
      </c>
    </row>
    <row r="34" spans="2:15" ht="18" customHeight="1" x14ac:dyDescent="0.25">
      <c r="B34" s="4245" t="s">
        <v>1494</v>
      </c>
      <c r="C34" s="3791"/>
      <c r="D34" s="4226">
        <f>Table3!D31</f>
        <v>11.069592121000001</v>
      </c>
      <c r="E34" s="69"/>
      <c r="F34" s="3802"/>
      <c r="G34" s="3802"/>
      <c r="H34" s="3802"/>
      <c r="I34" s="3802"/>
      <c r="J34" s="3802"/>
      <c r="K34" s="69"/>
      <c r="L34" s="69"/>
      <c r="M34" s="4247" t="str">
        <f>Table3!H31</f>
        <v>NE</v>
      </c>
      <c r="N34" s="3804"/>
      <c r="O34" s="3783">
        <f t="shared" si="2"/>
        <v>309.94857938800004</v>
      </c>
    </row>
    <row r="35" spans="2:15" ht="18" customHeight="1" x14ac:dyDescent="0.25">
      <c r="B35" s="4245" t="s">
        <v>1495</v>
      </c>
      <c r="C35" s="4248"/>
      <c r="D35" s="4226" t="str">
        <f>Table3!D32</f>
        <v>NE</v>
      </c>
      <c r="E35" s="4226">
        <f>Table3!E32</f>
        <v>43.485800138412749</v>
      </c>
      <c r="F35" s="3802"/>
      <c r="G35" s="3802"/>
      <c r="H35" s="3802"/>
      <c r="I35" s="3802"/>
      <c r="J35" s="3802"/>
      <c r="K35" s="4247" t="str">
        <f>Table3!F32</f>
        <v>NO</v>
      </c>
      <c r="L35" s="4247" t="str">
        <f>Table3!G32</f>
        <v>NO</v>
      </c>
      <c r="M35" s="4247" t="str">
        <f>Table3!H32</f>
        <v>NO</v>
      </c>
      <c r="N35" s="3804"/>
      <c r="O35" s="3783">
        <f t="shared" si="2"/>
        <v>11523.737036679378</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8.4613653997161151</v>
      </c>
      <c r="E37" s="4226">
        <f>Table3!E43</f>
        <v>0.35463300839590872</v>
      </c>
      <c r="F37" s="3802"/>
      <c r="G37" s="3802"/>
      <c r="H37" s="3802"/>
      <c r="I37" s="3802"/>
      <c r="J37" s="3802"/>
      <c r="K37" s="4247">
        <f>Table3!F43</f>
        <v>20.488964480289933</v>
      </c>
      <c r="L37" s="4247">
        <f>Table3!G43</f>
        <v>329.99325058892867</v>
      </c>
      <c r="M37" s="4247">
        <f>Table3!H43</f>
        <v>19.249606284354172</v>
      </c>
      <c r="N37" s="4247" t="str">
        <f>Table3!I43</f>
        <v>NO</v>
      </c>
      <c r="O37" s="3783">
        <f t="shared" si="2"/>
        <v>330.89597841696707</v>
      </c>
    </row>
    <row r="38" spans="2:15" ht="18" customHeight="1" x14ac:dyDescent="0.25">
      <c r="B38" s="4249" t="s">
        <v>721</v>
      </c>
      <c r="C38" s="3794">
        <f>Table3!C44</f>
        <v>1224.3892800541203</v>
      </c>
      <c r="D38" s="4250"/>
      <c r="E38" s="4250"/>
      <c r="F38" s="3792"/>
      <c r="G38" s="3792"/>
      <c r="H38" s="3792"/>
      <c r="I38" s="3792"/>
      <c r="J38" s="3792"/>
      <c r="K38" s="3805"/>
      <c r="L38" s="3805"/>
      <c r="M38" s="3805"/>
      <c r="N38" s="3793"/>
      <c r="O38" s="3785">
        <f t="shared" si="2"/>
        <v>1224.3892800541203</v>
      </c>
    </row>
    <row r="39" spans="2:15" ht="18" customHeight="1" x14ac:dyDescent="0.25">
      <c r="B39" s="4249" t="s">
        <v>722</v>
      </c>
      <c r="C39" s="3806">
        <f>Table3!C45</f>
        <v>1308.5803684117998</v>
      </c>
      <c r="D39" s="4250"/>
      <c r="E39" s="4250"/>
      <c r="F39" s="3792"/>
      <c r="G39" s="3792"/>
      <c r="H39" s="3792"/>
      <c r="I39" s="3792"/>
      <c r="J39" s="3792"/>
      <c r="K39" s="3805"/>
      <c r="L39" s="3805"/>
      <c r="M39" s="3805"/>
      <c r="N39" s="3793"/>
      <c r="O39" s="3785">
        <f t="shared" si="2"/>
        <v>1308.5803684117998</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-26158.795994845808</v>
      </c>
      <c r="D42" s="3809">
        <f>Table4!D10</f>
        <v>664.5182190195394</v>
      </c>
      <c r="E42" s="3810">
        <f>Table4!E10</f>
        <v>15.972342718531678</v>
      </c>
      <c r="F42" s="3801"/>
      <c r="G42" s="3801"/>
      <c r="H42" s="3801"/>
      <c r="I42" s="3801"/>
      <c r="J42" s="3801"/>
      <c r="K42" s="4253">
        <f>Table4!F10</f>
        <v>888.04183178809456</v>
      </c>
      <c r="L42" s="4253">
        <f>Table4!G10</f>
        <v>23275.324371902854</v>
      </c>
      <c r="M42" s="4253">
        <f>Table4!H10</f>
        <v>613.17859816059695</v>
      </c>
      <c r="N42" s="4254" t="str">
        <f>N50</f>
        <v>NO</v>
      </c>
      <c r="O42" s="3781">
        <f t="shared" si="2"/>
        <v>-3319.6150418878096</v>
      </c>
    </row>
    <row r="43" spans="2:15" ht="18" customHeight="1" x14ac:dyDescent="0.25">
      <c r="B43" s="4245" t="s">
        <v>2042</v>
      </c>
      <c r="C43" s="4255">
        <f>Table4!C11</f>
        <v>-64626.080999790145</v>
      </c>
      <c r="D43" s="4256">
        <f>Table4!D11</f>
        <v>303.98683759064124</v>
      </c>
      <c r="E43" s="4257">
        <f>Table4!E11</f>
        <v>5.6320858774824654</v>
      </c>
      <c r="F43" s="3792"/>
      <c r="G43" s="3792"/>
      <c r="H43" s="3792"/>
      <c r="I43" s="3792"/>
      <c r="J43" s="3792"/>
      <c r="K43" s="4247">
        <f>Table4!F11</f>
        <v>300.8386140648584</v>
      </c>
      <c r="L43" s="4247">
        <f>Table4!G11</f>
        <v>8166.2548815445425</v>
      </c>
      <c r="M43" s="4247">
        <f>Table4!H11</f>
        <v>300.58766816272345</v>
      </c>
      <c r="N43" s="3811"/>
      <c r="O43" s="3812">
        <f t="shared" si="2"/>
        <v>-54621.946789719332</v>
      </c>
    </row>
    <row r="44" spans="2:15" ht="18" customHeight="1" x14ac:dyDescent="0.25">
      <c r="B44" s="4245" t="s">
        <v>2043</v>
      </c>
      <c r="C44" s="4255">
        <f>Table4!C14</f>
        <v>1663.1103756569228</v>
      </c>
      <c r="D44" s="4258">
        <f>Table4!D14</f>
        <v>1.490184</v>
      </c>
      <c r="E44" s="4258">
        <f>Table4!E14</f>
        <v>0.10987448312544423</v>
      </c>
      <c r="F44" s="3802"/>
      <c r="G44" s="3802"/>
      <c r="H44" s="3802"/>
      <c r="I44" s="3802"/>
      <c r="J44" s="3802"/>
      <c r="K44" s="4247">
        <f>Table4!F14</f>
        <v>1.1220730714285714</v>
      </c>
      <c r="L44" s="4247">
        <f>Table4!G14</f>
        <v>43.946630000000006</v>
      </c>
      <c r="M44" s="4247">
        <f>Table4!H14</f>
        <v>5.3122299999999996</v>
      </c>
      <c r="N44" s="4259"/>
      <c r="O44" s="3783">
        <f t="shared" si="2"/>
        <v>1733.9522656851655</v>
      </c>
    </row>
    <row r="45" spans="2:15" ht="18" customHeight="1" x14ac:dyDescent="0.25">
      <c r="B45" s="4245" t="s">
        <v>2044</v>
      </c>
      <c r="C45" s="4255">
        <f>Table4!C17</f>
        <v>36771.703687128916</v>
      </c>
      <c r="D45" s="4258">
        <f>Table4!D17</f>
        <v>266.62320238712584</v>
      </c>
      <c r="E45" s="4258">
        <f>Table4!E17</f>
        <v>9.6422613694427639</v>
      </c>
      <c r="F45" s="3802"/>
      <c r="G45" s="3802"/>
      <c r="H45" s="3802"/>
      <c r="I45" s="3802"/>
      <c r="J45" s="3802"/>
      <c r="K45" s="4247">
        <f>Table4!F17</f>
        <v>558.861099933579</v>
      </c>
      <c r="L45" s="4247">
        <f>Table4!G17</f>
        <v>14397.209205371804</v>
      </c>
      <c r="M45" s="4247">
        <f>Table4!H17</f>
        <v>302.13483231080431</v>
      </c>
      <c r="N45" s="4259"/>
      <c r="O45" s="3783">
        <f t="shared" si="2"/>
        <v>46792.352616870769</v>
      </c>
    </row>
    <row r="46" spans="2:15" ht="18" customHeight="1" x14ac:dyDescent="0.25">
      <c r="B46" s="4245" t="s">
        <v>2045</v>
      </c>
      <c r="C46" s="4255">
        <f>Table4!C20</f>
        <v>430.58599290460057</v>
      </c>
      <c r="D46" s="4258">
        <f>Table4!D20</f>
        <v>91.088205441772303</v>
      </c>
      <c r="E46" s="4258">
        <f>Table4!E20</f>
        <v>0.35234476278596089</v>
      </c>
      <c r="F46" s="3802"/>
      <c r="G46" s="3802"/>
      <c r="H46" s="3802"/>
      <c r="I46" s="3802"/>
      <c r="J46" s="3802"/>
      <c r="K46" s="4247">
        <f>Table4!F20</f>
        <v>26.218744811085667</v>
      </c>
      <c r="L46" s="4247">
        <f>Table4!G20</f>
        <v>628.69717465317433</v>
      </c>
      <c r="M46" s="4247">
        <f>Table4!H20</f>
        <v>0.40341402040245355</v>
      </c>
      <c r="N46" s="4259"/>
      <c r="O46" s="3783">
        <f t="shared" si="2"/>
        <v>3074.4271074125045</v>
      </c>
    </row>
    <row r="47" spans="2:15" ht="18" customHeight="1" x14ac:dyDescent="0.25">
      <c r="B47" s="4245" t="s">
        <v>2046</v>
      </c>
      <c r="C47" s="4255">
        <f>Table4!C23</f>
        <v>3799.2730142093196</v>
      </c>
      <c r="D47" s="4258">
        <f>Table4!D23</f>
        <v>1.3297896</v>
      </c>
      <c r="E47" s="4260">
        <f>Table4!E23</f>
        <v>6.0271916490330264E-2</v>
      </c>
      <c r="F47" s="3802"/>
      <c r="G47" s="3802"/>
      <c r="H47" s="3802"/>
      <c r="I47" s="3802"/>
      <c r="J47" s="3802"/>
      <c r="K47" s="4247">
        <f>Table4!F23</f>
        <v>1.0012999071428572</v>
      </c>
      <c r="L47" s="4247">
        <f>Table4!G23</f>
        <v>39.216480333333337</v>
      </c>
      <c r="M47" s="4247">
        <f>Table4!H23</f>
        <v>4.7404536666666672</v>
      </c>
      <c r="N47" s="1838"/>
      <c r="O47" s="3783">
        <f t="shared" si="2"/>
        <v>3852.479180879257</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-4198.8822615059344</v>
      </c>
      <c r="D49" s="3792"/>
      <c r="E49" s="3792"/>
      <c r="F49" s="3792"/>
      <c r="G49" s="3792"/>
      <c r="H49" s="3792"/>
      <c r="I49" s="3792"/>
      <c r="J49" s="3792"/>
      <c r="K49" s="3792"/>
      <c r="L49" s="3792"/>
      <c r="M49" s="3792"/>
      <c r="N49" s="3814"/>
      <c r="O49" s="3785">
        <f t="shared" si="2"/>
        <v>-4198.8822615059344</v>
      </c>
    </row>
    <row r="50" spans="2:15" ht="18" customHeight="1" thickBot="1" x14ac:dyDescent="0.3">
      <c r="B50" s="4251" t="s">
        <v>2049</v>
      </c>
      <c r="C50" s="4264">
        <f>Table4!C30</f>
        <v>1.4941965505133337</v>
      </c>
      <c r="D50" s="4265" t="str">
        <f>Table4!D30</f>
        <v>NO</v>
      </c>
      <c r="E50" s="4265">
        <f>Table4!E30</f>
        <v>0.17550430920471427</v>
      </c>
      <c r="F50" s="3807"/>
      <c r="G50" s="3807"/>
      <c r="H50" s="3807"/>
      <c r="I50" s="3807"/>
      <c r="J50" s="3807"/>
      <c r="K50" s="4266" t="str">
        <f>Table4!F30</f>
        <v>NO</v>
      </c>
      <c r="L50" s="4266" t="str">
        <f>Table4!G30</f>
        <v>NO</v>
      </c>
      <c r="M50" s="4266" t="str">
        <f>Table4!H30</f>
        <v>NO</v>
      </c>
      <c r="N50" s="4266" t="s">
        <v>2146</v>
      </c>
      <c r="O50" s="3798">
        <f t="shared" si="2"/>
        <v>48.002838489762617</v>
      </c>
    </row>
    <row r="51" spans="2:15" ht="18" customHeight="1" x14ac:dyDescent="0.25">
      <c r="B51" s="1377" t="s">
        <v>1500</v>
      </c>
      <c r="C51" s="3815">
        <f>Table5!C10</f>
        <v>31.180693138900697</v>
      </c>
      <c r="D51" s="3799">
        <f>Table5!D10</f>
        <v>441.09029348406978</v>
      </c>
      <c r="E51" s="3800">
        <f>Table5!E10</f>
        <v>1.287982306435683</v>
      </c>
      <c r="F51" s="3801"/>
      <c r="G51" s="3801"/>
      <c r="H51" s="3801"/>
      <c r="I51" s="3801"/>
      <c r="J51" s="3801"/>
      <c r="K51" s="4243" t="str">
        <f>Table5!F10</f>
        <v>NO</v>
      </c>
      <c r="L51" s="4243" t="str">
        <f>Table5!G10</f>
        <v>NO</v>
      </c>
      <c r="M51" s="4243">
        <f>Table5!H10</f>
        <v>265.02082364715477</v>
      </c>
      <c r="N51" s="4244" t="str">
        <f>Table5!I10</f>
        <v>NO</v>
      </c>
      <c r="O51" s="4267">
        <f t="shared" si="2"/>
        <v>12723.024221898309</v>
      </c>
    </row>
    <row r="52" spans="2:15" ht="18" customHeight="1" x14ac:dyDescent="0.25">
      <c r="B52" s="4245" t="s">
        <v>2050</v>
      </c>
      <c r="C52" s="4248"/>
      <c r="D52" s="4246">
        <f>Table5!D11</f>
        <v>348.23789538</v>
      </c>
      <c r="E52" s="3816"/>
      <c r="F52" s="3801"/>
      <c r="G52" s="3801"/>
      <c r="H52" s="3801"/>
      <c r="I52" s="3801"/>
      <c r="J52" s="3801"/>
      <c r="K52" s="4247" t="str">
        <f>Table5!F11</f>
        <v>NO</v>
      </c>
      <c r="L52" s="4247" t="str">
        <f>Table5!G11</f>
        <v>NO</v>
      </c>
      <c r="M52" s="4247">
        <f>Table5!H11</f>
        <v>2.9873961769224633</v>
      </c>
      <c r="N52" s="3803"/>
      <c r="O52" s="4267">
        <f t="shared" si="2"/>
        <v>9750.6610706400006</v>
      </c>
    </row>
    <row r="53" spans="2:15" ht="18" customHeight="1" x14ac:dyDescent="0.25">
      <c r="B53" s="4245" t="s">
        <v>1501</v>
      </c>
      <c r="C53" s="4248"/>
      <c r="D53" s="4246">
        <f>Table5!D15</f>
        <v>4.2091381424999996</v>
      </c>
      <c r="E53" s="4246">
        <f>Table5!E15</f>
        <v>0.5387696822400001</v>
      </c>
      <c r="F53" s="3802"/>
      <c r="G53" s="3802"/>
      <c r="H53" s="3802"/>
      <c r="I53" s="3802"/>
      <c r="J53" s="3802"/>
      <c r="K53" s="4247" t="str">
        <f>Table5!F15</f>
        <v>NA,NE</v>
      </c>
      <c r="L53" s="4247" t="str">
        <f>Table5!G15</f>
        <v>NA,NE</v>
      </c>
      <c r="M53" s="4247" t="str">
        <f>Table5!H15</f>
        <v>NA,NE</v>
      </c>
      <c r="N53" s="3803"/>
      <c r="O53" s="3782">
        <f t="shared" si="2"/>
        <v>260.62983378360002</v>
      </c>
    </row>
    <row r="54" spans="2:15" ht="18" customHeight="1" x14ac:dyDescent="0.25">
      <c r="B54" s="4245" t="s">
        <v>2051</v>
      </c>
      <c r="C54" s="4268">
        <f>Table5!C18</f>
        <v>31.180693138900697</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31.180693138900697</v>
      </c>
    </row>
    <row r="55" spans="2:15" ht="18" customHeight="1" x14ac:dyDescent="0.25">
      <c r="B55" s="4245" t="s">
        <v>1502</v>
      </c>
      <c r="C55" s="3791"/>
      <c r="D55" s="4226">
        <f>Table5!D21</f>
        <v>88.64325996156974</v>
      </c>
      <c r="E55" s="4226">
        <f>Table5!E21</f>
        <v>0.7492126241956828</v>
      </c>
      <c r="F55" s="3802"/>
      <c r="G55" s="3802"/>
      <c r="H55" s="3802"/>
      <c r="I55" s="3802"/>
      <c r="J55" s="3802"/>
      <c r="K55" s="4247" t="str">
        <f>Table5!F21</f>
        <v>NO</v>
      </c>
      <c r="L55" s="4247" t="str">
        <f>Table5!G21</f>
        <v>NO</v>
      </c>
      <c r="M55" s="4247">
        <f>Table5!H21</f>
        <v>262.03342747023231</v>
      </c>
      <c r="N55" s="3803"/>
      <c r="O55" s="4270">
        <f t="shared" si="2"/>
        <v>2680.552624335809</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14067.179558613647</v>
      </c>
      <c r="D61" s="3820">
        <f>Table1!D52</f>
        <v>0.24197975523076934</v>
      </c>
      <c r="E61" s="3820">
        <f>Table1!E52</f>
        <v>0.1212933742847451</v>
      </c>
      <c r="F61" s="628"/>
      <c r="G61" s="628"/>
      <c r="H61" s="628"/>
      <c r="I61" s="628"/>
      <c r="J61" s="628"/>
      <c r="K61" s="3820">
        <f>Table1!F52</f>
        <v>121.82127606406667</v>
      </c>
      <c r="L61" s="3820">
        <f>Table1!G52</f>
        <v>20.3541464533469</v>
      </c>
      <c r="M61" s="3820">
        <f>Table1!H52</f>
        <v>10.98521157754784</v>
      </c>
      <c r="N61" s="3821">
        <f>Table1!I52</f>
        <v>37.599434767266885</v>
      </c>
      <c r="O61" s="4267">
        <f t="shared" ref="O61:O67" si="4">IF(SUM(C61:J61)=0,"NO",SUM(C61,F61:H61)+28*SUM(D61)+265*SUM(E61)+23500*SUM(I61)+16100*SUM(J61))</f>
        <v>14106.097735945566</v>
      </c>
    </row>
    <row r="62" spans="2:15" ht="18" customHeight="1" x14ac:dyDescent="0.25">
      <c r="B62" s="1371" t="s">
        <v>111</v>
      </c>
      <c r="C62" s="4279">
        <f>Table1!C53</f>
        <v>11822.063913813647</v>
      </c>
      <c r="D62" s="4233">
        <f>Table1!D53</f>
        <v>2.7569979230769232E-2</v>
      </c>
      <c r="E62" s="4233">
        <f>Table1!E53</f>
        <v>6.0033438284745083E-2</v>
      </c>
      <c r="F62" s="628"/>
      <c r="G62" s="628"/>
      <c r="H62" s="628"/>
      <c r="I62" s="628"/>
      <c r="J62" s="2135"/>
      <c r="K62" s="4233">
        <f>Table1!F53</f>
        <v>61.611340064066631</v>
      </c>
      <c r="L62" s="4233">
        <f>Table1!G53</f>
        <v>18.708927861346901</v>
      </c>
      <c r="M62" s="4233">
        <f>Table1!H53</f>
        <v>9.0980235935478397</v>
      </c>
      <c r="N62" s="4234">
        <f>Table1!I53</f>
        <v>1.3928293691562057</v>
      </c>
      <c r="O62" s="3782">
        <f t="shared" si="4"/>
        <v>11838.744734377566</v>
      </c>
    </row>
    <row r="63" spans="2:15" ht="18" customHeight="1" x14ac:dyDescent="0.25">
      <c r="B63" s="1380" t="s">
        <v>1503</v>
      </c>
      <c r="C63" s="4279">
        <f>Table1!C54</f>
        <v>2245.1156448000011</v>
      </c>
      <c r="D63" s="4219">
        <f>Table1!D54</f>
        <v>0.21440977600000011</v>
      </c>
      <c r="E63" s="4219">
        <f>Table1!E54</f>
        <v>6.1259936000000022E-2</v>
      </c>
      <c r="F63" s="628"/>
      <c r="G63" s="628"/>
      <c r="H63" s="628"/>
      <c r="I63" s="628"/>
      <c r="J63" s="628"/>
      <c r="K63" s="4219">
        <f>Table1!F54</f>
        <v>60.209936000000027</v>
      </c>
      <c r="L63" s="4219">
        <f>Table1!G54</f>
        <v>1.6452185920000002</v>
      </c>
      <c r="M63" s="4219">
        <f>Table1!H54</f>
        <v>1.8871879840000008</v>
      </c>
      <c r="N63" s="4220">
        <f>Table1!I54</f>
        <v>36.206605398110682</v>
      </c>
      <c r="O63" s="3783">
        <f t="shared" si="4"/>
        <v>2267.3530015680008</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19106.935055972721</v>
      </c>
      <c r="D65" s="3823"/>
      <c r="E65" s="3823"/>
      <c r="F65" s="3824"/>
      <c r="G65" s="3824"/>
      <c r="H65" s="3824"/>
      <c r="I65" s="3824"/>
      <c r="J65" s="3823"/>
      <c r="K65" s="3823"/>
      <c r="L65" s="3823"/>
      <c r="M65" s="3823"/>
      <c r="N65" s="3825"/>
      <c r="O65" s="3812">
        <f t="shared" si="4"/>
        <v>19106.935055972721</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-299793.21230336587</v>
      </c>
      <c r="D67" s="3824"/>
      <c r="E67" s="3824"/>
      <c r="F67" s="3828"/>
      <c r="G67" s="3824"/>
      <c r="H67" s="3824"/>
      <c r="I67" s="3824"/>
      <c r="J67" s="3824"/>
      <c r="K67" s="3824"/>
      <c r="L67" s="3824"/>
      <c r="M67" s="3824"/>
      <c r="N67" s="3829"/>
      <c r="O67" s="3785">
        <f t="shared" si="4"/>
        <v>-299793.21230336587</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375219.56430851866</v>
      </c>
      <c r="D10" s="4213">
        <f>IFERROR(Summary1!D10*28,Summary1!D10)</f>
        <v>135085.58974727793</v>
      </c>
      <c r="E10" s="4213">
        <f>IFERROR(Summary1!E10*265,Summary1!E10)</f>
        <v>20989.783495448584</v>
      </c>
      <c r="F10" s="4213">
        <f>Summary1!F10</f>
        <v>9343.4630293335158</v>
      </c>
      <c r="G10" s="4213">
        <f>Summary1!G10</f>
        <v>154.06023702200318</v>
      </c>
      <c r="H10" s="4213" t="str">
        <f>Summary1!H10</f>
        <v>NO</v>
      </c>
      <c r="I10" s="4288">
        <f>IFERROR(Summary1!I10*23500,Summary1!I10)</f>
        <v>119.73884475683391</v>
      </c>
      <c r="J10" s="4289" t="str">
        <f>IFERROR(Summary1!J10*16100,Summary1!J10)</f>
        <v>NO</v>
      </c>
      <c r="K10" s="4214">
        <f>IF(SUM(C10:J10)=0,"NO",SUM(C10:J10))</f>
        <v>540912.19966235745</v>
      </c>
    </row>
    <row r="11" spans="2:12" ht="18" customHeight="1" x14ac:dyDescent="0.2">
      <c r="B11" s="1550" t="s">
        <v>1476</v>
      </c>
      <c r="C11" s="4253">
        <f>Summary1!C11</f>
        <v>379417.86501432775</v>
      </c>
      <c r="D11" s="4253">
        <f>IFERROR(Summary1!D11*28,Summary1!D11)</f>
        <v>39753.723835059471</v>
      </c>
      <c r="E11" s="4253">
        <f>IFERROR(Summary1!E11*265,Summary1!E11)</f>
        <v>2918.5925950082924</v>
      </c>
      <c r="F11" s="1929"/>
      <c r="G11" s="1929"/>
      <c r="H11" s="1930"/>
      <c r="I11" s="1930"/>
      <c r="J11" s="627"/>
      <c r="K11" s="4290">
        <f t="shared" ref="K11:K55" si="0">IF(SUM(C11:J11)=0,"NO",SUM(C11:J11))</f>
        <v>422090.18144439557</v>
      </c>
      <c r="L11" s="19"/>
    </row>
    <row r="12" spans="2:12" ht="18" customHeight="1" x14ac:dyDescent="0.2">
      <c r="B12" s="620" t="s">
        <v>131</v>
      </c>
      <c r="C12" s="4247">
        <f>Summary1!C12</f>
        <v>368590.01085932768</v>
      </c>
      <c r="D12" s="4247">
        <f>IFERROR(Summary1!D12*28,Summary1!D12)</f>
        <v>2350.8120781138045</v>
      </c>
      <c r="E12" s="4247">
        <f>IFERROR(Summary1!E12*265,Summary1!E12)</f>
        <v>2876.047406995463</v>
      </c>
      <c r="F12" s="628"/>
      <c r="G12" s="628"/>
      <c r="H12" s="628"/>
      <c r="I12" s="69"/>
      <c r="J12" s="69"/>
      <c r="K12" s="4291">
        <f t="shared" si="0"/>
        <v>373816.8703444369</v>
      </c>
      <c r="L12" s="19"/>
    </row>
    <row r="13" spans="2:12" ht="18" customHeight="1" x14ac:dyDescent="0.2">
      <c r="B13" s="1392" t="s">
        <v>1478</v>
      </c>
      <c r="C13" s="4247">
        <f>Summary1!C13</f>
        <v>210657.41379242556</v>
      </c>
      <c r="D13" s="4247">
        <f>IFERROR(Summary1!D13*28,Summary1!D13)</f>
        <v>814.87357382905475</v>
      </c>
      <c r="E13" s="4247">
        <f>IFERROR(Summary1!E13*265,Summary1!E13)</f>
        <v>840.2179692706635</v>
      </c>
      <c r="F13" s="628"/>
      <c r="G13" s="628"/>
      <c r="H13" s="628"/>
      <c r="I13" s="69"/>
      <c r="J13" s="69"/>
      <c r="K13" s="4291">
        <f t="shared" si="0"/>
        <v>212312.50533552526</v>
      </c>
      <c r="L13" s="19"/>
    </row>
    <row r="14" spans="2:12" ht="18" customHeight="1" x14ac:dyDescent="0.2">
      <c r="B14" s="1392" t="s">
        <v>1517</v>
      </c>
      <c r="C14" s="4247">
        <f>Summary1!C14</f>
        <v>42279.340220573016</v>
      </c>
      <c r="D14" s="4247">
        <f>IFERROR(Summary1!D14*28,Summary1!D14)</f>
        <v>69.643930492749575</v>
      </c>
      <c r="E14" s="4247">
        <f>IFERROR(Summary1!E14*265,Summary1!E14)</f>
        <v>394.95231448813769</v>
      </c>
      <c r="F14" s="628"/>
      <c r="G14" s="628"/>
      <c r="H14" s="628"/>
      <c r="I14" s="69"/>
      <c r="J14" s="69"/>
      <c r="K14" s="4291">
        <f t="shared" si="0"/>
        <v>42743.936465553903</v>
      </c>
      <c r="L14" s="19"/>
    </row>
    <row r="15" spans="2:12" ht="18" customHeight="1" x14ac:dyDescent="0.2">
      <c r="B15" s="1392" t="s">
        <v>1480</v>
      </c>
      <c r="C15" s="4247">
        <f>Summary1!C15</f>
        <v>93380.354578501909</v>
      </c>
      <c r="D15" s="4247">
        <f>IFERROR(Summary1!D15*28,Summary1!D15)</f>
        <v>425.1301700939436</v>
      </c>
      <c r="E15" s="4247">
        <f>IFERROR(Summary1!E15*265,Summary1!E15)</f>
        <v>1450.5759652042168</v>
      </c>
      <c r="F15" s="628"/>
      <c r="G15" s="628"/>
      <c r="H15" s="628"/>
      <c r="I15" s="69"/>
      <c r="J15" s="69"/>
      <c r="K15" s="4291">
        <f t="shared" si="0"/>
        <v>95256.060713800063</v>
      </c>
      <c r="L15" s="19"/>
    </row>
    <row r="16" spans="2:12" ht="18" customHeight="1" x14ac:dyDescent="0.2">
      <c r="B16" s="1392" t="s">
        <v>1481</v>
      </c>
      <c r="C16" s="4247">
        <f>Summary1!C16</f>
        <v>21335.584177847282</v>
      </c>
      <c r="D16" s="4247">
        <f>IFERROR(Summary1!D16*28,Summary1!D16)</f>
        <v>1040.4013029945722</v>
      </c>
      <c r="E16" s="4247">
        <f>IFERROR(Summary1!E16*265,Summary1!E16)</f>
        <v>183.39423738491917</v>
      </c>
      <c r="F16" s="628"/>
      <c r="G16" s="628"/>
      <c r="H16" s="628"/>
      <c r="I16" s="69"/>
      <c r="J16" s="69"/>
      <c r="K16" s="4291">
        <f t="shared" si="0"/>
        <v>22559.379718226774</v>
      </c>
      <c r="L16" s="19"/>
    </row>
    <row r="17" spans="2:12" ht="18" customHeight="1" x14ac:dyDescent="0.2">
      <c r="B17" s="1392" t="s">
        <v>1482</v>
      </c>
      <c r="C17" s="4247">
        <f>Summary1!C17</f>
        <v>937.31808997989651</v>
      </c>
      <c r="D17" s="4247">
        <f>IFERROR(Summary1!D17*28,Summary1!D17)</f>
        <v>0.76310070348461156</v>
      </c>
      <c r="E17" s="4247">
        <f>IFERROR(Summary1!E17*265,Summary1!E17)</f>
        <v>6.9069206475257454</v>
      </c>
      <c r="F17" s="628"/>
      <c r="G17" s="628"/>
      <c r="H17" s="628"/>
      <c r="I17" s="69"/>
      <c r="J17" s="69"/>
      <c r="K17" s="4291">
        <f t="shared" si="0"/>
        <v>944.98811133090692</v>
      </c>
      <c r="L17" s="19"/>
    </row>
    <row r="18" spans="2:12" ht="18" customHeight="1" x14ac:dyDescent="0.2">
      <c r="B18" s="620" t="s">
        <v>99</v>
      </c>
      <c r="C18" s="4247">
        <f>Summary1!C18</f>
        <v>10827.854155000094</v>
      </c>
      <c r="D18" s="4247">
        <f>IFERROR(Summary1!D18*28,Summary1!D18)</f>
        <v>37402.911756945665</v>
      </c>
      <c r="E18" s="4247">
        <f>IFERROR(Summary1!E18*265,Summary1!E18)</f>
        <v>42.545188012829279</v>
      </c>
      <c r="F18" s="628"/>
      <c r="G18" s="628"/>
      <c r="H18" s="628"/>
      <c r="I18" s="69"/>
      <c r="J18" s="69"/>
      <c r="K18" s="4291">
        <f t="shared" si="0"/>
        <v>48273.311099958592</v>
      </c>
      <c r="L18" s="19"/>
    </row>
    <row r="19" spans="2:12" ht="18" customHeight="1" x14ac:dyDescent="0.2">
      <c r="B19" s="1392" t="s">
        <v>1483</v>
      </c>
      <c r="C19" s="4247">
        <f>Summary1!C19</f>
        <v>1909.730431069916</v>
      </c>
      <c r="D19" s="4247">
        <f>IFERROR(Summary1!D19*28,Summary1!D19)</f>
        <v>30771.692709145726</v>
      </c>
      <c r="E19" s="4247">
        <f>IFERROR(Summary1!E19*265,Summary1!E19)</f>
        <v>0.34251949556879352</v>
      </c>
      <c r="F19" s="628"/>
      <c r="G19" s="628"/>
      <c r="H19" s="628"/>
      <c r="I19" s="69"/>
      <c r="J19" s="69"/>
      <c r="K19" s="4291">
        <f t="shared" si="0"/>
        <v>32681.765659711207</v>
      </c>
      <c r="L19" s="19"/>
    </row>
    <row r="20" spans="2:12" ht="18" customHeight="1" x14ac:dyDescent="0.2">
      <c r="B20" s="1393" t="s">
        <v>1484</v>
      </c>
      <c r="C20" s="4247">
        <f>Summary1!C20</f>
        <v>8918.1237239301772</v>
      </c>
      <c r="D20" s="4247">
        <f>IFERROR(Summary1!D20*28,Summary1!D20)</f>
        <v>6631.2190477999402</v>
      </c>
      <c r="E20" s="4247">
        <f>IFERROR(Summary1!E20*265,Summary1!E20)</f>
        <v>42.202668517260484</v>
      </c>
      <c r="F20" s="628"/>
      <c r="G20" s="628"/>
      <c r="H20" s="628"/>
      <c r="I20" s="69"/>
      <c r="J20" s="69"/>
      <c r="K20" s="4291">
        <f t="shared" si="0"/>
        <v>15591.545440247377</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19396.344947431895</v>
      </c>
      <c r="D22" s="4253">
        <f>IFERROR(Summary1!D22*28,Summary1!D22)</f>
        <v>76.915567249471479</v>
      </c>
      <c r="E22" s="4253">
        <f>IFERROR(Summary1!E22*265,Summary1!E22)</f>
        <v>1387.6811573888044</v>
      </c>
      <c r="F22" s="4253">
        <f>Summary1!F22</f>
        <v>9343.4630293335158</v>
      </c>
      <c r="G22" s="4253">
        <f>Summary1!G22</f>
        <v>154.06023702200318</v>
      </c>
      <c r="H22" s="4253" t="str">
        <f>Summary1!H22</f>
        <v>NO</v>
      </c>
      <c r="I22" s="4253">
        <f>IFERROR(Summary1!I22*23500,Summary1!I22)</f>
        <v>119.73884475683391</v>
      </c>
      <c r="J22" s="4293" t="str">
        <f>IFERROR(Summary1!J22*16100,Summary1!J22)</f>
        <v>NO</v>
      </c>
      <c r="K22" s="4290">
        <f t="shared" si="0"/>
        <v>30478.203783182522</v>
      </c>
      <c r="L22" s="19"/>
    </row>
    <row r="23" spans="2:12" ht="18" customHeight="1" x14ac:dyDescent="0.2">
      <c r="B23" s="1394" t="s">
        <v>1487</v>
      </c>
      <c r="C23" s="4247">
        <f>Summary1!C23</f>
        <v>5878.5662145273818</v>
      </c>
      <c r="D23" s="628"/>
      <c r="E23" s="628"/>
      <c r="F23" s="628"/>
      <c r="G23" s="628"/>
      <c r="H23" s="628"/>
      <c r="I23" s="69"/>
      <c r="J23" s="69"/>
      <c r="K23" s="4291">
        <f t="shared" si="0"/>
        <v>5878.5662145273818</v>
      </c>
      <c r="L23" s="19"/>
    </row>
    <row r="24" spans="2:12" ht="18" customHeight="1" x14ac:dyDescent="0.2">
      <c r="B24" s="1394" t="s">
        <v>621</v>
      </c>
      <c r="C24" s="4247">
        <f>Summary1!C24</f>
        <v>3219.2235632975812</v>
      </c>
      <c r="D24" s="4247">
        <f>IFERROR(Summary1!D24*28,Summary1!D24)</f>
        <v>16.177380799999998</v>
      </c>
      <c r="E24" s="4247">
        <f>IFERROR(Summary1!E24*265,Summary1!E24)</f>
        <v>1374.214913639878</v>
      </c>
      <c r="F24" s="1924" t="str">
        <f>Summary1!F24</f>
        <v>NO</v>
      </c>
      <c r="G24" s="1924" t="str">
        <f>Summary1!G24</f>
        <v>NO</v>
      </c>
      <c r="H24" s="1924" t="str">
        <f>Summary1!H24</f>
        <v>NO</v>
      </c>
      <c r="I24" s="616" t="str">
        <f>IFERROR(Summary1!I24*23500,Summary1!I24)</f>
        <v>NO</v>
      </c>
      <c r="J24" s="616" t="str">
        <f>IFERROR(Summary1!J24*16100,Summary1!J24)</f>
        <v>NO</v>
      </c>
      <c r="K24" s="4291">
        <f t="shared" si="0"/>
        <v>4609.615857737459</v>
      </c>
      <c r="L24" s="19"/>
    </row>
    <row r="25" spans="2:12" ht="18" customHeight="1" x14ac:dyDescent="0.2">
      <c r="B25" s="1394" t="s">
        <v>459</v>
      </c>
      <c r="C25" s="4247">
        <f>Summary1!C25</f>
        <v>9863.6965812133349</v>
      </c>
      <c r="D25" s="4247">
        <f>IFERROR(Summary1!D25*28,Summary1!D25)</f>
        <v>60.738186449471478</v>
      </c>
      <c r="E25" s="4247">
        <f>IFERROR(Summary1!E25*265,Summary1!E25)</f>
        <v>13.466243748926608</v>
      </c>
      <c r="F25" s="1924" t="str">
        <f>Summary1!F25</f>
        <v>NO</v>
      </c>
      <c r="G25" s="4247">
        <f>Summary1!G25</f>
        <v>154.06023702200318</v>
      </c>
      <c r="H25" s="4247" t="str">
        <f>Summary1!H25</f>
        <v>NO</v>
      </c>
      <c r="I25" s="4247" t="str">
        <f>IFERROR(Summary1!I25*23500,Summary1!I25)</f>
        <v>NO</v>
      </c>
      <c r="J25" s="4247" t="str">
        <f>IFERROR(Summary1!J25*16100,Summary1!J25)</f>
        <v>NO</v>
      </c>
      <c r="K25" s="4291">
        <f t="shared" si="0"/>
        <v>10091.961248433736</v>
      </c>
      <c r="L25" s="19"/>
    </row>
    <row r="26" spans="2:12" ht="18" customHeight="1" x14ac:dyDescent="0.2">
      <c r="B26" s="1395" t="s">
        <v>1519</v>
      </c>
      <c r="C26" s="4247">
        <f>Summary1!C26</f>
        <v>219.12651274499999</v>
      </c>
      <c r="D26" s="4247" t="str">
        <f>IFERROR(Summary1!D26*28,Summary1!D26)</f>
        <v>NO</v>
      </c>
      <c r="E26" s="4247" t="str">
        <f>IFERROR(Summary1!E26*265,Summary1!E26)</f>
        <v>NO</v>
      </c>
      <c r="F26" s="628"/>
      <c r="G26" s="628"/>
      <c r="H26" s="628"/>
      <c r="I26" s="69"/>
      <c r="J26" s="69"/>
      <c r="K26" s="4291">
        <f t="shared" si="0"/>
        <v>219.12651274499999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9343.4630293335158</v>
      </c>
      <c r="G28" s="4247" t="str">
        <f>Summary1!G28</f>
        <v>NO</v>
      </c>
      <c r="H28" s="4247" t="str">
        <f>Summary1!H28</f>
        <v>NO</v>
      </c>
      <c r="I28" s="4247" t="str">
        <f>IFERROR(Summary1!I28*23500,Summary1!I28)</f>
        <v>NO</v>
      </c>
      <c r="J28" s="4247" t="str">
        <f>IFERROR(Summary1!J28*16100,Summary1!J28)</f>
        <v>NO</v>
      </c>
      <c r="K28" s="4291">
        <f t="shared" si="0"/>
        <v>9343.4630293335158</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119.73884475683391</v>
      </c>
      <c r="J29" s="4247" t="str">
        <f>IFERROR(Summary1!J29*16100,Summary1!J29)</f>
        <v>NO</v>
      </c>
      <c r="K29" s="4291">
        <f t="shared" si="0"/>
        <v>119.73884475683391</v>
      </c>
      <c r="L29" s="19"/>
    </row>
    <row r="30" spans="2:12" ht="18" customHeight="1" thickBot="1" x14ac:dyDescent="0.25">
      <c r="B30" s="1407" t="s">
        <v>1523</v>
      </c>
      <c r="C30" s="4266">
        <f>Summary1!C30</f>
        <v>215.73207564860138</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215.73207564860138</v>
      </c>
      <c r="L30" s="19"/>
    </row>
    <row r="31" spans="2:12" ht="18" customHeight="1" x14ac:dyDescent="0.2">
      <c r="B31" s="772" t="s">
        <v>1491</v>
      </c>
      <c r="C31" s="4253">
        <f>Summary1!C31</f>
        <v>2532.9696484659198</v>
      </c>
      <c r="D31" s="4253">
        <f>IFERROR(Summary1!D31*28,Summary1!D31)</f>
        <v>64297.911994867951</v>
      </c>
      <c r="E31" s="4253">
        <f>IFERROR(Summary1!E31*265,Summary1!E31)</f>
        <v>12109.523611435137</v>
      </c>
      <c r="F31" s="1929"/>
      <c r="G31" s="1929"/>
      <c r="H31" s="1929"/>
      <c r="I31" s="4215"/>
      <c r="J31" s="627"/>
      <c r="K31" s="4290">
        <f t="shared" si="0"/>
        <v>78940.405254769008</v>
      </c>
      <c r="L31" s="19"/>
    </row>
    <row r="32" spans="2:12" ht="18" customHeight="1" x14ac:dyDescent="0.2">
      <c r="B32" s="620" t="s">
        <v>1492</v>
      </c>
      <c r="C32" s="628"/>
      <c r="D32" s="4247">
        <f>IFERROR(Summary1!D32*28,Summary1!D32)</f>
        <v>56896.452095520726</v>
      </c>
      <c r="E32" s="628"/>
      <c r="F32" s="628"/>
      <c r="G32" s="628"/>
      <c r="H32" s="628"/>
      <c r="I32" s="69"/>
      <c r="J32" s="69"/>
      <c r="K32" s="4291">
        <f t="shared" si="0"/>
        <v>56896.452095520726</v>
      </c>
      <c r="L32" s="19"/>
    </row>
    <row r="33" spans="2:12" ht="18" customHeight="1" x14ac:dyDescent="0.2">
      <c r="B33" s="620" t="s">
        <v>1493</v>
      </c>
      <c r="C33" s="628"/>
      <c r="D33" s="4247">
        <f>IFERROR(Summary1!D33*28,Summary1!D33)</f>
        <v>6854.5930887671684</v>
      </c>
      <c r="E33" s="4247">
        <f>IFERROR(Summary1!E33*265,Summary1!E33)</f>
        <v>491.80882753084336</v>
      </c>
      <c r="F33" s="628"/>
      <c r="G33" s="628"/>
      <c r="H33" s="628"/>
      <c r="I33" s="69"/>
      <c r="J33" s="69"/>
      <c r="K33" s="4291">
        <f t="shared" si="0"/>
        <v>7346.4019162980121</v>
      </c>
      <c r="L33" s="19"/>
    </row>
    <row r="34" spans="2:12" ht="18" customHeight="1" x14ac:dyDescent="0.2">
      <c r="B34" s="620" t="s">
        <v>1494</v>
      </c>
      <c r="C34" s="628"/>
      <c r="D34" s="4247">
        <f>IFERROR(Summary1!D34*28,Summary1!D34)</f>
        <v>309.94857938800004</v>
      </c>
      <c r="E34" s="628"/>
      <c r="F34" s="628"/>
      <c r="G34" s="628"/>
      <c r="H34" s="628"/>
      <c r="I34" s="69"/>
      <c r="J34" s="69"/>
      <c r="K34" s="4291">
        <f t="shared" si="0"/>
        <v>309.94857938800004</v>
      </c>
      <c r="L34" s="19"/>
    </row>
    <row r="35" spans="2:12" ht="18" customHeight="1" x14ac:dyDescent="0.2">
      <c r="B35" s="620" t="s">
        <v>1495</v>
      </c>
      <c r="C35" s="4294"/>
      <c r="D35" s="4247" t="str">
        <f>IFERROR(Summary1!D35*28,Summary1!D35)</f>
        <v>NE</v>
      </c>
      <c r="E35" s="4247">
        <f>IFERROR(Summary1!E35*265,Summary1!E35)</f>
        <v>11523.737036679378</v>
      </c>
      <c r="F35" s="628"/>
      <c r="G35" s="628"/>
      <c r="H35" s="628"/>
      <c r="I35" s="69"/>
      <c r="J35" s="69"/>
      <c r="K35" s="4291">
        <f t="shared" si="0"/>
        <v>11523.737036679378</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236.91823119205122</v>
      </c>
      <c r="E37" s="4247">
        <f>IFERROR(Summary1!E37*265,Summary1!E37)</f>
        <v>93.977747224915817</v>
      </c>
      <c r="F37" s="628"/>
      <c r="G37" s="628"/>
      <c r="H37" s="628"/>
      <c r="I37" s="69"/>
      <c r="J37" s="69"/>
      <c r="K37" s="4291">
        <f t="shared" si="0"/>
        <v>330.89597841696707</v>
      </c>
      <c r="L37" s="19"/>
    </row>
    <row r="38" spans="2:12" ht="18" customHeight="1" x14ac:dyDescent="0.2">
      <c r="B38" s="620" t="s">
        <v>721</v>
      </c>
      <c r="C38" s="1924">
        <f>Summary1!C38</f>
        <v>1224.3892800541203</v>
      </c>
      <c r="D38" s="4295"/>
      <c r="E38" s="4295"/>
      <c r="F38" s="628"/>
      <c r="G38" s="628"/>
      <c r="H38" s="628"/>
      <c r="I38" s="69"/>
      <c r="J38" s="69"/>
      <c r="K38" s="4291">
        <f t="shared" si="0"/>
        <v>1224.3892800541203</v>
      </c>
      <c r="L38" s="19"/>
    </row>
    <row r="39" spans="2:12" ht="18" customHeight="1" x14ac:dyDescent="0.2">
      <c r="B39" s="620" t="s">
        <v>722</v>
      </c>
      <c r="C39" s="1924">
        <f>Summary1!C39</f>
        <v>1308.5803684117998</v>
      </c>
      <c r="D39" s="4295"/>
      <c r="E39" s="4295"/>
      <c r="F39" s="628"/>
      <c r="G39" s="628"/>
      <c r="H39" s="628"/>
      <c r="I39" s="69"/>
      <c r="J39" s="69"/>
      <c r="K39" s="4291">
        <f t="shared" si="0"/>
        <v>1308.5803684117998</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-26158.795994845808</v>
      </c>
      <c r="D42" s="1927">
        <f>IFERROR(Summary1!D42*28,Summary1!D42)</f>
        <v>18606.510132547104</v>
      </c>
      <c r="E42" s="1927">
        <f>IFERROR(Summary1!E42*265,Summary1!E42)</f>
        <v>4232.6708204108945</v>
      </c>
      <c r="F42" s="1929"/>
      <c r="G42" s="1929"/>
      <c r="H42" s="1929"/>
      <c r="I42" s="4215"/>
      <c r="J42" s="627"/>
      <c r="K42" s="4290">
        <f t="shared" si="0"/>
        <v>-3319.6150418878096</v>
      </c>
      <c r="L42" s="19"/>
    </row>
    <row r="43" spans="2:12" ht="18" customHeight="1" x14ac:dyDescent="0.2">
      <c r="B43" s="620" t="s">
        <v>981</v>
      </c>
      <c r="C43" s="1924">
        <f>Summary1!C43</f>
        <v>-64626.080999790145</v>
      </c>
      <c r="D43" s="1924">
        <f>IFERROR(Summary1!D43*28,Summary1!D43)</f>
        <v>8511.6314525379548</v>
      </c>
      <c r="E43" s="1924">
        <f>IFERROR(Summary1!E43*265,Summary1!E43)</f>
        <v>1492.5027575328534</v>
      </c>
      <c r="F43" s="1931"/>
      <c r="G43" s="1931"/>
      <c r="H43" s="1931"/>
      <c r="I43" s="3352"/>
      <c r="J43" s="69"/>
      <c r="K43" s="4291">
        <f t="shared" si="0"/>
        <v>-54621.946789719332</v>
      </c>
      <c r="L43" s="19"/>
    </row>
    <row r="44" spans="2:12" ht="18" customHeight="1" x14ac:dyDescent="0.2">
      <c r="B44" s="620" t="s">
        <v>984</v>
      </c>
      <c r="C44" s="1924">
        <f>Summary1!C44</f>
        <v>1663.1103756569228</v>
      </c>
      <c r="D44" s="1924">
        <f>IFERROR(Summary1!D44*28,Summary1!D44)</f>
        <v>41.725152000000001</v>
      </c>
      <c r="E44" s="1924">
        <f>IFERROR(Summary1!E44*265,Summary1!E44)</f>
        <v>29.116738028242722</v>
      </c>
      <c r="F44" s="1931"/>
      <c r="G44" s="1931"/>
      <c r="H44" s="1931"/>
      <c r="I44" s="3352"/>
      <c r="J44" s="69"/>
      <c r="K44" s="4291">
        <f t="shared" si="0"/>
        <v>1733.9522656851655</v>
      </c>
      <c r="L44" s="19"/>
    </row>
    <row r="45" spans="2:12" ht="18" customHeight="1" x14ac:dyDescent="0.2">
      <c r="B45" s="620" t="s">
        <v>987</v>
      </c>
      <c r="C45" s="1924">
        <f>Summary1!C45</f>
        <v>36771.703687128916</v>
      </c>
      <c r="D45" s="1924">
        <f>IFERROR(Summary1!D45*28,Summary1!D45)</f>
        <v>7465.4496668395241</v>
      </c>
      <c r="E45" s="1924">
        <f>IFERROR(Summary1!E45*265,Summary1!E45)</f>
        <v>2555.1992629023325</v>
      </c>
      <c r="F45" s="1931"/>
      <c r="G45" s="1931"/>
      <c r="H45" s="1931"/>
      <c r="I45" s="3352"/>
      <c r="J45" s="69"/>
      <c r="K45" s="4291">
        <f t="shared" si="0"/>
        <v>46792.352616870769</v>
      </c>
      <c r="L45" s="19"/>
    </row>
    <row r="46" spans="2:12" ht="18" customHeight="1" x14ac:dyDescent="0.2">
      <c r="B46" s="620" t="s">
        <v>1525</v>
      </c>
      <c r="C46" s="1924">
        <f>Summary1!C46</f>
        <v>430.58599290460057</v>
      </c>
      <c r="D46" s="1924">
        <f>IFERROR(Summary1!D46*28,Summary1!D46)</f>
        <v>2550.4697523696245</v>
      </c>
      <c r="E46" s="1924">
        <f>IFERROR(Summary1!E46*265,Summary1!E46)</f>
        <v>93.371362138279636</v>
      </c>
      <c r="F46" s="1931"/>
      <c r="G46" s="1931"/>
      <c r="H46" s="1931"/>
      <c r="I46" s="3352"/>
      <c r="J46" s="69"/>
      <c r="K46" s="4291">
        <f t="shared" si="0"/>
        <v>3074.4271074125045</v>
      </c>
      <c r="L46" s="19"/>
    </row>
    <row r="47" spans="2:12" ht="18" customHeight="1" x14ac:dyDescent="0.2">
      <c r="B47" s="620" t="s">
        <v>1526</v>
      </c>
      <c r="C47" s="1924">
        <f>Summary1!C47</f>
        <v>3799.2730142093196</v>
      </c>
      <c r="D47" s="1924">
        <f>IFERROR(Summary1!D47*28,Summary1!D47)</f>
        <v>37.234108800000001</v>
      </c>
      <c r="E47" s="1924">
        <f>IFERROR(Summary1!E47*265,Summary1!E47)</f>
        <v>15.972057869937521</v>
      </c>
      <c r="F47" s="1931"/>
      <c r="G47" s="1931"/>
      <c r="H47" s="1931"/>
      <c r="I47" s="3352"/>
      <c r="J47" s="69"/>
      <c r="K47" s="4291">
        <f t="shared" si="0"/>
        <v>3852.479180879257</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-4198.8822615059344</v>
      </c>
      <c r="D49" s="3835"/>
      <c r="E49" s="3835"/>
      <c r="F49" s="1931"/>
      <c r="G49" s="1931"/>
      <c r="H49" s="1931"/>
      <c r="I49" s="3352"/>
      <c r="J49" s="69"/>
      <c r="K49" s="4291">
        <f t="shared" si="0"/>
        <v>-4198.8822615059344</v>
      </c>
      <c r="L49" s="19"/>
    </row>
    <row r="50" spans="2:12" ht="18" customHeight="1" thickBot="1" x14ac:dyDescent="0.25">
      <c r="B50" s="1552" t="s">
        <v>1529</v>
      </c>
      <c r="C50" s="1926">
        <f>Summary1!C50</f>
        <v>1.4941965505133337</v>
      </c>
      <c r="D50" s="1926" t="str">
        <f>IFERROR(Summary1!D50*28,Summary1!D50)</f>
        <v>NO</v>
      </c>
      <c r="E50" s="1926">
        <f>IFERROR(Summary1!E50*265,Summary1!E50)</f>
        <v>46.50864193924928</v>
      </c>
      <c r="F50" s="3024"/>
      <c r="G50" s="3024"/>
      <c r="H50" s="3024"/>
      <c r="I50" s="3828"/>
      <c r="J50" s="87"/>
      <c r="K50" s="4292">
        <f t="shared" si="0"/>
        <v>48.002838489762617</v>
      </c>
      <c r="L50" s="19"/>
    </row>
    <row r="51" spans="2:12" ht="18" customHeight="1" x14ac:dyDescent="0.2">
      <c r="B51" s="1550" t="s">
        <v>1500</v>
      </c>
      <c r="C51" s="1927">
        <f>Summary1!C51</f>
        <v>31.180693138900697</v>
      </c>
      <c r="D51" s="1927">
        <f>IFERROR(Summary1!D51*28,Summary1!D51)</f>
        <v>12350.528217553954</v>
      </c>
      <c r="E51" s="1927">
        <f>IFERROR(Summary1!E51*265,Summary1!E51)</f>
        <v>341.315311205456</v>
      </c>
      <c r="F51" s="1929"/>
      <c r="G51" s="1929"/>
      <c r="H51" s="1929"/>
      <c r="I51" s="4215"/>
      <c r="J51" s="627"/>
      <c r="K51" s="4290">
        <f t="shared" si="0"/>
        <v>12723.024221898309</v>
      </c>
      <c r="L51" s="19"/>
    </row>
    <row r="52" spans="2:12" ht="18" customHeight="1" x14ac:dyDescent="0.2">
      <c r="B52" s="620" t="s">
        <v>1530</v>
      </c>
      <c r="C52" s="628"/>
      <c r="D52" s="1924">
        <f>IFERROR(Summary1!D52*28,Summary1!D52)</f>
        <v>9750.6610706400006</v>
      </c>
      <c r="E52" s="1931"/>
      <c r="F52" s="628"/>
      <c r="G52" s="628"/>
      <c r="H52" s="628"/>
      <c r="I52" s="69"/>
      <c r="J52" s="69"/>
      <c r="K52" s="4291">
        <f t="shared" si="0"/>
        <v>9750.6610706400006</v>
      </c>
      <c r="L52" s="19"/>
    </row>
    <row r="53" spans="2:12" ht="18" customHeight="1" x14ac:dyDescent="0.2">
      <c r="B53" s="1396" t="s">
        <v>1531</v>
      </c>
      <c r="C53" s="628"/>
      <c r="D53" s="1924">
        <f>IFERROR(Summary1!D53*28,Summary1!D53)</f>
        <v>117.85586798999999</v>
      </c>
      <c r="E53" s="1924">
        <f>IFERROR(Summary1!E53*265,Summary1!E53)</f>
        <v>142.77396579360004</v>
      </c>
      <c r="F53" s="628"/>
      <c r="G53" s="628"/>
      <c r="H53" s="628"/>
      <c r="I53" s="69"/>
      <c r="J53" s="69"/>
      <c r="K53" s="4291">
        <f t="shared" si="0"/>
        <v>260.62983378360002</v>
      </c>
      <c r="L53" s="19"/>
    </row>
    <row r="54" spans="2:12" ht="18" customHeight="1" x14ac:dyDescent="0.2">
      <c r="B54" s="1397" t="s">
        <v>1532</v>
      </c>
      <c r="C54" s="1924">
        <f>Summary1!C54</f>
        <v>31.180693138900697</v>
      </c>
      <c r="D54" s="1924" t="str">
        <f>IFERROR(Summary1!D54*28,Summary1!D54)</f>
        <v>NO,NE</v>
      </c>
      <c r="E54" s="1924" t="str">
        <f>IFERROR(Summary1!E54*265,Summary1!E54)</f>
        <v>NO,NE</v>
      </c>
      <c r="F54" s="628"/>
      <c r="G54" s="628"/>
      <c r="H54" s="628"/>
      <c r="I54" s="69"/>
      <c r="J54" s="69"/>
      <c r="K54" s="4291">
        <f t="shared" si="0"/>
        <v>31.180693138900697</v>
      </c>
      <c r="L54" s="19"/>
    </row>
    <row r="55" spans="2:12" ht="18" customHeight="1" x14ac:dyDescent="0.2">
      <c r="B55" s="620" t="s">
        <v>1533</v>
      </c>
      <c r="C55" s="628"/>
      <c r="D55" s="1924">
        <f>IFERROR(Summary1!D55*28,Summary1!D55)</f>
        <v>2482.0112789239529</v>
      </c>
      <c r="E55" s="1924">
        <f>IFERROR(Summary1!E55*265,Summary1!E55)</f>
        <v>198.54134541185593</v>
      </c>
      <c r="F55" s="628"/>
      <c r="G55" s="628"/>
      <c r="H55" s="628"/>
      <c r="I55" s="69"/>
      <c r="J55" s="69"/>
      <c r="K55" s="4291">
        <f t="shared" si="0"/>
        <v>2680.552624335809</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14067.179558613647</v>
      </c>
      <c r="D60" s="4219">
        <f>IFERROR(Summary1!D61*28,Summary1!D61)</f>
        <v>6.7754331464615412</v>
      </c>
      <c r="E60" s="4219">
        <f>IFERROR(Summary1!E61*265,Summary1!E61)</f>
        <v>32.142744185457452</v>
      </c>
      <c r="F60" s="1931"/>
      <c r="G60" s="1931"/>
      <c r="H60" s="1932"/>
      <c r="I60" s="630"/>
      <c r="J60" s="630"/>
      <c r="K60" s="4220">
        <f t="shared" ref="K60:K66" si="2">IF(SUM(C60:J60)=0,"NO",SUM(C60:J60))</f>
        <v>14106.097735945566</v>
      </c>
    </row>
    <row r="61" spans="2:12" ht="18" customHeight="1" x14ac:dyDescent="0.2">
      <c r="B61" s="1386" t="s">
        <v>111</v>
      </c>
      <c r="C61" s="4219">
        <f>Summary1!C62</f>
        <v>11822.063913813647</v>
      </c>
      <c r="D61" s="4219">
        <f>IFERROR(Summary1!D62*28,Summary1!D62)</f>
        <v>0.77195941846153848</v>
      </c>
      <c r="E61" s="4219">
        <f>IFERROR(Summary1!E62*265,Summary1!E62)</f>
        <v>15.908861145457447</v>
      </c>
      <c r="F61" s="628"/>
      <c r="G61" s="628"/>
      <c r="H61" s="628"/>
      <c r="I61" s="631"/>
      <c r="J61" s="631"/>
      <c r="K61" s="4234">
        <f t="shared" si="2"/>
        <v>11838.744734377566</v>
      </c>
    </row>
    <row r="62" spans="2:12" ht="18" customHeight="1" x14ac:dyDescent="0.2">
      <c r="B62" s="1387" t="s">
        <v>1503</v>
      </c>
      <c r="C62" s="4219">
        <f>Summary1!C63</f>
        <v>2245.1156448000011</v>
      </c>
      <c r="D62" s="4219">
        <f>IFERROR(Summary1!D63*28,Summary1!D63)</f>
        <v>6.003473728000003</v>
      </c>
      <c r="E62" s="4219">
        <f>IFERROR(Summary1!E63*265,Summary1!E63)</f>
        <v>16.233883040000006</v>
      </c>
      <c r="F62" s="628"/>
      <c r="G62" s="628"/>
      <c r="H62" s="628"/>
      <c r="I62" s="632"/>
      <c r="J62" s="632"/>
      <c r="K62" s="4220">
        <f t="shared" si="2"/>
        <v>2267.3530015680008</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19106.935055972721</v>
      </c>
      <c r="D64" s="1931"/>
      <c r="E64" s="1931"/>
      <c r="F64" s="1931"/>
      <c r="G64" s="1931"/>
      <c r="H64" s="1931"/>
      <c r="I64" s="3352"/>
      <c r="J64" s="3352"/>
      <c r="K64" s="3821">
        <f t="shared" si="2"/>
        <v>19106.935055972721</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-299793.21230336587</v>
      </c>
      <c r="D66" s="4301"/>
      <c r="E66" s="4301"/>
      <c r="F66" s="4301"/>
      <c r="G66" s="4301"/>
      <c r="H66" s="4301"/>
      <c r="I66" s="3824"/>
      <c r="J66" s="3824"/>
      <c r="K66" s="4302">
        <f t="shared" si="2"/>
        <v>-299793.21230336587</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544231.81470424531</v>
      </c>
      <c r="N71" s="1126"/>
    </row>
    <row r="72" spans="2:14" s="634" customFormat="1" ht="18" customHeight="1" x14ac:dyDescent="0.25">
      <c r="B72" s="637"/>
      <c r="C72" s="638"/>
      <c r="D72" s="638"/>
      <c r="E72" s="638"/>
      <c r="F72" s="638"/>
      <c r="G72" s="638"/>
      <c r="H72" s="638"/>
      <c r="I72" s="638"/>
      <c r="J72" s="2553" t="s">
        <v>2122</v>
      </c>
      <c r="K72" s="3821">
        <f>K10</f>
        <v>540912.19966235745</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793844.23563217465</v>
      </c>
      <c r="D10" s="3076" t="s">
        <v>1814</v>
      </c>
      <c r="E10" s="628"/>
      <c r="F10" s="628"/>
      <c r="G10" s="628"/>
      <c r="H10" s="1913">
        <f>IF(SUM(H11:H15)=0,"NO",SUM(H11:H15))</f>
        <v>42279.340220573009</v>
      </c>
      <c r="I10" s="1913">
        <f t="shared" ref="I10:K10" si="0">IF(SUM(I11:I16)=0,"NO",SUM(I11:I16))</f>
        <v>2.4872832318839135</v>
      </c>
      <c r="J10" s="1847">
        <f t="shared" si="0"/>
        <v>1.490386092408067</v>
      </c>
      <c r="K10" s="3065" t="str">
        <f t="shared" si="0"/>
        <v>NO</v>
      </c>
    </row>
    <row r="11" spans="2:11" ht="18" customHeight="1" x14ac:dyDescent="0.2">
      <c r="B11" s="282" t="s">
        <v>132</v>
      </c>
      <c r="C11" s="1913">
        <f>IF(SUM(C18,C25,C32,C39,C46,C53,C62,C69,C76,C83,C90,C97,C114,C104:C107)=0,"NO",SUM(C18,C25,C32,C39,C46,C53,C62,C69,C76,C83,C90,C97,C114,C104:C107))</f>
        <v>227702.30523054209</v>
      </c>
      <c r="D11" s="3077" t="s">
        <v>1814</v>
      </c>
      <c r="E11" s="1913">
        <f>IFERROR(H11*1000/$C11,"NA")</f>
        <v>69.147632990480503</v>
      </c>
      <c r="F11" s="1913">
        <f t="shared" ref="F11:G16" si="1">IFERROR(I11*1000000/$C11,"NA")</f>
        <v>4.354528705497021</v>
      </c>
      <c r="G11" s="1913">
        <f t="shared" si="1"/>
        <v>2.4181505306016811</v>
      </c>
      <c r="H11" s="1913">
        <f>IF(SUM(H18,H25,H32,H39,H46,H53,H62,H69,H76,H83,H90,H97,H114,H104:H107)=0,"NO",SUM(H18,H25,H32,H39,H46,H53,H62,H69,H76,H83,H90,H97,H114,H104:H107))</f>
        <v>15745.075433167893</v>
      </c>
      <c r="I11" s="1913">
        <f>IF(SUM(I18,I25,I32,I39,I46,I53,I62,I69,I76,I83,I90,I97,I114,I104:I107)=0,"NO",SUM(I18,I25,I32,I39,I46,I53,I62,I69,I76,I83,I90,I97,I114,I104:I107))</f>
        <v>0.99153622443423994</v>
      </c>
      <c r="J11" s="1913">
        <f>IF(SUM(J18,J25,J32,J39,J46,J53,J62,J69,J76,J83,J90,J97,J114,J104:J107)=0,"NO",SUM(J18,J25,J32,J39,J46,J53,J62,J69,J76,J83,J90,J97,J114,J104:J107))</f>
        <v>0.55061845021246125</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113355.12204485155</v>
      </c>
      <c r="D12" s="3077" t="s">
        <v>1814</v>
      </c>
      <c r="E12" s="1913">
        <f t="shared" ref="E12:E16" si="2">IFERROR(H12*1000/$C12,"NA")</f>
        <v>81.830681894724194</v>
      </c>
      <c r="F12" s="1913">
        <f t="shared" si="1"/>
        <v>0.94850878325732269</v>
      </c>
      <c r="G12" s="1913">
        <f t="shared" si="1"/>
        <v>0.69888157000850937</v>
      </c>
      <c r="H12" s="1913">
        <f>IF(SUM(H19,H26,H33,H40,H47,H54,H63,H70,H77,H84,H91,H98,H115)=0,"NO",SUM(H19,H26,H33,H40,H47,H54,H63,H70,H77,H84,H91,H98,H115))</f>
        <v>9275.9269331898849</v>
      </c>
      <c r="I12" s="1913">
        <f>IF(SUM(I19,I26,I33,I40,I47,I54,I63,I70,I77,I84,I91,I98,I115)=0,"NO",SUM(I19,I26,I33,I40,I47,I54,I63,I70,I77,I84,I91,I98,I115))</f>
        <v>0.10751832888674746</v>
      </c>
      <c r="J12" s="1913">
        <f>IF(SUM(J19,J26,J33,J40,J47,J54,J63,J70,J77,J84,J91,J98,J115)=0,"NO",SUM(J19,J26,J33,J40,J47,J54,J63,J70,J77,J84,J91,J98,J115))</f>
        <v>7.9221805663212047E-2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335687.46615585423</v>
      </c>
      <c r="D13" s="3077" t="s">
        <v>1814</v>
      </c>
      <c r="E13" s="1913">
        <f t="shared" si="2"/>
        <v>51.411922082912888</v>
      </c>
      <c r="F13" s="1913">
        <f t="shared" si="1"/>
        <v>0.97477239482118294</v>
      </c>
      <c r="G13" s="1913">
        <f t="shared" si="1"/>
        <v>0.54856385040276068</v>
      </c>
      <c r="H13" s="1913">
        <f t="shared" ref="H13:K14" si="3">IF(SUM(H20,H27,H34,H41,H48,H55,H64,H71,H78,H85,H92,H99,H116,H109)=0,"NO",SUM(H20,H27,H34,H41,H48,H55,H64,H71,H78,H85,H92,H99,H116,H109))</f>
        <v>17258.337854215235</v>
      </c>
      <c r="I13" s="1913">
        <f t="shared" si="3"/>
        <v>0.32721887529619686</v>
      </c>
      <c r="J13" s="1913">
        <f t="shared" si="3"/>
        <v>0.18414600896640179</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117099.34220092675</v>
      </c>
      <c r="D16" s="3092" t="s">
        <v>1814</v>
      </c>
      <c r="E16" s="1913">
        <f t="shared" si="2"/>
        <v>94.350149592221086</v>
      </c>
      <c r="F16" s="1913">
        <f t="shared" si="1"/>
        <v>9.0607665536342541</v>
      </c>
      <c r="G16" s="1913">
        <f t="shared" si="1"/>
        <v>5.7762905824473441</v>
      </c>
      <c r="H16" s="1913">
        <f>IF(SUM(H23,H30,H37,H44,H51,H58,H67,H74,H81,H88,H95,H102,H119,H111)=0,"NO",SUM(H23,H30,H37,H44,H51,H58,H67,H74,H81,H88,H95,H102,H119,H111))</f>
        <v>11048.340453808127</v>
      </c>
      <c r="I16" s="1913">
        <f>IF(SUM(I23,I30,I37,I44,I51,I58,I67,I74,I81,I88,I95,I102,I119,I111)=0,"NO",SUM(I23,I30,I37,I44,I51,I58,I67,I74,I81,I88,I95,I102,I119,I111))</f>
        <v>1.0610098032667292</v>
      </c>
      <c r="J16" s="1913">
        <f>IF(SUM(J23,J30,J37,J44,J51,J58,J67,J74,J81,J88,J95,J102,J119,J111)=0,"NO",SUM(J23,J30,J37,J44,J51,J58,J67,J74,J81,J88,J95,J102,J119,J111))</f>
        <v>0.67639982756599204</v>
      </c>
      <c r="K16" s="3065" t="str">
        <f>IF(SUM(K23,K30,K37,K44,K51,K58,K67,K74,K81,K88,K95,K102,K119,K111)=0,"NO",SUM(K23,K30,K37,K44,K51,K58,K67,K74,K81,K88,K95,K102,K119,K111))</f>
        <v>NO</v>
      </c>
    </row>
    <row r="17" spans="2:11" ht="18" customHeight="1" x14ac:dyDescent="0.2">
      <c r="B17" s="1241" t="s">
        <v>151</v>
      </c>
      <c r="C17" s="1913">
        <f>IF(SUM(C18:C23)=0,"NO",SUM(C18:C23))</f>
        <v>33945.67563747675</v>
      </c>
      <c r="D17" s="3076" t="s">
        <v>1814</v>
      </c>
      <c r="E17" s="628"/>
      <c r="F17" s="628"/>
      <c r="G17" s="628"/>
      <c r="H17" s="1913">
        <f>IF(SUM(H18:H22)=0,"NO",SUM(H18:H22))</f>
        <v>1534.5421528777001</v>
      </c>
      <c r="I17" s="1913">
        <f t="shared" ref="I17:K17" si="4">IF(SUM(I18:I23)=0,"NO",SUM(I18:I23))</f>
        <v>3.5110412790517409E-2</v>
      </c>
      <c r="J17" s="1913">
        <f t="shared" si="4"/>
        <v>1.9792865479564554E-2</v>
      </c>
      <c r="K17" s="3065" t="str">
        <f t="shared" si="4"/>
        <v>NO</v>
      </c>
    </row>
    <row r="18" spans="2:11" ht="18" customHeight="1" x14ac:dyDescent="0.2">
      <c r="B18" s="282" t="s">
        <v>132</v>
      </c>
      <c r="C18" s="691">
        <v>807.14499999999998</v>
      </c>
      <c r="D18" s="3077" t="s">
        <v>1814</v>
      </c>
      <c r="E18" s="1913">
        <f>IFERROR(H18*1000/$C18,"NA")</f>
        <v>71.318746972353168</v>
      </c>
      <c r="F18" s="1913">
        <f t="shared" ref="F18:G23" si="5">IFERROR(I18*1000000/$C18,"NA")</f>
        <v>4.2980126641507166</v>
      </c>
      <c r="G18" s="1913">
        <f t="shared" si="5"/>
        <v>1.3618954538914039</v>
      </c>
      <c r="H18" s="691">
        <v>57.564570024999995</v>
      </c>
      <c r="I18" s="691">
        <v>3.4691194318059297E-3</v>
      </c>
      <c r="J18" s="691">
        <v>1.0992471061311772E-3</v>
      </c>
      <c r="K18" s="3093" t="s">
        <v>2146</v>
      </c>
    </row>
    <row r="19" spans="2:11" ht="18" customHeight="1" x14ac:dyDescent="0.2">
      <c r="B19" s="282" t="s">
        <v>133</v>
      </c>
      <c r="C19" s="691">
        <v>19153.133637476749</v>
      </c>
      <c r="D19" s="3077" t="s">
        <v>1814</v>
      </c>
      <c r="E19" s="1913">
        <f t="shared" ref="E19:E23" si="6">IFERROR(H19*1000/$C19,"NA")</f>
        <v>39.57375898340743</v>
      </c>
      <c r="F19" s="1913">
        <f t="shared" si="5"/>
        <v>0.95495524187624869</v>
      </c>
      <c r="G19" s="1913">
        <f t="shared" si="5"/>
        <v>0.56914481656559601</v>
      </c>
      <c r="H19" s="691">
        <v>757.96149434649851</v>
      </c>
      <c r="I19" s="691">
        <v>1.8290385365464724E-2</v>
      </c>
      <c r="J19" s="691">
        <v>1.0900906730758051E-2</v>
      </c>
      <c r="K19" s="3093" t="s">
        <v>2146</v>
      </c>
    </row>
    <row r="20" spans="2:11" ht="18" customHeight="1" x14ac:dyDescent="0.2">
      <c r="B20" s="282" t="s">
        <v>134</v>
      </c>
      <c r="C20" s="691">
        <v>13985.396999999999</v>
      </c>
      <c r="D20" s="3077" t="s">
        <v>1814</v>
      </c>
      <c r="E20" s="1913">
        <f t="shared" si="6"/>
        <v>51.411918339265</v>
      </c>
      <c r="F20" s="1913">
        <f t="shared" si="5"/>
        <v>0.95463203463203472</v>
      </c>
      <c r="G20" s="1913">
        <f t="shared" si="5"/>
        <v>0.55720346320346326</v>
      </c>
      <c r="H20" s="691">
        <v>719.01608850620164</v>
      </c>
      <c r="I20" s="691">
        <v>1.3350907993246754E-2</v>
      </c>
      <c r="J20" s="691">
        <v>7.7927116426753243E-3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201783.43647416373</v>
      </c>
      <c r="D24" s="3077" t="s">
        <v>1814</v>
      </c>
      <c r="E24" s="628"/>
      <c r="F24" s="628"/>
      <c r="G24" s="628"/>
      <c r="H24" s="1913">
        <f>IF(SUM(H25:H29)=0,"NO",SUM(H25:H29))</f>
        <v>12699.305762036434</v>
      </c>
      <c r="I24" s="1913">
        <f t="shared" ref="I24:K24" si="7">IF(SUM(I25:I30)=0,"NO",SUM(I25:I30))</f>
        <v>0.22143960083460296</v>
      </c>
      <c r="J24" s="1913">
        <f t="shared" si="7"/>
        <v>0.14107617755570978</v>
      </c>
      <c r="K24" s="3065" t="str">
        <f t="shared" si="7"/>
        <v>NO</v>
      </c>
    </row>
    <row r="25" spans="2:11" ht="18" customHeight="1" x14ac:dyDescent="0.2">
      <c r="B25" s="282" t="s">
        <v>132</v>
      </c>
      <c r="C25" s="691">
        <v>13416.224817</v>
      </c>
      <c r="D25" s="3077" t="s">
        <v>1814</v>
      </c>
      <c r="E25" s="1913">
        <f>IFERROR(H25*1000/$C25,"NA")</f>
        <v>71.660119840244846</v>
      </c>
      <c r="F25" s="1913">
        <f t="shared" ref="F25:G30" si="8">IFERROR(I25*1000000/$C25,"NA")</f>
        <v>1.7547724569150385</v>
      </c>
      <c r="G25" s="1913">
        <f t="shared" si="8"/>
        <v>1.1022729734176857</v>
      </c>
      <c r="H25" s="691">
        <v>961.40827818988691</v>
      </c>
      <c r="I25" s="691">
        <v>2.3542421784651605E-2</v>
      </c>
      <c r="J25" s="691">
        <v>1.4788342021074735E-2</v>
      </c>
      <c r="K25" s="3093" t="s">
        <v>2146</v>
      </c>
    </row>
    <row r="26" spans="2:11" ht="18" customHeight="1" x14ac:dyDescent="0.2">
      <c r="B26" s="282" t="s">
        <v>133</v>
      </c>
      <c r="C26" s="691">
        <v>54667.861060854244</v>
      </c>
      <c r="D26" s="3077" t="s">
        <v>1814</v>
      </c>
      <c r="E26" s="1913">
        <f t="shared" ref="E26:E30" si="9">IFERROR(H26*1000/$C26,"NA")</f>
        <v>91.021482465831198</v>
      </c>
      <c r="F26" s="1913">
        <f t="shared" si="8"/>
        <v>0.95238095238095211</v>
      </c>
      <c r="G26" s="1913">
        <f t="shared" si="8"/>
        <v>0.706095238095238</v>
      </c>
      <c r="H26" s="691">
        <v>4975.9497569950408</v>
      </c>
      <c r="I26" s="691">
        <v>5.2064629581765935E-2</v>
      </c>
      <c r="J26" s="691">
        <v>3.8600716371921272E-2</v>
      </c>
      <c r="K26" s="3093" t="s">
        <v>2146</v>
      </c>
    </row>
    <row r="27" spans="2:11" ht="18" customHeight="1" x14ac:dyDescent="0.2">
      <c r="B27" s="282" t="s">
        <v>134</v>
      </c>
      <c r="C27" s="691">
        <v>131524.90600000002</v>
      </c>
      <c r="D27" s="3077" t="s">
        <v>1814</v>
      </c>
      <c r="E27" s="1913">
        <f t="shared" si="9"/>
        <v>51.411918339264993</v>
      </c>
      <c r="F27" s="1913">
        <f t="shared" si="8"/>
        <v>0.95727272727272728</v>
      </c>
      <c r="G27" s="1913">
        <f t="shared" si="8"/>
        <v>0.57027272727272726</v>
      </c>
      <c r="H27" s="691">
        <v>6761.9477268515056</v>
      </c>
      <c r="I27" s="691">
        <v>0.12590520547090911</v>
      </c>
      <c r="J27" s="691">
        <v>7.5005066848909105E-2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2174.4445963094477</v>
      </c>
      <c r="D30" s="3077" t="s">
        <v>1814</v>
      </c>
      <c r="E30" s="1913">
        <f t="shared" si="9"/>
        <v>93.989746440406762</v>
      </c>
      <c r="F30" s="1913">
        <f t="shared" si="8"/>
        <v>9.1643374271746261</v>
      </c>
      <c r="G30" s="1913">
        <f t="shared" si="8"/>
        <v>5.832317979188411</v>
      </c>
      <c r="H30" s="691">
        <v>204.37549625583762</v>
      </c>
      <c r="I30" s="691">
        <v>1.9927343997276293E-2</v>
      </c>
      <c r="J30" s="691">
        <v>1.2682052313804678E-2</v>
      </c>
      <c r="K30" s="3093" t="s">
        <v>2146</v>
      </c>
    </row>
    <row r="31" spans="2:11" ht="18" customHeight="1" x14ac:dyDescent="0.2">
      <c r="B31" s="1241" t="s">
        <v>153</v>
      </c>
      <c r="C31" s="1913">
        <f>IF(SUM(C32:C37)=0,"NO",SUM(C32:C37))</f>
        <v>141093.74060289012</v>
      </c>
      <c r="D31" s="3077" t="s">
        <v>1814</v>
      </c>
      <c r="E31" s="628"/>
      <c r="F31" s="628"/>
      <c r="G31" s="628"/>
      <c r="H31" s="1913">
        <f>IF(SUM(H32:H36)=0,"NO",SUM(H32:H36))</f>
        <v>8542.4063994249555</v>
      </c>
      <c r="I31" s="1913">
        <f t="shared" ref="I31:K31" si="10">IF(SUM(I32:I37)=0,"NO",SUM(I32:I37))</f>
        <v>0.21722175213615327</v>
      </c>
      <c r="J31" s="1913">
        <f t="shared" si="10"/>
        <v>9.0524541526515429E-2</v>
      </c>
      <c r="K31" s="3065" t="str">
        <f t="shared" si="10"/>
        <v>NO</v>
      </c>
    </row>
    <row r="32" spans="2:11" ht="18" customHeight="1" x14ac:dyDescent="0.2">
      <c r="B32" s="282" t="s">
        <v>132</v>
      </c>
      <c r="C32" s="691">
        <v>68501.448636515634</v>
      </c>
      <c r="D32" s="3077" t="s">
        <v>1814</v>
      </c>
      <c r="E32" s="1913">
        <f>IFERROR(H32*1000/$C32,"NA")</f>
        <v>68.537143357018991</v>
      </c>
      <c r="F32" s="1913">
        <f t="shared" ref="F32:G37" si="11">IFERROR(I32*1000000/$C32,"NA")</f>
        <v>2.0977441422544798</v>
      </c>
      <c r="G32" s="1913">
        <f t="shared" si="11"/>
        <v>0.70275462634999741</v>
      </c>
      <c r="H32" s="691">
        <v>4694.8936053643447</v>
      </c>
      <c r="I32" s="691">
        <v>0.1436985126131968</v>
      </c>
      <c r="J32" s="691">
        <v>4.8139709940988082E-2</v>
      </c>
      <c r="K32" s="3093" t="s">
        <v>2146</v>
      </c>
    </row>
    <row r="33" spans="2:11" ht="18" customHeight="1" x14ac:dyDescent="0.2">
      <c r="B33" s="282" t="s">
        <v>133</v>
      </c>
      <c r="C33" s="691">
        <v>4584.38798789267</v>
      </c>
      <c r="D33" s="3077" t="s">
        <v>1814</v>
      </c>
      <c r="E33" s="1913">
        <f t="shared" ref="E33:E37" si="12">IFERROR(H33*1000/$C33,"NA")</f>
        <v>85.250854287711405</v>
      </c>
      <c r="F33" s="1913">
        <f t="shared" si="11"/>
        <v>0.88651519007608892</v>
      </c>
      <c r="G33" s="1913">
        <f t="shared" si="11"/>
        <v>0.6397331792488109</v>
      </c>
      <c r="H33" s="691">
        <v>390.82299235417253</v>
      </c>
      <c r="I33" s="691">
        <v>4.0641295884692088E-3</v>
      </c>
      <c r="J33" s="691">
        <v>2.9327851024046371E-3</v>
      </c>
      <c r="K33" s="3093" t="s">
        <v>2146</v>
      </c>
    </row>
    <row r="34" spans="2:11" ht="18" customHeight="1" x14ac:dyDescent="0.2">
      <c r="B34" s="282" t="s">
        <v>134</v>
      </c>
      <c r="C34" s="691">
        <v>67235.183898794217</v>
      </c>
      <c r="D34" s="3077" t="s">
        <v>1814</v>
      </c>
      <c r="E34" s="1913">
        <f t="shared" si="12"/>
        <v>51.411918600678199</v>
      </c>
      <c r="F34" s="1913">
        <f t="shared" si="11"/>
        <v>0.95166612447453436</v>
      </c>
      <c r="G34" s="1913">
        <f t="shared" si="11"/>
        <v>0.53017149217664639</v>
      </c>
      <c r="H34" s="691">
        <v>3456.6898017064377</v>
      </c>
      <c r="I34" s="691">
        <v>6.3985446889298109E-2</v>
      </c>
      <c r="J34" s="691">
        <v>3.5646177774394959E-2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772.72007968758487</v>
      </c>
      <c r="D37" s="3077" t="s">
        <v>1814</v>
      </c>
      <c r="E37" s="1913">
        <f t="shared" si="12"/>
        <v>87.828587989383863</v>
      </c>
      <c r="F37" s="1913">
        <f t="shared" si="11"/>
        <v>7.0836298797905997</v>
      </c>
      <c r="G37" s="1913">
        <f t="shared" si="11"/>
        <v>4.9252877060817397</v>
      </c>
      <c r="H37" s="691">
        <v>67.86691351000475</v>
      </c>
      <c r="I37" s="691">
        <v>5.4736630451891494E-3</v>
      </c>
      <c r="J37" s="691">
        <v>3.805868708727764E-3</v>
      </c>
      <c r="K37" s="3093" t="s">
        <v>2146</v>
      </c>
    </row>
    <row r="38" spans="2:11" ht="18" customHeight="1" x14ac:dyDescent="0.2">
      <c r="B38" s="1241" t="s">
        <v>154</v>
      </c>
      <c r="C38" s="1913">
        <f>IF(SUM(C39:C44)=0,"NO",SUM(C39:C44))</f>
        <v>36690.815999999992</v>
      </c>
      <c r="D38" s="3077" t="s">
        <v>1814</v>
      </c>
      <c r="E38" s="628"/>
      <c r="F38" s="628"/>
      <c r="G38" s="628"/>
      <c r="H38" s="1913">
        <f>IF(SUM(H39:H43)=0,"NO",SUM(H39:H43))</f>
        <v>958.29913855989116</v>
      </c>
      <c r="I38" s="1913">
        <f t="shared" ref="I38:K38" si="13">IF(SUM(I39:I44)=0,"NO",SUM(I39:I44))</f>
        <v>0.1995950143728521</v>
      </c>
      <c r="J38" s="1913">
        <f t="shared" si="13"/>
        <v>0.13181670955611058</v>
      </c>
      <c r="K38" s="3065" t="str">
        <f t="shared" si="13"/>
        <v>NO</v>
      </c>
    </row>
    <row r="39" spans="2:11" ht="18" customHeight="1" x14ac:dyDescent="0.2">
      <c r="B39" s="282" t="s">
        <v>132</v>
      </c>
      <c r="C39" s="691">
        <v>560.89299999999992</v>
      </c>
      <c r="D39" s="3077" t="s">
        <v>1814</v>
      </c>
      <c r="E39" s="1913">
        <f>IFERROR(H39*1000/$C39,"NA")</f>
        <v>67.265838015126207</v>
      </c>
      <c r="F39" s="1913">
        <f t="shared" ref="F39:G44" si="14">IFERROR(I39*1000000/$C39,"NA")</f>
        <v>1.0600132952799148</v>
      </c>
      <c r="G39" s="1913">
        <f t="shared" si="14"/>
        <v>1.1674271004285892</v>
      </c>
      <c r="H39" s="691">
        <v>37.728937681818181</v>
      </c>
      <c r="I39" s="691">
        <v>5.9455403722943716E-4</v>
      </c>
      <c r="J39" s="691">
        <v>6.5480168864069253E-4</v>
      </c>
      <c r="K39" s="3093" t="s">
        <v>2146</v>
      </c>
    </row>
    <row r="40" spans="2:11" ht="18" customHeight="1" x14ac:dyDescent="0.2">
      <c r="B40" s="282" t="s">
        <v>133</v>
      </c>
      <c r="C40" s="691">
        <v>3229.8850000000002</v>
      </c>
      <c r="D40" s="3077" t="s">
        <v>1814</v>
      </c>
      <c r="E40" s="1913">
        <f t="shared" ref="E40:E44" si="15">IFERROR(H40*1000/$C40,"NA")</f>
        <v>89.676500618443058</v>
      </c>
      <c r="F40" s="1913">
        <f t="shared" si="14"/>
        <v>0.93540157739657093</v>
      </c>
      <c r="G40" s="1913">
        <f t="shared" si="14"/>
        <v>0.65534708334374592</v>
      </c>
      <c r="H40" s="691">
        <v>289.6447842</v>
      </c>
      <c r="I40" s="691">
        <v>3.0212395238095237E-3</v>
      </c>
      <c r="J40" s="691">
        <v>2.1166957142857148E-3</v>
      </c>
      <c r="K40" s="3093" t="s">
        <v>2146</v>
      </c>
    </row>
    <row r="41" spans="2:11" ht="18" customHeight="1" x14ac:dyDescent="0.2">
      <c r="B41" s="282" t="s">
        <v>134</v>
      </c>
      <c r="C41" s="691">
        <v>12271.967999999999</v>
      </c>
      <c r="D41" s="3077" t="s">
        <v>1814</v>
      </c>
      <c r="E41" s="1913">
        <f t="shared" si="15"/>
        <v>51.411918339264986</v>
      </c>
      <c r="F41" s="1913">
        <f t="shared" si="14"/>
        <v>0.91363636363636358</v>
      </c>
      <c r="G41" s="1913">
        <f t="shared" si="14"/>
        <v>0.86863636363636354</v>
      </c>
      <c r="H41" s="691">
        <v>630.92541667807302</v>
      </c>
      <c r="I41" s="691">
        <v>1.1212116218181816E-2</v>
      </c>
      <c r="J41" s="691">
        <v>1.0659877658181816E-2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20628.069999999996</v>
      </c>
      <c r="D44" s="3076" t="s">
        <v>1814</v>
      </c>
      <c r="E44" s="1913">
        <f t="shared" si="15"/>
        <v>93.592123283453574</v>
      </c>
      <c r="F44" s="1913">
        <f t="shared" si="14"/>
        <v>8.9570718246365928</v>
      </c>
      <c r="G44" s="1913">
        <f t="shared" si="14"/>
        <v>5.7390407582969409</v>
      </c>
      <c r="H44" s="691">
        <v>1930.6248705397097</v>
      </c>
      <c r="I44" s="691">
        <v>0.18476710459363133</v>
      </c>
      <c r="J44" s="691">
        <v>0.11838533449500235</v>
      </c>
      <c r="K44" s="3093" t="s">
        <v>2146</v>
      </c>
    </row>
    <row r="45" spans="2:11" ht="18" customHeight="1" x14ac:dyDescent="0.2">
      <c r="B45" s="1241" t="s">
        <v>155</v>
      </c>
      <c r="C45" s="1913">
        <f>IF(SUM(C46:C51)=0,"NO",SUM(C46:C51))</f>
        <v>138878.45550919112</v>
      </c>
      <c r="D45" s="3076" t="s">
        <v>1814</v>
      </c>
      <c r="E45" s="628"/>
      <c r="F45" s="628"/>
      <c r="G45" s="628"/>
      <c r="H45" s="1913">
        <f>IF(SUM(H46:H50)=0,"NO",SUM(H46:H50))</f>
        <v>2768.0679837821435</v>
      </c>
      <c r="I45" s="1913">
        <f t="shared" ref="I45:K45" si="16">IF(SUM(I46:I51)=0,"NO",SUM(I46:I51))</f>
        <v>0.89661948982093864</v>
      </c>
      <c r="J45" s="1913">
        <f t="shared" si="16"/>
        <v>0.575923121085398</v>
      </c>
      <c r="K45" s="3065" t="str">
        <f t="shared" si="16"/>
        <v>NO</v>
      </c>
    </row>
    <row r="46" spans="2:11" ht="18" customHeight="1" x14ac:dyDescent="0.2">
      <c r="B46" s="282" t="s">
        <v>132</v>
      </c>
      <c r="C46" s="691">
        <v>3427.7276775748087</v>
      </c>
      <c r="D46" s="3076" t="s">
        <v>1814</v>
      </c>
      <c r="E46" s="1913">
        <f>IFERROR(H46*1000/$C46,"NA")</f>
        <v>67.783405343380593</v>
      </c>
      <c r="F46" s="1913">
        <f t="shared" ref="F46:G51" si="17">IFERROR(I46*1000000/$C46,"NA")</f>
        <v>6.3467073232666635</v>
      </c>
      <c r="G46" s="1913">
        <f t="shared" si="17"/>
        <v>2.3776239083192521</v>
      </c>
      <c r="H46" s="691">
        <v>232.34305457577784</v>
      </c>
      <c r="I46" s="691">
        <v>2.1754784353427873E-2</v>
      </c>
      <c r="J46" s="691">
        <v>8.1498472774094895E-3</v>
      </c>
      <c r="K46" s="3093" t="s">
        <v>2146</v>
      </c>
    </row>
    <row r="47" spans="2:11" ht="18" customHeight="1" x14ac:dyDescent="0.2">
      <c r="B47" s="282" t="s">
        <v>133</v>
      </c>
      <c r="C47" s="691">
        <v>7210.2689999999993</v>
      </c>
      <c r="D47" s="3076" t="s">
        <v>1814</v>
      </c>
      <c r="E47" s="1913">
        <f t="shared" ref="E47:E51" si="18">IFERROR(H47*1000/$C47,"NA")</f>
        <v>90.128551063705189</v>
      </c>
      <c r="F47" s="1913">
        <f t="shared" si="17"/>
        <v>0.952380952380952</v>
      </c>
      <c r="G47" s="1913">
        <f t="shared" si="17"/>
        <v>0.67523809523809519</v>
      </c>
      <c r="H47" s="691">
        <v>649.85109774955049</v>
      </c>
      <c r="I47" s="691">
        <v>6.8669228571428542E-3</v>
      </c>
      <c r="J47" s="691">
        <v>4.8686483057142852E-3</v>
      </c>
      <c r="K47" s="3093" t="s">
        <v>2146</v>
      </c>
    </row>
    <row r="48" spans="2:11" ht="18" customHeight="1" x14ac:dyDescent="0.2">
      <c r="B48" s="282" t="s">
        <v>134</v>
      </c>
      <c r="C48" s="691">
        <v>36681.646831616286</v>
      </c>
      <c r="D48" s="3076" t="s">
        <v>1814</v>
      </c>
      <c r="E48" s="1913">
        <f t="shared" si="18"/>
        <v>51.411918339265</v>
      </c>
      <c r="F48" s="1913">
        <f t="shared" si="17"/>
        <v>0.9140909090909094</v>
      </c>
      <c r="G48" s="1913">
        <f t="shared" si="17"/>
        <v>0.86459090909090897</v>
      </c>
      <c r="H48" s="691">
        <v>1885.8738314568152</v>
      </c>
      <c r="I48" s="691">
        <v>3.3530359899263805E-2</v>
      </c>
      <c r="J48" s="691">
        <v>3.1714618381098784E-2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91558.81200000002</v>
      </c>
      <c r="D51" s="3076" t="s">
        <v>1814</v>
      </c>
      <c r="E51" s="1913">
        <f t="shared" si="18"/>
        <v>94.683681892709288</v>
      </c>
      <c r="F51" s="1913">
        <f t="shared" si="17"/>
        <v>9.1140044795590391</v>
      </c>
      <c r="G51" s="1913">
        <f t="shared" si="17"/>
        <v>5.8016262500345182</v>
      </c>
      <c r="H51" s="691">
        <v>8669.1254298823751</v>
      </c>
      <c r="I51" s="691">
        <v>0.83446742271110408</v>
      </c>
      <c r="J51" s="691">
        <v>0.53119000712117548</v>
      </c>
      <c r="K51" s="3093" t="s">
        <v>2146</v>
      </c>
    </row>
    <row r="52" spans="2:11" ht="18" customHeight="1" x14ac:dyDescent="0.2">
      <c r="B52" s="1241" t="s">
        <v>156</v>
      </c>
      <c r="C52" s="3094">
        <f>IF(SUM(C53:C58)=0,"NO",SUM(C53:C58))</f>
        <v>86259.45764869632</v>
      </c>
      <c r="D52" s="3076" t="s">
        <v>1814</v>
      </c>
      <c r="E52" s="628"/>
      <c r="F52" s="628"/>
      <c r="G52" s="628"/>
      <c r="H52" s="1913">
        <f>IF(SUM(H53:H57)=0,"NO",SUM(H53:H57))</f>
        <v>5248.1709992792148</v>
      </c>
      <c r="I52" s="1913">
        <f t="shared" ref="I52:K52" si="19">IF(SUM(I53:I58)=0,"NO",SUM(I53:I58))</f>
        <v>0.36434910439279566</v>
      </c>
      <c r="J52" s="1913">
        <f t="shared" si="19"/>
        <v>4.9464196723716949E-2</v>
      </c>
      <c r="K52" s="3065" t="str">
        <f t="shared" si="19"/>
        <v>NO</v>
      </c>
    </row>
    <row r="53" spans="2:11" ht="18" customHeight="1" x14ac:dyDescent="0.2">
      <c r="B53" s="282" t="s">
        <v>132</v>
      </c>
      <c r="C53" s="2147">
        <v>8353.6711055417927</v>
      </c>
      <c r="D53" s="3076" t="s">
        <v>1814</v>
      </c>
      <c r="E53" s="1913">
        <f>IFERROR(H53*1000/$C53,"NA")</f>
        <v>63.118726572460005</v>
      </c>
      <c r="F53" s="1913">
        <f t="shared" ref="F53:G58" si="20">IFERROR(I53*1000000/$C53,"NA")</f>
        <v>32.725547067674476</v>
      </c>
      <c r="G53" s="1913">
        <f t="shared" si="20"/>
        <v>1.8294338247399484</v>
      </c>
      <c r="H53" s="691">
        <v>527.27308238695207</v>
      </c>
      <c r="I53" s="691">
        <v>0.27337845695228019</v>
      </c>
      <c r="J53" s="691">
        <v>1.5282488481230915E-2</v>
      </c>
      <c r="K53" s="3093" t="s">
        <v>2146</v>
      </c>
    </row>
    <row r="54" spans="2:11" ht="18" customHeight="1" x14ac:dyDescent="0.2">
      <c r="B54" s="282" t="s">
        <v>133</v>
      </c>
      <c r="C54" s="691">
        <v>21540.210502786849</v>
      </c>
      <c r="D54" s="3076" t="s">
        <v>1814</v>
      </c>
      <c r="E54" s="1913">
        <f t="shared" ref="E54:E58" si="21">IFERROR(H54*1000/$C54,"NA")</f>
        <v>89.277882351061663</v>
      </c>
      <c r="F54" s="1913">
        <f t="shared" si="20"/>
        <v>0.946134990958305</v>
      </c>
      <c r="G54" s="1913">
        <f t="shared" si="20"/>
        <v>0.81657331187337145</v>
      </c>
      <c r="H54" s="691">
        <v>1923.0643790849072</v>
      </c>
      <c r="I54" s="691">
        <v>2.0379946869294219E-2</v>
      </c>
      <c r="J54" s="691">
        <v>1.7589161028710238E-2</v>
      </c>
      <c r="K54" s="3093" t="s">
        <v>2146</v>
      </c>
    </row>
    <row r="55" spans="2:11" ht="18" customHeight="1" x14ac:dyDescent="0.2">
      <c r="B55" s="282" t="s">
        <v>134</v>
      </c>
      <c r="C55" s="691">
        <v>54419.940515437971</v>
      </c>
      <c r="D55" s="3076" t="s">
        <v>1814</v>
      </c>
      <c r="E55" s="1913">
        <f t="shared" si="21"/>
        <v>51.411918339264986</v>
      </c>
      <c r="F55" s="1913">
        <f t="shared" si="20"/>
        <v>0.9981475576014559</v>
      </c>
      <c r="G55" s="1913">
        <f t="shared" si="20"/>
        <v>0.11648673734704114</v>
      </c>
      <c r="H55" s="691">
        <v>2797.8335378073552</v>
      </c>
      <c r="I55" s="691">
        <v>5.4319130710300922E-2</v>
      </c>
      <c r="J55" s="691">
        <v>6.3392013172634248E-3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1945.6355249297026</v>
      </c>
      <c r="D58" s="3076" t="s">
        <v>1814</v>
      </c>
      <c r="E58" s="3095">
        <f t="shared" si="21"/>
        <v>89.874810609606939</v>
      </c>
      <c r="F58" s="3095">
        <f t="shared" si="20"/>
        <v>8.3631130560839502</v>
      </c>
      <c r="G58" s="3095">
        <f t="shared" si="20"/>
        <v>5.2699211980531793</v>
      </c>
      <c r="H58" s="2190">
        <v>174.8636243183802</v>
      </c>
      <c r="I58" s="691">
        <v>1.6271569860920345E-2</v>
      </c>
      <c r="J58" s="691">
        <v>1.0253345896512365E-2</v>
      </c>
      <c r="K58" s="3093" t="s">
        <v>2146</v>
      </c>
    </row>
    <row r="59" spans="2:11" ht="18" customHeight="1" x14ac:dyDescent="0.2">
      <c r="B59" s="1241" t="s">
        <v>157</v>
      </c>
      <c r="C59" s="3094">
        <f>IF(SUM(C61,C68,C75,C82,C89,C96,C103,C112)=0,"NO",SUM(C61,C68,C75,C82,C89,C96,C103,C112))</f>
        <v>155192.65375975662</v>
      </c>
      <c r="D59" s="3076" t="s">
        <v>1814</v>
      </c>
      <c r="E59" s="1914"/>
      <c r="F59" s="1914"/>
      <c r="G59" s="1914"/>
      <c r="H59" s="1913">
        <f>IF(SUM(H61,H68,H75,H82,H89,H96,H103,H112)=0,"NO",SUM(H61,H68,H75,H82,H89,H96,H103,H112))</f>
        <v>10528.547784612676</v>
      </c>
      <c r="I59" s="1913">
        <f>IF(SUM(I61,I68,I75,I82,I89,I96,I103,I112)=0,"NO",SUM(I61,I68,I75,I82,I89,I96,I103,I112))</f>
        <v>0.55294785753605347</v>
      </c>
      <c r="J59" s="1913">
        <f>IF(SUM(J61,J68,J75,J82,J89,J96,J103,J112)=0,"NO",SUM(J61,J68,J75,J82,J89,J96,J103,J112))</f>
        <v>0.48178848048105144</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4366.6510686540087</v>
      </c>
      <c r="D61" s="3076" t="s">
        <v>1814</v>
      </c>
      <c r="E61" s="628"/>
      <c r="F61" s="628"/>
      <c r="G61" s="628"/>
      <c r="H61" s="1913">
        <f>IF(SUM(H62:H66)=0,"NO",SUM(H62:H66))</f>
        <v>240.54407202468587</v>
      </c>
      <c r="I61" s="1913">
        <f t="shared" ref="I61:K61" si="22">IF(SUM(I62:I67)=0,"NO",SUM(I62:I67))</f>
        <v>3.2697162079987678E-2</v>
      </c>
      <c r="J61" s="1913">
        <f t="shared" si="22"/>
        <v>5.8073852372759437E-3</v>
      </c>
      <c r="K61" s="3065" t="str">
        <f t="shared" si="22"/>
        <v>NO</v>
      </c>
    </row>
    <row r="62" spans="2:11" ht="18" customHeight="1" x14ac:dyDescent="0.2">
      <c r="B62" s="158" t="s">
        <v>132</v>
      </c>
      <c r="C62" s="691">
        <v>1155.5906946753503</v>
      </c>
      <c r="D62" s="3076" t="s">
        <v>1814</v>
      </c>
      <c r="E62" s="1913">
        <f>IFERROR(H62*1000/$C62,"NA")</f>
        <v>65.306363914915266</v>
      </c>
      <c r="F62" s="1913">
        <f t="shared" ref="F62:G67" si="23">IFERROR(I62*1000000/$C62,"NA")</f>
        <v>25.71022458206232</v>
      </c>
      <c r="G62" s="1913">
        <f t="shared" si="23"/>
        <v>2.7664126732180359</v>
      </c>
      <c r="H62" s="691">
        <v>75.467426443158175</v>
      </c>
      <c r="I62" s="691">
        <v>2.9710496285044664E-2</v>
      </c>
      <c r="J62" s="691">
        <v>3.1968407428027232E-3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3210.8633739786583</v>
      </c>
      <c r="D64" s="3076" t="s">
        <v>1814</v>
      </c>
      <c r="E64" s="1913">
        <f t="shared" si="24"/>
        <v>51.411918339265007</v>
      </c>
      <c r="F64" s="1913">
        <f t="shared" si="23"/>
        <v>0.92999999999999983</v>
      </c>
      <c r="G64" s="1913">
        <f t="shared" si="23"/>
        <v>0.81299999999999994</v>
      </c>
      <c r="H64" s="691">
        <v>165.07664558152771</v>
      </c>
      <c r="I64" s="691">
        <v>2.9861029378001518E-3</v>
      </c>
      <c r="J64" s="691">
        <v>2.6104319230446488E-3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v>0.19699999999999998</v>
      </c>
      <c r="D67" s="3076" t="s">
        <v>1814</v>
      </c>
      <c r="E67" s="1913">
        <f t="shared" si="24"/>
        <v>67.260000000000019</v>
      </c>
      <c r="F67" s="1913">
        <f t="shared" si="23"/>
        <v>2.8571428571428577</v>
      </c>
      <c r="G67" s="1913">
        <f t="shared" si="23"/>
        <v>0.57142857142857151</v>
      </c>
      <c r="H67" s="691">
        <v>1.3250220000000002E-2</v>
      </c>
      <c r="I67" s="691">
        <v>5.6285714285714293E-7</v>
      </c>
      <c r="J67" s="691">
        <v>1.1257142857142857E-7</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113157.20899999994</v>
      </c>
      <c r="D75" s="3077" t="s">
        <v>1814</v>
      </c>
      <c r="E75" s="628"/>
      <c r="F75" s="628"/>
      <c r="G75" s="628"/>
      <c r="H75" s="1913">
        <f>IF(SUM(H76:H80)=0,"NO",SUM(H76:H80))</f>
        <v>7839.5490478020974</v>
      </c>
      <c r="I75" s="1913">
        <f t="shared" ref="I75:K75" si="28">IF(SUM(I76:I81)=0,"NO",SUM(I76:I81))</f>
        <v>0.3847450669746918</v>
      </c>
      <c r="J75" s="1913">
        <f t="shared" si="28"/>
        <v>0.37575669073916323</v>
      </c>
      <c r="K75" s="3065" t="str">
        <f t="shared" si="28"/>
        <v>NO</v>
      </c>
    </row>
    <row r="76" spans="2:11" ht="18" customHeight="1" x14ac:dyDescent="0.2">
      <c r="B76" s="158" t="s">
        <v>132</v>
      </c>
      <c r="C76" s="691">
        <v>104035.80899999995</v>
      </c>
      <c r="D76" s="3077" t="s">
        <v>1814</v>
      </c>
      <c r="E76" s="1913">
        <f>IFERROR(H76*1000/$C76,"NA")</f>
        <v>69.713051276950935</v>
      </c>
      <c r="F76" s="1913">
        <f t="shared" ref="F76:G81" si="29">IFERROR(I76*1000000/$C76,"NA")</f>
        <v>3.5492543417166371</v>
      </c>
      <c r="G76" s="1913">
        <f t="shared" si="29"/>
        <v>3.5367414779099033</v>
      </c>
      <c r="H76" s="691">
        <v>7252.6536874560697</v>
      </c>
      <c r="I76" s="691">
        <v>0.36924954678725258</v>
      </c>
      <c r="J76" s="691">
        <v>0.36794776087821224</v>
      </c>
      <c r="K76" s="3093" t="s">
        <v>2146</v>
      </c>
    </row>
    <row r="77" spans="2:11" ht="18" customHeight="1" x14ac:dyDescent="0.2">
      <c r="B77" s="158" t="s">
        <v>133</v>
      </c>
      <c r="C77" s="691">
        <v>2521.989</v>
      </c>
      <c r="D77" s="3077" t="s">
        <v>1814</v>
      </c>
      <c r="E77" s="1913">
        <f t="shared" ref="E77:E81" si="30">IFERROR(H77*1000/$C77,"NA")</f>
        <v>98.493978179135951</v>
      </c>
      <c r="F77" s="1913">
        <f t="shared" si="29"/>
        <v>0.95238095238095255</v>
      </c>
      <c r="G77" s="1913">
        <f t="shared" si="29"/>
        <v>0.75923809523809527</v>
      </c>
      <c r="H77" s="691">
        <v>248.40072953402091</v>
      </c>
      <c r="I77" s="691">
        <v>2.4018942857142859E-3</v>
      </c>
      <c r="J77" s="691">
        <v>1.9147901245714287E-3</v>
      </c>
      <c r="K77" s="3093" t="s">
        <v>2146</v>
      </c>
    </row>
    <row r="78" spans="2:11" ht="18" customHeight="1" x14ac:dyDescent="0.2">
      <c r="B78" s="158" t="s">
        <v>134</v>
      </c>
      <c r="C78" s="691">
        <v>6583.9719999999998</v>
      </c>
      <c r="D78" s="3077" t="s">
        <v>1814</v>
      </c>
      <c r="E78" s="1913">
        <f t="shared" si="30"/>
        <v>51.411918339265</v>
      </c>
      <c r="F78" s="1913">
        <f t="shared" si="29"/>
        <v>1.9754545454545458</v>
      </c>
      <c r="G78" s="1913">
        <f t="shared" si="29"/>
        <v>0.88481818181818173</v>
      </c>
      <c r="H78" s="691">
        <v>338.49463081200724</v>
      </c>
      <c r="I78" s="691">
        <v>1.3006337414545457E-2</v>
      </c>
      <c r="J78" s="691">
        <v>5.825618134181817E-3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15.439000000000002</v>
      </c>
      <c r="D81" s="3076" t="s">
        <v>1814</v>
      </c>
      <c r="E81" s="1913">
        <f t="shared" si="30"/>
        <v>77.524029352774704</v>
      </c>
      <c r="F81" s="1913">
        <f t="shared" si="29"/>
        <v>5.6537656052521008</v>
      </c>
      <c r="G81" s="1913">
        <f t="shared" si="29"/>
        <v>4.4382150526460382</v>
      </c>
      <c r="H81" s="691">
        <v>1.1968934891774889</v>
      </c>
      <c r="I81" s="691">
        <v>8.728848717948719E-5</v>
      </c>
      <c r="J81" s="691">
        <v>6.8521602197802193E-5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28684.474405165412</v>
      </c>
      <c r="D89" s="3077" t="s">
        <v>1814</v>
      </c>
      <c r="E89" s="628"/>
      <c r="F89" s="628"/>
      <c r="G89" s="628"/>
      <c r="H89" s="1913">
        <f>IF(SUM(H90:H94)=0,"NO",SUM(H90:H94))</f>
        <v>1947.1743442733023</v>
      </c>
      <c r="I89" s="1913">
        <f t="shared" ref="I89:K89" si="36">IF(SUM(I90:I95)=0,"NO",SUM(I90:I95))</f>
        <v>9.5998213167265825E-2</v>
      </c>
      <c r="J89" s="1913">
        <f t="shared" si="36"/>
        <v>9.1701024232910294E-2</v>
      </c>
      <c r="K89" s="3065" t="str">
        <f t="shared" si="36"/>
        <v>NO</v>
      </c>
    </row>
    <row r="90" spans="2:11" ht="18" customHeight="1" x14ac:dyDescent="0.2">
      <c r="B90" s="158" t="s">
        <v>132</v>
      </c>
      <c r="C90" s="691">
        <v>25776.954416922206</v>
      </c>
      <c r="D90" s="3077" t="s">
        <v>1814</v>
      </c>
      <c r="E90" s="1913">
        <f>IFERROR(H90*1000/$C90,"NA")</f>
        <v>69.748350272407009</v>
      </c>
      <c r="F90" s="1913">
        <f t="shared" ref="F90:G95" si="37">IFERROR(I90*1000000/$C90,"NA")</f>
        <v>3.6212122710744832</v>
      </c>
      <c r="G90" s="1913">
        <f t="shared" si="37"/>
        <v>3.4545158488473562</v>
      </c>
      <c r="H90" s="691">
        <v>1797.9000456273591</v>
      </c>
      <c r="I90" s="691">
        <v>9.3343823645486296E-2</v>
      </c>
      <c r="J90" s="691">
        <v>8.9046897568273622E-2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2903.4959882432045</v>
      </c>
      <c r="D92" s="3077" t="s">
        <v>1814</v>
      </c>
      <c r="E92" s="1913">
        <f t="shared" si="38"/>
        <v>51.411918339264993</v>
      </c>
      <c r="F92" s="1913">
        <f t="shared" si="37"/>
        <v>0.90909090909090917</v>
      </c>
      <c r="G92" s="1913">
        <f t="shared" si="37"/>
        <v>0.90909090909090917</v>
      </c>
      <c r="H92" s="691">
        <v>149.27429864594313</v>
      </c>
      <c r="I92" s="691">
        <v>2.6395418074938223E-3</v>
      </c>
      <c r="J92" s="691">
        <v>2.6395418074938223E-3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v>4.024</v>
      </c>
      <c r="D95" s="3076" t="s">
        <v>1814</v>
      </c>
      <c r="E95" s="1913">
        <f t="shared" si="38"/>
        <v>68.085385845102522</v>
      </c>
      <c r="F95" s="1913">
        <f t="shared" si="37"/>
        <v>3.6897898324339673</v>
      </c>
      <c r="G95" s="1913">
        <f t="shared" si="37"/>
        <v>3.6244674808293098</v>
      </c>
      <c r="H95" s="691">
        <v>0.27397559264069254</v>
      </c>
      <c r="I95" s="691">
        <v>1.4847714285714284E-5</v>
      </c>
      <c r="J95" s="691">
        <v>1.4584857142857142E-5</v>
      </c>
      <c r="K95" s="3093" t="s">
        <v>2146</v>
      </c>
    </row>
    <row r="96" spans="2:11" ht="18" customHeight="1" x14ac:dyDescent="0.2">
      <c r="B96" s="1242" t="s">
        <v>165</v>
      </c>
      <c r="C96" s="1913">
        <f>IF(SUM(C97:C102)=0,"NO",SUM(C97:C102))</f>
        <v>6284.0816558434099</v>
      </c>
      <c r="D96" s="3076" t="s">
        <v>1814</v>
      </c>
      <c r="E96" s="628"/>
      <c r="F96" s="628"/>
      <c r="G96" s="628"/>
      <c r="H96" s="1913">
        <f>IF(SUM(H97:H101)=0,"NO",SUM(H97:H101))</f>
        <v>353.76211055515779</v>
      </c>
      <c r="I96" s="1913">
        <f t="shared" ref="I96:K96" si="42">IF(SUM(I97:I102)=0,"NO",SUM(I97:I102))</f>
        <v>5.679299927113037E-3</v>
      </c>
      <c r="J96" s="1913">
        <f t="shared" si="42"/>
        <v>5.4758025890709579E-3</v>
      </c>
      <c r="K96" s="3065" t="str">
        <f t="shared" si="42"/>
        <v>NO</v>
      </c>
    </row>
    <row r="97" spans="2:11" ht="18" customHeight="1" x14ac:dyDescent="0.2">
      <c r="B97" s="158" t="s">
        <v>132</v>
      </c>
      <c r="C97" s="691">
        <v>833.80681390772008</v>
      </c>
      <c r="D97" s="3076" t="s">
        <v>1814</v>
      </c>
      <c r="E97" s="1913">
        <f>IFERROR(H97*1000/$C97,"NA")</f>
        <v>67.584055904652089</v>
      </c>
      <c r="F97" s="1913">
        <f t="shared" ref="F97:G102" si="43">IFERROR(I97*1000000/$C97,"NA")</f>
        <v>0.80211771484908978</v>
      </c>
      <c r="G97" s="1913">
        <f t="shared" si="43"/>
        <v>1.1429490456969442</v>
      </c>
      <c r="H97" s="691">
        <v>56.352046324819199</v>
      </c>
      <c r="I97" s="691">
        <v>6.6881121619726067E-4</v>
      </c>
      <c r="J97" s="691">
        <v>9.5299870225143825E-4</v>
      </c>
      <c r="K97" s="3093" t="s">
        <v>2146</v>
      </c>
    </row>
    <row r="98" spans="2:11" ht="18" customHeight="1" x14ac:dyDescent="0.2">
      <c r="B98" s="158" t="s">
        <v>133</v>
      </c>
      <c r="C98" s="691">
        <v>445.75885584105583</v>
      </c>
      <c r="D98" s="3076" t="s">
        <v>1814</v>
      </c>
      <c r="E98" s="1913">
        <f t="shared" ref="E98:E102" si="44">IFERROR(H98*1000/$C98,"NA")</f>
        <v>90.000000000000014</v>
      </c>
      <c r="F98" s="1913">
        <f t="shared" si="43"/>
        <v>0.95238095238095233</v>
      </c>
      <c r="G98" s="1913">
        <f t="shared" si="43"/>
        <v>0.66666666666666663</v>
      </c>
      <c r="H98" s="691">
        <v>40.118297025695028</v>
      </c>
      <c r="I98" s="691">
        <v>4.2453224365814838E-4</v>
      </c>
      <c r="J98" s="691">
        <v>2.9717257056070389E-4</v>
      </c>
      <c r="K98" s="3093" t="s">
        <v>2146</v>
      </c>
    </row>
    <row r="99" spans="2:11" ht="18" customHeight="1" x14ac:dyDescent="0.2">
      <c r="B99" s="158" t="s">
        <v>134</v>
      </c>
      <c r="C99" s="691">
        <v>5004.5159860946342</v>
      </c>
      <c r="D99" s="3076" t="s">
        <v>1814</v>
      </c>
      <c r="E99" s="1913">
        <f t="shared" si="44"/>
        <v>51.411918339265</v>
      </c>
      <c r="F99" s="1913">
        <f t="shared" si="43"/>
        <v>0.91636363636363627</v>
      </c>
      <c r="G99" s="1913">
        <f t="shared" si="43"/>
        <v>0.84436363636363654</v>
      </c>
      <c r="H99" s="691">
        <v>257.29176720464358</v>
      </c>
      <c r="I99" s="691">
        <v>4.585956467257628E-3</v>
      </c>
      <c r="J99" s="691">
        <v>4.2256313162588157E-3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2700.2376300938508</v>
      </c>
      <c r="D112" s="3076" t="s">
        <v>1814</v>
      </c>
      <c r="E112" s="628"/>
      <c r="F112" s="628"/>
      <c r="G112" s="628"/>
      <c r="H112" s="1913">
        <f>H113</f>
        <v>147.51820995743356</v>
      </c>
      <c r="I112" s="1913">
        <f>I113</f>
        <v>3.3828115386995143E-2</v>
      </c>
      <c r="J112" s="1913">
        <f>J113</f>
        <v>3.0475776826310737E-3</v>
      </c>
      <c r="K112" s="3065" t="str">
        <f>K113</f>
        <v>NO</v>
      </c>
    </row>
    <row r="113" spans="2:11" ht="18" customHeight="1" x14ac:dyDescent="0.2">
      <c r="B113" s="3090" t="s">
        <v>2259</v>
      </c>
      <c r="C113" s="3099">
        <f>IF(SUM(C114:C119)=0,"NO",SUM(C114:C119))</f>
        <v>2700.2376300938508</v>
      </c>
      <c r="D113" s="3099" t="s">
        <v>1814</v>
      </c>
      <c r="E113" s="628"/>
      <c r="F113" s="628"/>
      <c r="G113" s="628"/>
      <c r="H113" s="3099">
        <f>IF(SUM(H114:H118)=0,"NO",SUM(H114:H118))</f>
        <v>147.51820995743356</v>
      </c>
      <c r="I113" s="3099">
        <f t="shared" ref="I113" si="51">IF(SUM(I114:I119)=0,"NO",SUM(I114:I119))</f>
        <v>3.3828115386995143E-2</v>
      </c>
      <c r="J113" s="3099">
        <f t="shared" ref="J113" si="52">IF(SUM(J114:J119)=0,"NO",SUM(J114:J119))</f>
        <v>3.0475776826310737E-3</v>
      </c>
      <c r="K113" s="3100" t="str">
        <f t="shared" ref="K113" si="53">IF(SUM(K114:K119)=0,"NO",SUM(K114:K119))</f>
        <v>NO</v>
      </c>
    </row>
    <row r="114" spans="2:11" ht="18" customHeight="1" x14ac:dyDescent="0.2">
      <c r="B114" s="158" t="s">
        <v>132</v>
      </c>
      <c r="C114" s="691">
        <v>833.03406840464959</v>
      </c>
      <c r="D114" s="3076" t="s">
        <v>1814</v>
      </c>
      <c r="E114" s="1913">
        <f>IFERROR(H114*1000/$C114,"NA")</f>
        <v>61.811036361715253</v>
      </c>
      <c r="F114" s="1913">
        <f t="shared" ref="F114:G119" si="54">IFERROR(I114*1000000/$C114,"NA")</f>
        <v>38.564686062829921</v>
      </c>
      <c r="G114" s="1913">
        <f t="shared" si="54"/>
        <v>1.6320050487847459</v>
      </c>
      <c r="H114" s="691">
        <v>51.490699092707388</v>
      </c>
      <c r="I114" s="691">
        <v>3.2125697327667298E-2</v>
      </c>
      <c r="J114" s="691">
        <v>1.3595158054460856E-3</v>
      </c>
      <c r="K114" s="3093" t="s">
        <v>2146</v>
      </c>
    </row>
    <row r="115" spans="2:11" ht="18" customHeight="1" x14ac:dyDescent="0.2">
      <c r="B115" s="158" t="s">
        <v>133</v>
      </c>
      <c r="C115" s="691">
        <v>1.627</v>
      </c>
      <c r="D115" s="3076" t="s">
        <v>1814</v>
      </c>
      <c r="E115" s="1913">
        <f t="shared" ref="E115:E119" si="55">IFERROR(H115*1000/$C115,"NA")</f>
        <v>69.7</v>
      </c>
      <c r="F115" s="1913">
        <f t="shared" si="54"/>
        <v>2.8571428571428572</v>
      </c>
      <c r="G115" s="1913">
        <f t="shared" si="54"/>
        <v>0.5714285714285714</v>
      </c>
      <c r="H115" s="691">
        <v>0.11340190000000001</v>
      </c>
      <c r="I115" s="691">
        <v>4.6485714285714287E-6</v>
      </c>
      <c r="J115" s="691">
        <v>9.2971428571428564E-7</v>
      </c>
      <c r="K115" s="3093" t="s">
        <v>2146</v>
      </c>
    </row>
    <row r="116" spans="2:11" ht="18" customHeight="1" x14ac:dyDescent="0.2">
      <c r="B116" s="158" t="s">
        <v>134</v>
      </c>
      <c r="C116" s="691">
        <v>1865.5765616892013</v>
      </c>
      <c r="D116" s="3076" t="s">
        <v>1814</v>
      </c>
      <c r="E116" s="1913">
        <f t="shared" si="55"/>
        <v>51.412582541174267</v>
      </c>
      <c r="F116" s="1913">
        <f t="shared" si="54"/>
        <v>0.91005082437464524</v>
      </c>
      <c r="G116" s="1913">
        <f t="shared" si="54"/>
        <v>0.90434892758925223</v>
      </c>
      <c r="H116" s="691">
        <v>95.914108964726154</v>
      </c>
      <c r="I116" s="691">
        <v>1.6977694878992737E-3</v>
      </c>
      <c r="J116" s="691">
        <v>1.6871321628992738E-3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4824.4853481170694</v>
      </c>
      <c r="D10" s="4413">
        <f t="shared" ref="D10:F10" si="0">SUM(D11:D16)</f>
        <v>25996.632130730773</v>
      </c>
      <c r="E10" s="4413">
        <f t="shared" si="0"/>
        <v>1896.1741189821282</v>
      </c>
      <c r="F10" s="4413">
        <f t="shared" si="0"/>
        <v>3433.3010099245766</v>
      </c>
      <c r="G10" s="4414" t="s">
        <v>2146</v>
      </c>
      <c r="H10" s="4415" t="s">
        <v>2312</v>
      </c>
      <c r="I10" s="4416" t="s">
        <v>2313</v>
      </c>
    </row>
    <row r="11" spans="2:9" ht="18" customHeight="1" x14ac:dyDescent="0.2">
      <c r="B11" s="1558" t="s">
        <v>1476</v>
      </c>
      <c r="C11" s="4417">
        <f>Table1!D10</f>
        <v>1419.7758512521239</v>
      </c>
      <c r="D11" s="4418">
        <f>Table1!G10</f>
        <v>2375.6000119138471</v>
      </c>
      <c r="E11" s="4418">
        <f>Table1!H10</f>
        <v>758.00455032063155</v>
      </c>
      <c r="F11" s="4418">
        <f>Table1!F10</f>
        <v>2518.1989054240717</v>
      </c>
      <c r="G11" s="4419" t="s">
        <v>2146</v>
      </c>
      <c r="H11" s="4420" t="s">
        <v>2154</v>
      </c>
      <c r="I11" s="4421" t="s">
        <v>2154</v>
      </c>
    </row>
    <row r="12" spans="2:9" ht="18" customHeight="1" x14ac:dyDescent="0.2">
      <c r="B12" s="2393" t="s">
        <v>1551</v>
      </c>
      <c r="C12" s="4422">
        <f>'Table2(I)'!D10</f>
        <v>2.7469845446239813</v>
      </c>
      <c r="D12" s="4388">
        <f>'Table2(I)'!L10</f>
        <v>15.714496325144697</v>
      </c>
      <c r="E12" s="4388">
        <f>'Table2(I)'!M10</f>
        <v>240.72054056939055</v>
      </c>
      <c r="F12" s="4388">
        <f>'Table2(I)'!K10</f>
        <v>6.5713082321206127</v>
      </c>
      <c r="G12" s="4423" t="s">
        <v>2146</v>
      </c>
      <c r="H12" s="4424" t="s">
        <v>2146</v>
      </c>
      <c r="I12" s="4425" t="s">
        <v>2146</v>
      </c>
    </row>
    <row r="13" spans="2:9" ht="18" customHeight="1" x14ac:dyDescent="0.2">
      <c r="B13" s="2393" t="s">
        <v>1552</v>
      </c>
      <c r="C13" s="4422">
        <f>Table3!D10</f>
        <v>2296.3539998167125</v>
      </c>
      <c r="D13" s="4388">
        <f>Table3!G10</f>
        <v>329.99325058892867</v>
      </c>
      <c r="E13" s="4388">
        <f>Table3!H10</f>
        <v>19.249606284354172</v>
      </c>
      <c r="F13" s="4388">
        <f>Table3!F10</f>
        <v>20.488964480289933</v>
      </c>
      <c r="G13" s="4426"/>
      <c r="H13" s="4424" t="s">
        <v>2154</v>
      </c>
      <c r="I13" s="4425" t="s">
        <v>2153</v>
      </c>
    </row>
    <row r="14" spans="2:9" ht="18" customHeight="1" x14ac:dyDescent="0.2">
      <c r="B14" s="2393" t="s">
        <v>1553</v>
      </c>
      <c r="C14" s="4422">
        <f>Table4!D10</f>
        <v>664.5182190195394</v>
      </c>
      <c r="D14" s="4388">
        <f>Table4!G10</f>
        <v>23275.324371902854</v>
      </c>
      <c r="E14" s="4423">
        <f>Table4!H10</f>
        <v>613.17859816059695</v>
      </c>
      <c r="F14" s="4423">
        <f>Table4!F10</f>
        <v>888.04183178809456</v>
      </c>
      <c r="G14" s="4426"/>
      <c r="H14" s="4427" t="s">
        <v>2154</v>
      </c>
      <c r="I14" s="4425" t="s">
        <v>2154</v>
      </c>
    </row>
    <row r="15" spans="2:9" ht="18" customHeight="1" x14ac:dyDescent="0.2">
      <c r="B15" s="2393" t="s">
        <v>1554</v>
      </c>
      <c r="C15" s="4422">
        <f>Table5!D10</f>
        <v>441.09029348406978</v>
      </c>
      <c r="D15" s="4388" t="str">
        <f>Table5!G10</f>
        <v>NO</v>
      </c>
      <c r="E15" s="4423">
        <f>Table5!H10</f>
        <v>265.02082364715477</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2015</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380416.82783284789</v>
      </c>
      <c r="D10" s="4193">
        <f>SUM(D11,D22,D30,D41,D50,D56)</f>
        <v>375219.56430851866</v>
      </c>
      <c r="E10" s="3840">
        <f>IF(D10="NO",IF(C10="NO","NA",-C10),IF(C10="NO",D10,D10-C10))</f>
        <v>-5197.2635243292316</v>
      </c>
      <c r="F10" s="3838">
        <f>IF(E10="NA","NA",E10/C10*100)</f>
        <v>-1.366202319160515</v>
      </c>
      <c r="G10" s="3841">
        <f>IF(E10="NA","NA",E10/Table8s2!$G$35*100)</f>
        <v>-0.95497238197175327</v>
      </c>
      <c r="H10" s="3842">
        <f>IF(E10="NA","NA",E10/Table8s2!$G$34*100)</f>
        <v>-0.96083311257786597</v>
      </c>
      <c r="I10" s="4194">
        <f>SUM(I11,I22,I30,I41,I50,I56)</f>
        <v>138324.95159708007</v>
      </c>
      <c r="J10" s="4193">
        <f>SUM(J11,J22,J30,J41,J50,J56)</f>
        <v>135085.58974727796</v>
      </c>
      <c r="K10" s="3840">
        <f t="shared" ref="K10:K12" si="0">IF(J10="NO",IF(I10="NO","NA",-I10),IF(I10="NO",J10,J10-I10))</f>
        <v>-3239.3618498021096</v>
      </c>
      <c r="L10" s="3838">
        <f t="shared" ref="L10:L12" si="1">IF(K10="NA","NA",K10/I10*100)</f>
        <v>-2.3418492559736341</v>
      </c>
      <c r="M10" s="3841">
        <f>IF(K10="NA","NA",K10/Table8s2!$G$35*100)</f>
        <v>-0.59521728834660137</v>
      </c>
      <c r="N10" s="3842">
        <f>IF(K10="NA","NA",K10/Table8s2!$G$34*100)</f>
        <v>-0.59887017741957926</v>
      </c>
      <c r="O10" s="4194">
        <f>SUM(O11,O22,O30,O41,O50,O56)</f>
        <v>21137.920868513629</v>
      </c>
      <c r="P10" s="4193">
        <f>SUM(P11,P22,P30,P41,P50,P56)</f>
        <v>20989.783495448588</v>
      </c>
      <c r="Q10" s="3840">
        <f t="shared" ref="Q10:Q12" si="2">IF(P10="NO",IF(O10="NO","NA",-O10),IF(O10="NO",P10,P10-O10))</f>
        <v>-148.13737306504117</v>
      </c>
      <c r="R10" s="3838">
        <f t="shared" ref="R10:R12" si="3">IF(Q10="NA","NA",Q10/O10*100)</f>
        <v>-0.70081335807109524</v>
      </c>
      <c r="S10" s="3841">
        <f>IF(Q10="NA","NA",Q10/Table8s2!$G$35*100)</f>
        <v>-2.7219535694645892E-2</v>
      </c>
      <c r="T10" s="3842">
        <f>IF(Q10="NA","NA",Q10/Table8s2!$G$34*100)</f>
        <v>-2.7386583840687994E-2</v>
      </c>
    </row>
    <row r="11" spans="2:20" ht="18" customHeight="1" x14ac:dyDescent="0.2">
      <c r="B11" s="1405" t="s">
        <v>1476</v>
      </c>
      <c r="C11" s="3839">
        <f>SUM(C12,C18,C21)</f>
        <v>379924.89707979449</v>
      </c>
      <c r="D11" s="3839">
        <f>Summary2!C11</f>
        <v>379417.86501432775</v>
      </c>
      <c r="E11" s="3843">
        <f t="shared" ref="E11:E38" si="4">IF(D11="NO",IF(C11="NO","NA",-C11),IF(C11="NO",D11,D11-C11))</f>
        <v>-507.03206546674483</v>
      </c>
      <c r="F11" s="3839">
        <f t="shared" ref="F11:F38" si="5">IF(E11="NA","NA",E11/C11*100)</f>
        <v>-0.13345586703159765</v>
      </c>
      <c r="G11" s="3844">
        <f>IF(E11="NA","NA",E11/Table8s2!$G$35*100)</f>
        <v>-9.3164723518099318E-2</v>
      </c>
      <c r="H11" s="3845">
        <f>IF(E11="NA","NA",E11/Table8s2!$G$34*100)</f>
        <v>-9.3736481777123709E-2</v>
      </c>
      <c r="I11" s="3846">
        <f>SUM(I12,I18,I21)</f>
        <v>39753.019007440482</v>
      </c>
      <c r="J11" s="3839">
        <f>Summary2!D11</f>
        <v>39753.723835059471</v>
      </c>
      <c r="K11" s="3843">
        <f t="shared" si="0"/>
        <v>0.70482761898892932</v>
      </c>
      <c r="L11" s="3839">
        <f t="shared" si="1"/>
        <v>1.7730165823556907E-3</v>
      </c>
      <c r="M11" s="3844">
        <f>IF(K11="NA","NA",K11/Table8s2!$G$35*100)</f>
        <v>1.2950871300531323E-4</v>
      </c>
      <c r="N11" s="3845">
        <f>IF(K11="NA","NA",K11/Table8s2!$G$34*100)</f>
        <v>1.303035168052947E-4</v>
      </c>
      <c r="O11" s="3846">
        <f>SUM(O12,O18,O21)</f>
        <v>2921.1277075838561</v>
      </c>
      <c r="P11" s="3839">
        <f>Summary2!E11</f>
        <v>2918.5925950082924</v>
      </c>
      <c r="Q11" s="3843">
        <f t="shared" si="2"/>
        <v>-2.535112575563744</v>
      </c>
      <c r="R11" s="3839">
        <f t="shared" si="3"/>
        <v>-8.6785407189903532E-2</v>
      </c>
      <c r="S11" s="3844">
        <f>IF(Q11="NA","NA",Q11/Table8s2!$G$35*100)</f>
        <v>-4.658148434305357E-4</v>
      </c>
      <c r="T11" s="3845">
        <f>IF(Q11="NA","NA",Q11/Table8s2!$G$34*100)</f>
        <v>-4.6867358087803991E-4</v>
      </c>
    </row>
    <row r="12" spans="2:20" ht="18" customHeight="1" x14ac:dyDescent="0.2">
      <c r="B12" s="620" t="s">
        <v>131</v>
      </c>
      <c r="C12" s="3839">
        <f>SUM(C13:C17)</f>
        <v>369097.04292479443</v>
      </c>
      <c r="D12" s="3839">
        <f>Summary2!C12</f>
        <v>368590.01085932768</v>
      </c>
      <c r="E12" s="3839">
        <f t="shared" si="4"/>
        <v>-507.03206546674483</v>
      </c>
      <c r="F12" s="3847">
        <f t="shared" si="5"/>
        <v>-0.13737093677286802</v>
      </c>
      <c r="G12" s="3844">
        <f>IF(E12="NA","NA",E12/Table8s2!$G$35*100)</f>
        <v>-9.3164723518099318E-2</v>
      </c>
      <c r="H12" s="3845">
        <f>IF(E12="NA","NA",E12/Table8s2!$G$34*100)</f>
        <v>-9.3736481777123709E-2</v>
      </c>
      <c r="I12" s="3846">
        <f>SUM(I13:I17)</f>
        <v>2350.4770003704166</v>
      </c>
      <c r="J12" s="3839">
        <f>Summary2!D12</f>
        <v>2350.8120781138045</v>
      </c>
      <c r="K12" s="3839">
        <f t="shared" si="0"/>
        <v>0.33507774338795571</v>
      </c>
      <c r="L12" s="3847">
        <f t="shared" si="1"/>
        <v>1.4255733765322959E-2</v>
      </c>
      <c r="M12" s="3844">
        <f>IF(K12="NA","NA",K12/Table8s2!$G$35*100)</f>
        <v>6.1568937047542632E-5</v>
      </c>
      <c r="N12" s="3845">
        <f>IF(K12="NA","NA",K12/Table8s2!$G$34*100)</f>
        <v>6.1946789811195672E-5</v>
      </c>
      <c r="O12" s="3848">
        <f>SUM(O13:O17)</f>
        <v>2878.5825195710268</v>
      </c>
      <c r="P12" s="3847">
        <f>Summary2!E12</f>
        <v>2876.047406995463</v>
      </c>
      <c r="Q12" s="3839">
        <f t="shared" si="2"/>
        <v>-2.535112575563744</v>
      </c>
      <c r="R12" s="3847">
        <f t="shared" si="3"/>
        <v>-8.8068087620483876E-2</v>
      </c>
      <c r="S12" s="3844">
        <f>IF(Q12="NA","NA",Q12/Table8s2!$G$35*100)</f>
        <v>-4.658148434305357E-4</v>
      </c>
      <c r="T12" s="3845">
        <f>IF(Q12="NA","NA",Q12/Table8s2!$G$34*100)</f>
        <v>-4.6867358087803991E-4</v>
      </c>
    </row>
    <row r="13" spans="2:20" ht="18" customHeight="1" x14ac:dyDescent="0.2">
      <c r="B13" s="1392" t="s">
        <v>1478</v>
      </c>
      <c r="C13" s="3847">
        <v>210371.28170512844</v>
      </c>
      <c r="D13" s="3839">
        <f>Summary2!C13</f>
        <v>210657.41379242556</v>
      </c>
      <c r="E13" s="3839">
        <f t="shared" si="4"/>
        <v>286.13208729712642</v>
      </c>
      <c r="F13" s="3847">
        <f t="shared" si="5"/>
        <v>0.13601290298653493</v>
      </c>
      <c r="G13" s="3844">
        <f>IF(E13="NA","NA",E13/Table8s2!$G$35*100)</f>
        <v>5.2575406208587902E-2</v>
      </c>
      <c r="H13" s="3845">
        <f>IF(E13="NA","NA",E13/Table8s2!$G$34*100)</f>
        <v>5.2898065060416971E-2</v>
      </c>
      <c r="I13" s="3846">
        <v>814.56000237082969</v>
      </c>
      <c r="J13" s="3839">
        <f>Summary2!D13</f>
        <v>814.87357382905475</v>
      </c>
      <c r="K13" s="3839">
        <f t="shared" ref="K13" si="6">IF(J13="NO",IF(I13="NO","NA",-I13),IF(I13="NO",J13,J13-I13))</f>
        <v>0.31357145822505572</v>
      </c>
      <c r="L13" s="3847">
        <f t="shared" ref="L13" si="7">IF(K13="NA","NA",K13/I13*100)</f>
        <v>3.8495808450253591E-2</v>
      </c>
      <c r="M13" s="3844">
        <f>IF(K13="NA","NA",K13/Table8s2!$G$35*100)</f>
        <v>5.7617259732502298E-5</v>
      </c>
      <c r="N13" s="3845">
        <f>IF(K13="NA","NA",K13/Table8s2!$G$34*100)</f>
        <v>5.7970860783097499E-5</v>
      </c>
      <c r="O13" s="3848">
        <v>839.27629141296916</v>
      </c>
      <c r="P13" s="3847">
        <f>Summary2!E13</f>
        <v>840.2179692706635</v>
      </c>
      <c r="Q13" s="3839">
        <f t="shared" ref="Q13" si="8">IF(P13="NO",IF(O13="NO","NA",-O13),IF(O13="NO",P13,P13-O13))</f>
        <v>0.94167785769434431</v>
      </c>
      <c r="R13" s="3847">
        <f t="shared" ref="R13" si="9">IF(Q13="NA","NA",Q13/O13*100)</f>
        <v>0.11220117467025982</v>
      </c>
      <c r="S13" s="3844">
        <f>IF(Q13="NA","NA",Q13/Table8s2!$G$35*100)</f>
        <v>1.7302881460652661E-4</v>
      </c>
      <c r="T13" s="3845">
        <f>IF(Q13="NA","NA",Q13/Table8s2!$G$34*100)</f>
        <v>1.7409070423668541E-4</v>
      </c>
    </row>
    <row r="14" spans="2:20" ht="18" customHeight="1" x14ac:dyDescent="0.2">
      <c r="B14" s="1392" t="s">
        <v>1517</v>
      </c>
      <c r="C14" s="3847">
        <v>42279.340220573038</v>
      </c>
      <c r="D14" s="3839">
        <f>Summary2!C14</f>
        <v>42279.340220573016</v>
      </c>
      <c r="E14" s="3839">
        <f t="shared" si="4"/>
        <v>-2.1827872842550278E-11</v>
      </c>
      <c r="F14" s="3847">
        <f t="shared" si="5"/>
        <v>-5.1627751825533166E-14</v>
      </c>
      <c r="G14" s="3844">
        <f>IF(E14="NA","NA",E14/Table8s2!$G$35*100)</f>
        <v>-4.0107675172228412E-15</v>
      </c>
      <c r="H14" s="3845">
        <f>IF(E14="NA","NA",E14/Table8s2!$G$34*100)</f>
        <v>-4.0353818708794957E-15</v>
      </c>
      <c r="I14" s="3846">
        <v>69.643930492749575</v>
      </c>
      <c r="J14" s="3839">
        <f>Summary2!D14</f>
        <v>69.643930492749575</v>
      </c>
      <c r="K14" s="3839">
        <f t="shared" ref="K14:K20" si="10">IF(J14="NO",IF(I14="NO","NA",-I14),IF(I14="NO",J14,J14-I14))</f>
        <v>0</v>
      </c>
      <c r="L14" s="3847">
        <f t="shared" ref="L14:L20" si="11">IF(K14="NA","NA",K14/I14*100)</f>
        <v>0</v>
      </c>
      <c r="M14" s="3844">
        <f>IF(K14="NA","NA",K14/Table8s2!$G$35*100)</f>
        <v>0</v>
      </c>
      <c r="N14" s="3845">
        <f>IF(K14="NA","NA",K14/Table8s2!$G$34*100)</f>
        <v>0</v>
      </c>
      <c r="O14" s="3848">
        <v>394.95231448813757</v>
      </c>
      <c r="P14" s="3847">
        <f>Summary2!E14</f>
        <v>394.95231448813769</v>
      </c>
      <c r="Q14" s="3839">
        <f t="shared" ref="Q14:Q20" si="12">IF(P14="NO",IF(O14="NO","NA",-O14),IF(O14="NO",P14,P14-O14))</f>
        <v>1.1368683772161603E-13</v>
      </c>
      <c r="R14" s="3847">
        <f t="shared" ref="R14:R20" si="13">IF(Q14="NA","NA",Q14/O14*100)</f>
        <v>2.8784952904746336E-14</v>
      </c>
      <c r="S14" s="3844">
        <f>IF(Q14="NA","NA",Q14/Table8s2!$G$35*100)</f>
        <v>2.0889414152202298E-17</v>
      </c>
      <c r="T14" s="3845">
        <f>IF(Q14="NA","NA",Q14/Table8s2!$G$34*100)</f>
        <v>2.1017613910830708E-17</v>
      </c>
    </row>
    <row r="15" spans="2:20" ht="18" customHeight="1" x14ac:dyDescent="0.2">
      <c r="B15" s="1392" t="s">
        <v>1480</v>
      </c>
      <c r="C15" s="3847">
        <v>93379.091108336506</v>
      </c>
      <c r="D15" s="3839">
        <f>Summary2!C15</f>
        <v>93380.354578501909</v>
      </c>
      <c r="E15" s="3839">
        <f t="shared" si="4"/>
        <v>1.2634701654023957</v>
      </c>
      <c r="F15" s="3847">
        <f t="shared" si="5"/>
        <v>1.3530546832336838E-3</v>
      </c>
      <c r="G15" s="3844">
        <f>IF(E15="NA","NA",E15/Table8s2!$G$35*100)</f>
        <v>2.3215661621858868E-4</v>
      </c>
      <c r="H15" s="3845">
        <f>IF(E15="NA","NA",E15/Table8s2!$G$34*100)</f>
        <v>2.3358137719782721E-4</v>
      </c>
      <c r="I15" s="3846">
        <v>424.70768486766116</v>
      </c>
      <c r="J15" s="3839">
        <f>Summary2!D15</f>
        <v>425.1301700939436</v>
      </c>
      <c r="K15" s="3839">
        <f t="shared" si="10"/>
        <v>0.422485226282447</v>
      </c>
      <c r="L15" s="3847">
        <f t="shared" si="11"/>
        <v>9.9476708648230217E-2</v>
      </c>
      <c r="M15" s="3844">
        <f>IF(K15="NA","NA",K15/Table8s2!$G$35*100)</f>
        <v>7.7629645101148713E-5</v>
      </c>
      <c r="N15" s="3845">
        <f>IF(K15="NA","NA",K15/Table8s2!$G$34*100)</f>
        <v>7.8106063524942902E-5</v>
      </c>
      <c r="O15" s="3848">
        <v>1450.8064115013981</v>
      </c>
      <c r="P15" s="3847">
        <f>Summary2!E15</f>
        <v>1450.5759652042168</v>
      </c>
      <c r="Q15" s="3839">
        <f t="shared" si="12"/>
        <v>-0.23044629718128817</v>
      </c>
      <c r="R15" s="3847">
        <f t="shared" si="13"/>
        <v>-1.5884014252653178E-2</v>
      </c>
      <c r="S15" s="3844">
        <f>IF(Q15="NA","NA",Q15/Table8s2!$G$35*100)</f>
        <v>-4.2343407892557828E-5</v>
      </c>
      <c r="T15" s="3845">
        <f>IF(Q15="NA","NA",Q15/Table8s2!$G$34*100)</f>
        <v>-4.2603272273233052E-5</v>
      </c>
    </row>
    <row r="16" spans="2:20" ht="18" customHeight="1" x14ac:dyDescent="0.2">
      <c r="B16" s="1392" t="s">
        <v>1481</v>
      </c>
      <c r="C16" s="3847">
        <v>22130.01180077656</v>
      </c>
      <c r="D16" s="3839">
        <f>Summary2!C16</f>
        <v>21335.584177847282</v>
      </c>
      <c r="E16" s="3839">
        <f t="shared" si="4"/>
        <v>-794.42762292927728</v>
      </c>
      <c r="F16" s="3847">
        <f t="shared" si="5"/>
        <v>-3.589820150486319</v>
      </c>
      <c r="G16" s="3844">
        <f>IF(E16="NA","NA",E16/Table8s2!$G$35*100)</f>
        <v>-0.14597228634290646</v>
      </c>
      <c r="H16" s="3845">
        <f>IF(E16="NA","NA",E16/Table8s2!$G$34*100)</f>
        <v>-0.14686812821473916</v>
      </c>
      <c r="I16" s="3846">
        <v>1040.8022819356918</v>
      </c>
      <c r="J16" s="3839">
        <f>Summary2!D16</f>
        <v>1040.4013029945722</v>
      </c>
      <c r="K16" s="3839">
        <f t="shared" si="10"/>
        <v>-0.40097894111954702</v>
      </c>
      <c r="L16" s="3847">
        <f t="shared" si="11"/>
        <v>-3.8525947538643308E-2</v>
      </c>
      <c r="M16" s="3844">
        <f>IF(K16="NA","NA",K16/Table8s2!$G$35*100)</f>
        <v>-7.3677967786108379E-5</v>
      </c>
      <c r="N16" s="3845">
        <f>IF(K16="NA","NA",K16/Table8s2!$G$34*100)</f>
        <v>-7.4130134496844743E-5</v>
      </c>
      <c r="O16" s="3848">
        <v>186.64058152099631</v>
      </c>
      <c r="P16" s="3847">
        <f>Summary2!E16</f>
        <v>183.39423738491917</v>
      </c>
      <c r="Q16" s="3839">
        <f t="shared" si="12"/>
        <v>-3.2463441360771412</v>
      </c>
      <c r="R16" s="3847">
        <f t="shared" si="13"/>
        <v>-1.7393559908684388</v>
      </c>
      <c r="S16" s="3844">
        <f>IF(Q16="NA","NA",Q16/Table8s2!$G$35*100)</f>
        <v>-5.9650025014456719E-4</v>
      </c>
      <c r="T16" s="3845">
        <f>IF(Q16="NA","NA",Q16/Table8s2!$G$34*100)</f>
        <v>-6.0016101284155528E-4</v>
      </c>
    </row>
    <row r="17" spans="2:20" ht="18" customHeight="1" x14ac:dyDescent="0.2">
      <c r="B17" s="1392" t="s">
        <v>1482</v>
      </c>
      <c r="C17" s="3847">
        <v>937.3180899798964</v>
      </c>
      <c r="D17" s="3839">
        <f>Summary2!C17</f>
        <v>937.31808997989651</v>
      </c>
      <c r="E17" s="3839">
        <f t="shared" si="4"/>
        <v>1.1368683772161603E-13</v>
      </c>
      <c r="F17" s="3847">
        <f t="shared" si="5"/>
        <v>1.2128949492914873E-14</v>
      </c>
      <c r="G17" s="3844">
        <f>IF(E17="NA","NA",E17/Table8s2!$G$35*100)</f>
        <v>2.0889414152202298E-17</v>
      </c>
      <c r="H17" s="3845">
        <f>IF(E17="NA","NA",E17/Table8s2!$G$34*100)</f>
        <v>2.1017613910830708E-17</v>
      </c>
      <c r="I17" s="3846">
        <v>0.76310070348461168</v>
      </c>
      <c r="J17" s="3839">
        <f>Summary2!D17</f>
        <v>0.76310070348461156</v>
      </c>
      <c r="K17" s="3839">
        <f t="shared" si="10"/>
        <v>-1.1102230246251565E-16</v>
      </c>
      <c r="L17" s="3847">
        <f t="shared" si="11"/>
        <v>-1.4548840271741995E-14</v>
      </c>
      <c r="M17" s="3844">
        <f>IF(K17="NA","NA",K17/Table8s2!$G$35*100)</f>
        <v>-2.0399818508010056E-20</v>
      </c>
      <c r="N17" s="3845">
        <f>IF(K17="NA","NA",K17/Table8s2!$G$34*100)</f>
        <v>-2.0525013584795613E-20</v>
      </c>
      <c r="O17" s="3848">
        <v>6.9069206475257445</v>
      </c>
      <c r="P17" s="3847">
        <f>Summary2!E17</f>
        <v>6.9069206475257454</v>
      </c>
      <c r="Q17" s="3839">
        <f t="shared" si="12"/>
        <v>8.8817841970012523E-16</v>
      </c>
      <c r="R17" s="3847">
        <f t="shared" si="13"/>
        <v>1.2859253276904172E-14</v>
      </c>
      <c r="S17" s="3844">
        <f>IF(Q17="NA","NA",Q17/Table8s2!$G$35*100)</f>
        <v>1.6319854806408045E-19</v>
      </c>
      <c r="T17" s="3845">
        <f>IF(Q17="NA","NA",Q17/Table8s2!$G$34*100)</f>
        <v>1.642001086783649E-19</v>
      </c>
    </row>
    <row r="18" spans="2:20" ht="18" customHeight="1" x14ac:dyDescent="0.2">
      <c r="B18" s="620" t="s">
        <v>99</v>
      </c>
      <c r="C18" s="3847">
        <f>SUM(C19:C20)</f>
        <v>10827.854155000094</v>
      </c>
      <c r="D18" s="3839">
        <f>Summary2!C18</f>
        <v>10827.854155000094</v>
      </c>
      <c r="E18" s="3839">
        <f t="shared" si="4"/>
        <v>0</v>
      </c>
      <c r="F18" s="3847">
        <f t="shared" si="5"/>
        <v>0</v>
      </c>
      <c r="G18" s="3844">
        <f>IF(E18="NA","NA",E18/Table8s2!$G$35*100)</f>
        <v>0</v>
      </c>
      <c r="H18" s="3845">
        <f>IF(E18="NA","NA",E18/Table8s2!$G$34*100)</f>
        <v>0</v>
      </c>
      <c r="I18" s="3846">
        <f>SUM(I19:I20)</f>
        <v>37402.542007070064</v>
      </c>
      <c r="J18" s="3839">
        <f>Summary2!D18</f>
        <v>37402.911756945665</v>
      </c>
      <c r="K18" s="3839">
        <f t="shared" si="10"/>
        <v>0.36974987560097361</v>
      </c>
      <c r="L18" s="3847">
        <f t="shared" si="11"/>
        <v>9.8856883986944309E-4</v>
      </c>
      <c r="M18" s="3844">
        <f>IF(K18="NA","NA",K18/Table8s2!$G$35*100)</f>
        <v>6.79397759577706E-5</v>
      </c>
      <c r="N18" s="3845">
        <f>IF(K18="NA","NA",K18/Table8s2!$G$34*100)</f>
        <v>6.8356726994099029E-5</v>
      </c>
      <c r="O18" s="3848">
        <f>SUM(O19:O20)</f>
        <v>42.545188012829279</v>
      </c>
      <c r="P18" s="3847">
        <f>Summary2!E18</f>
        <v>42.545188012829279</v>
      </c>
      <c r="Q18" s="3839">
        <f t="shared" si="12"/>
        <v>0</v>
      </c>
      <c r="R18" s="3847">
        <f t="shared" si="13"/>
        <v>0</v>
      </c>
      <c r="S18" s="3844">
        <f>IF(Q18="NA","NA",Q18/Table8s2!$G$35*100)</f>
        <v>0</v>
      </c>
      <c r="T18" s="3845">
        <f>IF(Q18="NA","NA",Q18/Table8s2!$G$34*100)</f>
        <v>0</v>
      </c>
    </row>
    <row r="19" spans="2:20" ht="18" customHeight="1" x14ac:dyDescent="0.2">
      <c r="B19" s="1392" t="s">
        <v>1483</v>
      </c>
      <c r="C19" s="3847">
        <v>1909.730431069916</v>
      </c>
      <c r="D19" s="3839">
        <f>Summary2!C19</f>
        <v>1909.730431069916</v>
      </c>
      <c r="E19" s="3839">
        <f t="shared" si="4"/>
        <v>0</v>
      </c>
      <c r="F19" s="3847">
        <f t="shared" si="5"/>
        <v>0</v>
      </c>
      <c r="G19" s="3844">
        <f>IF(E19="NA","NA",E19/Table8s2!$G$35*100)</f>
        <v>0</v>
      </c>
      <c r="H19" s="3845">
        <f>IF(E19="NA","NA",E19/Table8s2!$G$34*100)</f>
        <v>0</v>
      </c>
      <c r="I19" s="3846">
        <v>30771.692709145726</v>
      </c>
      <c r="J19" s="3839">
        <f>Summary2!D19</f>
        <v>30771.692709145726</v>
      </c>
      <c r="K19" s="3839">
        <f t="shared" si="10"/>
        <v>0</v>
      </c>
      <c r="L19" s="3847">
        <f t="shared" si="11"/>
        <v>0</v>
      </c>
      <c r="M19" s="3844">
        <f>IF(K19="NA","NA",K19/Table8s2!$G$35*100)</f>
        <v>0</v>
      </c>
      <c r="N19" s="3845">
        <f>IF(K19="NA","NA",K19/Table8s2!$G$34*100)</f>
        <v>0</v>
      </c>
      <c r="O19" s="3848">
        <v>0.34251949556879352</v>
      </c>
      <c r="P19" s="3847">
        <f>Summary2!E19</f>
        <v>0.34251949556879352</v>
      </c>
      <c r="Q19" s="3839">
        <f t="shared" si="12"/>
        <v>0</v>
      </c>
      <c r="R19" s="3847">
        <f t="shared" si="13"/>
        <v>0</v>
      </c>
      <c r="S19" s="3844">
        <f>IF(Q19="NA","NA",Q19/Table8s2!$G$35*100)</f>
        <v>0</v>
      </c>
      <c r="T19" s="3845">
        <f>IF(Q19="NA","NA",Q19/Table8s2!$G$34*100)</f>
        <v>0</v>
      </c>
    </row>
    <row r="20" spans="2:20" ht="18" customHeight="1" x14ac:dyDescent="0.2">
      <c r="B20" s="1393" t="s">
        <v>1484</v>
      </c>
      <c r="C20" s="3849">
        <v>8918.1237239301772</v>
      </c>
      <c r="D20" s="3850">
        <f>Summary2!C20</f>
        <v>8918.1237239301772</v>
      </c>
      <c r="E20" s="3850">
        <f t="shared" si="4"/>
        <v>0</v>
      </c>
      <c r="F20" s="3849">
        <f t="shared" si="5"/>
        <v>0</v>
      </c>
      <c r="G20" s="3851">
        <f>IF(E20="NA","NA",E20/Table8s2!$G$35*100)</f>
        <v>0</v>
      </c>
      <c r="H20" s="3852">
        <f>IF(E20="NA","NA",E20/Table8s2!$G$34*100)</f>
        <v>0</v>
      </c>
      <c r="I20" s="3853">
        <v>6630.849297924341</v>
      </c>
      <c r="J20" s="3850">
        <f>Summary2!D20</f>
        <v>6631.2190477999402</v>
      </c>
      <c r="K20" s="3839">
        <f t="shared" si="10"/>
        <v>0.36974987559915462</v>
      </c>
      <c r="L20" s="3847">
        <f t="shared" si="11"/>
        <v>5.5762068927565234E-3</v>
      </c>
      <c r="M20" s="3844">
        <f>IF(K20="NA","NA",K20/Table8s2!$G$35*100)</f>
        <v>6.7939775957436382E-5</v>
      </c>
      <c r="N20" s="3845">
        <f>IF(K20="NA","NA",K20/Table8s2!$G$34*100)</f>
        <v>6.8356726993762737E-5</v>
      </c>
      <c r="O20" s="3854">
        <v>42.202668517260484</v>
      </c>
      <c r="P20" s="3849">
        <f>Summary2!E20</f>
        <v>42.202668517260484</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19304.015039124817</v>
      </c>
      <c r="D22" s="3839">
        <f>Summary2!C22</f>
        <v>19396.344947431895</v>
      </c>
      <c r="E22" s="3861">
        <f t="shared" si="4"/>
        <v>92.329908307077858</v>
      </c>
      <c r="F22" s="3861">
        <f t="shared" si="5"/>
        <v>0.47829380634000895</v>
      </c>
      <c r="G22" s="3862">
        <f>IF(E22="NA","NA",E22/Table8s2!$G$35*100)</f>
        <v>1.6965180243505823E-2</v>
      </c>
      <c r="H22" s="3863">
        <f>IF(E22="NA","NA",E22/Table8s2!$G$34*100)</f>
        <v>1.706929671113187E-2</v>
      </c>
      <c r="I22" s="3839">
        <f>SUM(I23:I29)</f>
        <v>76.915567249471479</v>
      </c>
      <c r="J22" s="3839">
        <f>Summary2!D22</f>
        <v>76.915567249471479</v>
      </c>
      <c r="K22" s="3861">
        <f t="shared" ref="K22" si="14">IF(J22="NO",IF(I22="NO","NA",-I22),IF(I22="NO",J22,J22-I22))</f>
        <v>0</v>
      </c>
      <c r="L22" s="3861">
        <f t="shared" ref="L22" si="15">IF(K22="NA","NA",K22/I22*100)</f>
        <v>0</v>
      </c>
      <c r="M22" s="3862">
        <f>IF(K22="NA","NA",K22/Table8s2!$G$35*100)</f>
        <v>0</v>
      </c>
      <c r="N22" s="3863">
        <f>IF(K22="NA","NA",K22/Table8s2!$G$34*100)</f>
        <v>0</v>
      </c>
      <c r="O22" s="3839">
        <f>SUM(O23:O29)</f>
        <v>1387.6811573888044</v>
      </c>
      <c r="P22" s="3839">
        <f>Summary2!E22</f>
        <v>1387.6811573888044</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5878.5673809652999</v>
      </c>
      <c r="D23" s="3839">
        <f>Summary2!C23</f>
        <v>5878.5662145273818</v>
      </c>
      <c r="E23" s="3839">
        <f t="shared" si="4"/>
        <v>-1.1664379180729156E-3</v>
      </c>
      <c r="F23" s="3847">
        <f t="shared" si="5"/>
        <v>-1.9842213969509331E-5</v>
      </c>
      <c r="G23" s="3844">
        <f>IF(E23="NA","NA",E23/Table8s2!$G$35*100)</f>
        <v>-2.1432740360958109E-7</v>
      </c>
      <c r="H23" s="3845">
        <f>IF(E23="NA","NA",E23/Table8s2!$G$34*100)</f>
        <v>-2.1564274549566769E-7</v>
      </c>
      <c r="I23" s="1925"/>
      <c r="J23" s="1925"/>
      <c r="K23" s="1925"/>
      <c r="L23" s="1925"/>
      <c r="M23" s="1925"/>
      <c r="N23" s="1925"/>
      <c r="O23" s="1925"/>
      <c r="P23" s="1925"/>
      <c r="Q23" s="1925"/>
      <c r="R23" s="1925"/>
      <c r="S23" s="1925"/>
      <c r="T23" s="1925"/>
    </row>
    <row r="24" spans="2:20" ht="18" customHeight="1" x14ac:dyDescent="0.2">
      <c r="B24" s="1394" t="s">
        <v>621</v>
      </c>
      <c r="C24" s="3839">
        <v>3170.9287572975813</v>
      </c>
      <c r="D24" s="3839">
        <f>Summary2!C24</f>
        <v>3219.2235632975812</v>
      </c>
      <c r="E24" s="3839">
        <f t="shared" si="4"/>
        <v>48.29480599999988</v>
      </c>
      <c r="F24" s="3847">
        <f t="shared" si="5"/>
        <v>1.5230492293103126</v>
      </c>
      <c r="G24" s="3844">
        <f>IF(E24="NA","NA",E24/Table8s2!$G$35*100)</f>
        <v>8.873940239279279E-3</v>
      </c>
      <c r="H24" s="3845">
        <f>IF(E24="NA","NA",E24/Table8s2!$G$34*100)</f>
        <v>8.9284002154408695E-3</v>
      </c>
      <c r="I24" s="3846">
        <v>16.177380799999998</v>
      </c>
      <c r="J24" s="3839">
        <f>Summary2!D24</f>
        <v>16.177380799999998</v>
      </c>
      <c r="K24" s="3839">
        <f t="shared" ref="K24" si="18">IF(J24="NO",IF(I24="NO","NA",-I24),IF(I24="NO",J24,J24-I24))</f>
        <v>0</v>
      </c>
      <c r="L24" s="3847">
        <f t="shared" ref="L24" si="19">IF(K24="NA","NA",K24/I24*100)</f>
        <v>0</v>
      </c>
      <c r="M24" s="3844">
        <f>IF(K24="NA","NA",K24/Table8s2!$G$35*100)</f>
        <v>0</v>
      </c>
      <c r="N24" s="3845">
        <f>IF(K24="NA","NA",K24/Table8s2!$G$34*100)</f>
        <v>0</v>
      </c>
      <c r="O24" s="3848">
        <v>1374.2149136398778</v>
      </c>
      <c r="P24" s="3847">
        <f>Summary2!E24</f>
        <v>1374.214913639878</v>
      </c>
      <c r="Q24" s="3839">
        <f t="shared" ref="Q24" si="20">IF(P24="NO",IF(O24="NO","NA",-O24),IF(O24="NO",P24,P24-O24))</f>
        <v>2.2737367544323206E-13</v>
      </c>
      <c r="R24" s="3847">
        <f t="shared" ref="R24" si="21">IF(Q24="NA","NA",Q24/O24*100)</f>
        <v>1.6545714442946065E-14</v>
      </c>
      <c r="S24" s="3844">
        <f>IF(Q24="NA","NA",Q24/Table8s2!$G$35*100)</f>
        <v>4.1778828304404595E-17</v>
      </c>
      <c r="T24" s="3845">
        <f>IF(Q24="NA","NA",Q24/Table8s2!$G$34*100)</f>
        <v>4.2035227821661415E-17</v>
      </c>
    </row>
    <row r="25" spans="2:20" ht="18" customHeight="1" x14ac:dyDescent="0.2">
      <c r="B25" s="1394" t="s">
        <v>459</v>
      </c>
      <c r="C25" s="3839">
        <v>9863.6965812133349</v>
      </c>
      <c r="D25" s="3839">
        <f>Summary2!C25</f>
        <v>9863.6965812133349</v>
      </c>
      <c r="E25" s="3839">
        <f t="shared" si="4"/>
        <v>0</v>
      </c>
      <c r="F25" s="3847">
        <f t="shared" si="5"/>
        <v>0</v>
      </c>
      <c r="G25" s="3844">
        <f>IF(E25="NA","NA",E25/Table8s2!$G$35*100)</f>
        <v>0</v>
      </c>
      <c r="H25" s="3845">
        <f>IF(E25="NA","NA",E25/Table8s2!$G$34*100)</f>
        <v>0</v>
      </c>
      <c r="I25" s="3846">
        <v>60.738186449471478</v>
      </c>
      <c r="J25" s="3839">
        <f>Summary2!D25</f>
        <v>60.738186449471478</v>
      </c>
      <c r="K25" s="3839">
        <f t="shared" ref="K25:K26" si="22">IF(J25="NO",IF(I25="NO","NA",-I25),IF(I25="NO",J25,J25-I25))</f>
        <v>0</v>
      </c>
      <c r="L25" s="3847">
        <f t="shared" ref="L25:L26" si="23">IF(K25="NA","NA",K25/I25*100)</f>
        <v>0</v>
      </c>
      <c r="M25" s="3844">
        <f>IF(K25="NA","NA",K25/Table8s2!$G$35*100)</f>
        <v>0</v>
      </c>
      <c r="N25" s="3845">
        <f>IF(K25="NA","NA",K25/Table8s2!$G$34*100)</f>
        <v>0</v>
      </c>
      <c r="O25" s="3848">
        <v>13.466243748926606</v>
      </c>
      <c r="P25" s="3847">
        <f>Summary2!E25</f>
        <v>13.466243748926608</v>
      </c>
      <c r="Q25" s="3839">
        <f t="shared" ref="Q25:Q29" si="24">IF(P25="NO",IF(O25="NO","NA",-O25),IF(O25="NO",P25,P25-O25))</f>
        <v>1.7763568394002505E-15</v>
      </c>
      <c r="R25" s="3847">
        <f t="shared" ref="R25:R29" si="25">IF(Q25="NA","NA",Q25/O25*100)</f>
        <v>1.3191182875639273E-14</v>
      </c>
      <c r="S25" s="3844">
        <f>IF(Q25="NA","NA",Q25/Table8s2!$G$35*100)</f>
        <v>3.263970961281609E-19</v>
      </c>
      <c r="T25" s="3845">
        <f>IF(Q25="NA","NA",Q25/Table8s2!$G$34*100)</f>
        <v>3.2840021735672981E-19</v>
      </c>
    </row>
    <row r="26" spans="2:20" ht="18" customHeight="1" x14ac:dyDescent="0.2">
      <c r="B26" s="1395" t="s">
        <v>1519</v>
      </c>
      <c r="C26" s="3839">
        <v>175.09024399999998</v>
      </c>
      <c r="D26" s="3839">
        <f>Summary2!C26</f>
        <v>219.12651274499999</v>
      </c>
      <c r="E26" s="3839">
        <f t="shared" si="4"/>
        <v>44.036268745000001</v>
      </c>
      <c r="F26" s="3847">
        <f t="shared" si="5"/>
        <v>25.150612472160361</v>
      </c>
      <c r="G26" s="3844">
        <f>IF(E26="NA","NA",E26/Table8s2!$G$35*100)</f>
        <v>8.0914543316308769E-3</v>
      </c>
      <c r="H26" s="3845">
        <f>IF(E26="NA","NA",E26/Table8s2!$G$34*100)</f>
        <v>8.1411121384372259E-3</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215.73207564860138</v>
      </c>
      <c r="D29" s="3855">
        <f>Summary2!C30</f>
        <v>215.73207564860138</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2532.9696484659198</v>
      </c>
      <c r="D30" s="3875">
        <f>Summary2!C31</f>
        <v>2532.9696484659198</v>
      </c>
      <c r="E30" s="3861">
        <f t="shared" si="4"/>
        <v>0</v>
      </c>
      <c r="F30" s="3876">
        <f t="shared" si="5"/>
        <v>0</v>
      </c>
      <c r="G30" s="3877">
        <f>IF(E30="NA","NA",E30/Table8s2!$G$35*100)</f>
        <v>0</v>
      </c>
      <c r="H30" s="3878">
        <f>IF(E30="NA","NA",E30/Table8s2!$G$34*100)</f>
        <v>0</v>
      </c>
      <c r="I30" s="3874">
        <f>SUM(I31:I40)</f>
        <v>64297.911994867936</v>
      </c>
      <c r="J30" s="3875">
        <f>Summary2!D31</f>
        <v>64297.911994867951</v>
      </c>
      <c r="K30" s="3861">
        <f t="shared" ref="K30" si="28">IF(J30="NO",IF(I30="NO","NA",-I30),IF(I30="NO",J30,J30-I30))</f>
        <v>1.4551915228366852E-11</v>
      </c>
      <c r="L30" s="3876">
        <f t="shared" ref="L30" si="29">IF(K30="NA","NA",K30/I30*100)</f>
        <v>2.2632018329815036E-14</v>
      </c>
      <c r="M30" s="3877">
        <f>IF(K30="NA","NA",K30/Table8s2!$G$35*100)</f>
        <v>2.6738450114818941E-15</v>
      </c>
      <c r="N30" s="3878">
        <f>IF(K30="NA","NA",K30/Table8s2!$G$34*100)</f>
        <v>2.6902545805863306E-15</v>
      </c>
      <c r="O30" s="3874">
        <f>SUM(O31:O40)</f>
        <v>12109.478698392921</v>
      </c>
      <c r="P30" s="3875">
        <f>Summary2!E31</f>
        <v>12109.523611435137</v>
      </c>
      <c r="Q30" s="3861">
        <f t="shared" ref="Q30" si="30">IF(P30="NO",IF(O30="NO","NA",-O30),IF(O30="NO",P30,P30-O30))</f>
        <v>4.4913042216649046E-2</v>
      </c>
      <c r="R30" s="3880">
        <f t="shared" ref="R30" si="31">IF(Q30="NA","NA",Q30/O30*100)</f>
        <v>3.7089162411763912E-4</v>
      </c>
      <c r="S30" s="3881">
        <f>IF(Q30="NA","NA",Q30/Table8s2!$G$35*100)</f>
        <v>8.2525572748914651E-6</v>
      </c>
      <c r="T30" s="3882">
        <f>IF(Q30="NA","NA",Q30/Table8s2!$G$34*100)</f>
        <v>8.3032037814425667E-6</v>
      </c>
    </row>
    <row r="31" spans="2:20" ht="18" customHeight="1" x14ac:dyDescent="0.2">
      <c r="B31" s="620" t="s">
        <v>1492</v>
      </c>
      <c r="C31" s="3867"/>
      <c r="D31" s="3867"/>
      <c r="E31" s="3868"/>
      <c r="F31" s="3868"/>
      <c r="G31" s="3869"/>
      <c r="H31" s="3870"/>
      <c r="I31" s="3846">
        <v>56896.452095520712</v>
      </c>
      <c r="J31" s="3839">
        <f>Summary2!D32</f>
        <v>56896.452095520726</v>
      </c>
      <c r="K31" s="3883">
        <f t="shared" ref="K31:K33" si="32">IF(J31="NO",IF(I31="NO","NA",-I31),IF(I31="NO",J31,J31-I31))</f>
        <v>1.4551915228366852E-11</v>
      </c>
      <c r="L31" s="3883">
        <f t="shared" ref="L31:L33" si="33">IF(K31="NA","NA",K31/I31*100)</f>
        <v>2.5576138216731586E-14</v>
      </c>
      <c r="M31" s="3884">
        <f>IF(K31="NA","NA",K31/Table8s2!$G$35*100)</f>
        <v>2.6738450114818941E-15</v>
      </c>
      <c r="N31" s="3885">
        <f>IF(K31="NA","NA",K31/Table8s2!$G$34*100)</f>
        <v>2.6902545805863306E-15</v>
      </c>
      <c r="O31" s="3886"/>
      <c r="P31" s="3887"/>
      <c r="Q31" s="3868"/>
      <c r="R31" s="3888"/>
      <c r="S31" s="3889"/>
      <c r="T31" s="3890"/>
    </row>
    <row r="32" spans="2:20" ht="18" customHeight="1" x14ac:dyDescent="0.2">
      <c r="B32" s="620" t="s">
        <v>1493</v>
      </c>
      <c r="C32" s="3891"/>
      <c r="D32" s="3891"/>
      <c r="E32" s="3892"/>
      <c r="F32" s="3892"/>
      <c r="G32" s="3869"/>
      <c r="H32" s="3870"/>
      <c r="I32" s="3846">
        <v>6854.5930887671693</v>
      </c>
      <c r="J32" s="3847">
        <f>Summary2!D33</f>
        <v>6854.5930887671684</v>
      </c>
      <c r="K32" s="3893">
        <f t="shared" si="32"/>
        <v>-9.0949470177292824E-13</v>
      </c>
      <c r="L32" s="3893">
        <f t="shared" si="33"/>
        <v>-1.3268398138225667E-14</v>
      </c>
      <c r="M32" s="3884">
        <f>IF(K32="NA","NA",K32/Table8s2!$G$35*100)</f>
        <v>-1.6711531321761838E-16</v>
      </c>
      <c r="N32" s="3885">
        <f>IF(K32="NA","NA",K32/Table8s2!$G$34*100)</f>
        <v>-1.6814091128664566E-16</v>
      </c>
      <c r="O32" s="3848">
        <v>491.80882753084336</v>
      </c>
      <c r="P32" s="3847">
        <f>Summary2!E33</f>
        <v>491.80882753084336</v>
      </c>
      <c r="Q32" s="3893">
        <f t="shared" ref="Q32" si="34">IF(P32="NO",IF(O32="NO","NA",-O32),IF(O32="NO",P32,P32-O32))</f>
        <v>0</v>
      </c>
      <c r="R32" s="3894">
        <f t="shared" ref="R32" si="35">IF(Q32="NA","NA",Q32/O32*100)</f>
        <v>0</v>
      </c>
      <c r="S32" s="3895">
        <f>IF(Q32="NA","NA",Q32/Table8s2!$G$35*100)</f>
        <v>0</v>
      </c>
      <c r="T32" s="3896">
        <f>IF(Q32="NA","NA",Q32/Table8s2!$G$34*100)</f>
        <v>0</v>
      </c>
    </row>
    <row r="33" spans="2:21" ht="18" customHeight="1" x14ac:dyDescent="0.2">
      <c r="B33" s="620" t="s">
        <v>1494</v>
      </c>
      <c r="C33" s="3891"/>
      <c r="D33" s="3891"/>
      <c r="E33" s="3892"/>
      <c r="F33" s="3892"/>
      <c r="G33" s="3897"/>
      <c r="H33" s="3898"/>
      <c r="I33" s="3848">
        <v>309.94857938800004</v>
      </c>
      <c r="J33" s="3847">
        <f>Summary2!D34</f>
        <v>309.94857938800004</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11523.692123637162</v>
      </c>
      <c r="P34" s="3847">
        <f>Summary2!E35</f>
        <v>11523.737036679378</v>
      </c>
      <c r="Q34" s="3893">
        <f t="shared" ref="Q34" si="36">IF(P34="NO",IF(O34="NO","NA",-O34),IF(O34="NO",P34,P34-O34))</f>
        <v>4.4913042216649046E-2</v>
      </c>
      <c r="R34" s="3894">
        <f t="shared" ref="R34" si="37">IF(Q34="NA","NA",Q34/O34*100)</f>
        <v>3.8974524600951749E-4</v>
      </c>
      <c r="S34" s="3895">
        <f>IF(Q34="NA","NA",Q34/Table8s2!$G$35*100)</f>
        <v>8.2525572748914651E-6</v>
      </c>
      <c r="T34" s="3896">
        <f>IF(Q34="NA","NA",Q34/Table8s2!$G$34*100)</f>
        <v>8.3032037814425667E-6</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236.91823119205128</v>
      </c>
      <c r="J36" s="3847">
        <f>Summary2!D37</f>
        <v>236.91823119205122</v>
      </c>
      <c r="K36" s="3893">
        <f t="shared" ref="K36" si="38">IF(J36="NO",IF(I36="NO","NA",-I36),IF(I36="NO",J36,J36-I36))</f>
        <v>-5.6843418860808015E-14</v>
      </c>
      <c r="L36" s="3893">
        <f t="shared" ref="L36" si="39">IF(K36="NA","NA",K36/I36*100)</f>
        <v>-2.3992842836450795E-14</v>
      </c>
      <c r="M36" s="3884">
        <f>IF(K36="NA","NA",K36/Table8s2!$G$35*100)</f>
        <v>-1.0444707076101149E-17</v>
      </c>
      <c r="N36" s="3885">
        <f>IF(K36="NA","NA",K36/Table8s2!$G$34*100)</f>
        <v>-1.0508806955415354E-17</v>
      </c>
      <c r="O36" s="3848">
        <v>93.977747224915802</v>
      </c>
      <c r="P36" s="3847">
        <f>Summary2!E37</f>
        <v>93.977747224915817</v>
      </c>
      <c r="Q36" s="3893">
        <f t="shared" ref="Q36" si="40">IF(P36="NO",IF(O36="NO","NA",-O36),IF(O36="NO",P36,P36-O36))</f>
        <v>1.4210854715202004E-14</v>
      </c>
      <c r="R36" s="3894">
        <f t="shared" ref="R36" si="41">IF(Q36="NA","NA",Q36/O36*100)</f>
        <v>1.5121510288165707E-14</v>
      </c>
      <c r="S36" s="3895">
        <f>IF(Q36="NA","NA",Q36/Table8s2!$G$35*100)</f>
        <v>2.6111767690252872E-18</v>
      </c>
      <c r="T36" s="3896">
        <f>IF(Q36="NA","NA",Q36/Table8s2!$G$34*100)</f>
        <v>2.6272017388538385E-18</v>
      </c>
    </row>
    <row r="37" spans="2:21" ht="18" customHeight="1" x14ac:dyDescent="0.2">
      <c r="B37" s="620" t="s">
        <v>721</v>
      </c>
      <c r="C37" s="3847">
        <v>1224.3892800541203</v>
      </c>
      <c r="D37" s="3847">
        <f>Summary2!C38</f>
        <v>1224.3892800541203</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1308.5803684117998</v>
      </c>
      <c r="D38" s="3847">
        <f>Summary2!C39</f>
        <v>1308.5803684117998</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-21376.234627676284</v>
      </c>
      <c r="D41" s="3839">
        <f>Summary2!C42</f>
        <v>-26158.795994845808</v>
      </c>
      <c r="E41" s="3929">
        <f t="shared" ref="E41" si="42">IF(D41="NO",IF(C41="NO","NA",-C41),IF(C41="NO",D41,D41-C41))</f>
        <v>-4782.5613671695246</v>
      </c>
      <c r="F41" s="3929">
        <f t="shared" ref="F41" si="43">IF(E41="NA","NA",E41/C41*100)</f>
        <v>22.373263815964279</v>
      </c>
      <c r="G41" s="3869"/>
      <c r="H41" s="3929">
        <f>IF(E41="NA","NA",E41/Table8s2!$G$34*100)</f>
        <v>-0.88416592751186673</v>
      </c>
      <c r="I41" s="3846">
        <f>SUM(I42:I49)</f>
        <v>21894.24911198438</v>
      </c>
      <c r="J41" s="3839">
        <f>Summary2!D42</f>
        <v>18606.510132547104</v>
      </c>
      <c r="K41" s="3929">
        <f t="shared" ref="K41:K46" si="44">IF(J41="NO",IF(I41="NO","NA",-I41),IF(I41="NO",J41,J41-I41))</f>
        <v>-3287.7389794372757</v>
      </c>
      <c r="L41" s="3929">
        <f t="shared" ref="L41:L46" si="45">IF(K41="NA","NA",K41/I41*100)</f>
        <v>-15.01645003955695</v>
      </c>
      <c r="M41" s="3889"/>
      <c r="N41" s="3930">
        <f>IF(K41="NA","NA",K41/Table8s2!$G$34*100)</f>
        <v>-0.60781379704312699</v>
      </c>
      <c r="O41" s="3846">
        <f>SUM(O42:O49)</f>
        <v>4193.1874710874954</v>
      </c>
      <c r="P41" s="3839">
        <f>Summary2!E42</f>
        <v>4232.6708204108945</v>
      </c>
      <c r="Q41" s="3929">
        <f t="shared" ref="Q41" si="46">IF(P41="NO",IF(O41="NO","NA",-O41),IF(O41="NO",P41,P41-O41))</f>
        <v>39.483349323399125</v>
      </c>
      <c r="R41" s="3929">
        <f t="shared" ref="R41" si="47">IF(Q41="NA","NA",Q41/O41*100)</f>
        <v>0.94160706134989935</v>
      </c>
      <c r="S41" s="3889"/>
      <c r="T41" s="3930">
        <f>IF(Q41="NA","NA",Q41/Table8s2!$G$34*100)</f>
        <v>7.2994007803937498E-3</v>
      </c>
      <c r="U41" s="713"/>
    </row>
    <row r="42" spans="2:21" ht="18" customHeight="1" x14ac:dyDescent="0.2">
      <c r="B42" s="620" t="s">
        <v>981</v>
      </c>
      <c r="C42" s="3847">
        <v>-59670.727636365795</v>
      </c>
      <c r="D42" s="3847">
        <f>Summary2!C43</f>
        <v>-64626.080999790145</v>
      </c>
      <c r="E42" s="3931">
        <f t="shared" ref="E42:E50" si="48">IF(D42="NO",IF(C42="NO","NA",-C42),IF(C42="NO",D42,D42-C42))</f>
        <v>-4955.3533634243504</v>
      </c>
      <c r="F42" s="3931">
        <f t="shared" ref="F42:F50" si="49">IF(E42="NA","NA",E42/C42*100)</f>
        <v>8.3044962910831917</v>
      </c>
      <c r="G42" s="3889"/>
      <c r="H42" s="3931">
        <f>IF(E42="NA","NA",E42/Table8s2!$G$34*100)</f>
        <v>-0.91611048272113804</v>
      </c>
      <c r="I42" s="3848">
        <v>9051.0392374848889</v>
      </c>
      <c r="J42" s="3847">
        <f>Summary2!D43</f>
        <v>8511.6314525379548</v>
      </c>
      <c r="K42" s="3931">
        <f t="shared" si="44"/>
        <v>-539.40778494693404</v>
      </c>
      <c r="L42" s="3931">
        <f t="shared" si="45"/>
        <v>-5.9596226554070837</v>
      </c>
      <c r="M42" s="3889"/>
      <c r="N42" s="3932">
        <f>IF(K42="NA","NA",K42/Table8s2!$G$34*100)</f>
        <v>-9.9721874508217304E-2</v>
      </c>
      <c r="O42" s="3848">
        <v>1542.180737103309</v>
      </c>
      <c r="P42" s="3847">
        <f>Summary2!E43</f>
        <v>1492.5027575328534</v>
      </c>
      <c r="Q42" s="3931">
        <f t="shared" ref="Q42:Q46" si="50">IF(P42="NO",IF(O42="NO","NA",-O42),IF(O42="NO",P42,P42-O42))</f>
        <v>-49.677979570455591</v>
      </c>
      <c r="R42" s="3931">
        <f t="shared" ref="R42:R46" si="51">IF(Q42="NA","NA",Q42/O42*100)</f>
        <v>-3.2212812918261551</v>
      </c>
      <c r="S42" s="3889"/>
      <c r="T42" s="3932">
        <f>IF(Q42="NA","NA",Q42/Table8s2!$G$34*100)</f>
        <v>-9.1841115067223568E-3</v>
      </c>
      <c r="U42" s="713"/>
    </row>
    <row r="43" spans="2:21" ht="18" customHeight="1" x14ac:dyDescent="0.2">
      <c r="B43" s="620" t="s">
        <v>984</v>
      </c>
      <c r="C43" s="3847">
        <v>1669.2001725497664</v>
      </c>
      <c r="D43" s="3847">
        <f>Summary2!C44</f>
        <v>1663.1103756569228</v>
      </c>
      <c r="E43" s="3931">
        <f t="shared" si="48"/>
        <v>-6.0897968928436512</v>
      </c>
      <c r="F43" s="3931">
        <f t="shared" si="49"/>
        <v>-0.36483322929096373</v>
      </c>
      <c r="G43" s="3889"/>
      <c r="H43" s="3931">
        <f>IF(E43="NA","NA",E43/Table8s2!$G$34*100)</f>
        <v>-1.1258383332165478E-3</v>
      </c>
      <c r="I43" s="3848">
        <v>41.622233840602021</v>
      </c>
      <c r="J43" s="3847">
        <f>Summary2!D44</f>
        <v>41.725152000000001</v>
      </c>
      <c r="K43" s="3931">
        <f t="shared" si="44"/>
        <v>0.10291815939797999</v>
      </c>
      <c r="L43" s="3931">
        <f t="shared" si="45"/>
        <v>0.24726726535658564</v>
      </c>
      <c r="M43" s="3889"/>
      <c r="N43" s="3932">
        <f>IF(K43="NA","NA",K43/Table8s2!$G$34*100)</f>
        <v>1.9026777259271001E-5</v>
      </c>
      <c r="O43" s="3848">
        <v>29.273229402680652</v>
      </c>
      <c r="P43" s="3847">
        <f>Summary2!E44</f>
        <v>29.116738028242722</v>
      </c>
      <c r="Q43" s="3931">
        <f t="shared" si="50"/>
        <v>-0.15649137443793038</v>
      </c>
      <c r="R43" s="3931">
        <f t="shared" si="51"/>
        <v>-0.53458869291544553</v>
      </c>
      <c r="S43" s="3889"/>
      <c r="T43" s="3932">
        <f>IF(Q43="NA","NA",Q43/Table8s2!$G$34*100)</f>
        <v>-2.8931012193034978E-5</v>
      </c>
      <c r="U43" s="713"/>
    </row>
    <row r="44" spans="2:21" ht="18" customHeight="1" x14ac:dyDescent="0.2">
      <c r="B44" s="620" t="s">
        <v>987</v>
      </c>
      <c r="C44" s="3847">
        <v>36650.713996679275</v>
      </c>
      <c r="D44" s="3847">
        <f>Summary2!C45</f>
        <v>36771.703687128916</v>
      </c>
      <c r="E44" s="3931">
        <f t="shared" si="48"/>
        <v>120.98969044964178</v>
      </c>
      <c r="F44" s="3931">
        <f t="shared" si="49"/>
        <v>0.33011550732846301</v>
      </c>
      <c r="G44" s="3889"/>
      <c r="H44" s="3931">
        <f>IF(E44="NA","NA",E44/Table8s2!$G$34*100)</f>
        <v>2.2367713378467834E-2</v>
      </c>
      <c r="I44" s="3848">
        <v>7273.5783985410162</v>
      </c>
      <c r="J44" s="3847">
        <f>Summary2!D45</f>
        <v>7465.4496668395241</v>
      </c>
      <c r="K44" s="3931">
        <f t="shared" si="44"/>
        <v>191.87126829850786</v>
      </c>
      <c r="L44" s="3931">
        <f t="shared" si="45"/>
        <v>2.637921223712866</v>
      </c>
      <c r="M44" s="3889"/>
      <c r="N44" s="3932">
        <f>IF(K44="NA","NA",K44/Table8s2!$G$34*100)</f>
        <v>3.5471795315076216E-2</v>
      </c>
      <c r="O44" s="3848">
        <v>2466.9016118791474</v>
      </c>
      <c r="P44" s="3847">
        <f>Summary2!E45</f>
        <v>2555.1992629023325</v>
      </c>
      <c r="Q44" s="3931">
        <f t="shared" si="50"/>
        <v>88.297651023185153</v>
      </c>
      <c r="R44" s="3931">
        <f t="shared" si="51"/>
        <v>3.5792935801734287</v>
      </c>
      <c r="S44" s="3889"/>
      <c r="T44" s="3932">
        <f>IF(Q44="NA","NA",Q44/Table8s2!$G$34*100)</f>
        <v>1.6323841665671687E-2</v>
      </c>
      <c r="U44" s="713"/>
    </row>
    <row r="45" spans="2:21" ht="18" customHeight="1" x14ac:dyDescent="0.2">
      <c r="B45" s="620" t="s">
        <v>1525</v>
      </c>
      <c r="C45" s="3847">
        <v>430.10382064642437</v>
      </c>
      <c r="D45" s="3847">
        <f>Summary2!C46</f>
        <v>430.58599290460057</v>
      </c>
      <c r="E45" s="3931">
        <f t="shared" si="48"/>
        <v>0.48217225817620601</v>
      </c>
      <c r="F45" s="3931">
        <f t="shared" si="49"/>
        <v>0.11210601604317892</v>
      </c>
      <c r="G45" s="3889"/>
      <c r="H45" s="3931">
        <f>IF(E45="NA","NA",E45/Table8s2!$G$34*100)</f>
        <v>8.9140577431454204E-5</v>
      </c>
      <c r="I45" s="3848">
        <v>5491.2474956148235</v>
      </c>
      <c r="J45" s="3847">
        <f>Summary2!D46</f>
        <v>2550.4697523696245</v>
      </c>
      <c r="K45" s="3931">
        <f t="shared" si="44"/>
        <v>-2940.777743245199</v>
      </c>
      <c r="L45" s="3931">
        <f t="shared" si="45"/>
        <v>-53.553910028525074</v>
      </c>
      <c r="M45" s="3889"/>
      <c r="N45" s="3932">
        <f>IF(K45="NA","NA",K45/Table8s2!$G$34*100)</f>
        <v>-0.54367007160882297</v>
      </c>
      <c r="O45" s="3848">
        <v>92.537204673566237</v>
      </c>
      <c r="P45" s="3847">
        <f>Summary2!E46</f>
        <v>93.371362138279636</v>
      </c>
      <c r="Q45" s="3931">
        <f t="shared" si="50"/>
        <v>0.83415746471339958</v>
      </c>
      <c r="R45" s="3931">
        <f t="shared" si="51"/>
        <v>0.90142928744818807</v>
      </c>
      <c r="S45" s="3889"/>
      <c r="T45" s="3932">
        <f>IF(Q45="NA","NA",Q45/Table8s2!$G$34*100)</f>
        <v>1.5421309876798646E-4</v>
      </c>
      <c r="U45" s="713"/>
    </row>
    <row r="46" spans="2:21" ht="18" customHeight="1" x14ac:dyDescent="0.2">
      <c r="B46" s="620" t="s">
        <v>1526</v>
      </c>
      <c r="C46" s="3847">
        <v>3775.2707879075829</v>
      </c>
      <c r="D46" s="3847">
        <f>Summary2!C47</f>
        <v>3799.2730142093196</v>
      </c>
      <c r="E46" s="3931">
        <f t="shared" si="48"/>
        <v>24.002226301736755</v>
      </c>
      <c r="F46" s="3931">
        <f t="shared" si="49"/>
        <v>0.63577495894115243</v>
      </c>
      <c r="G46" s="3889"/>
      <c r="H46" s="3931">
        <f>IF(E46="NA","NA",E46/Table8s2!$G$34*100)</f>
        <v>4.4373608723780253E-3</v>
      </c>
      <c r="I46" s="3848">
        <v>36.761746503049999</v>
      </c>
      <c r="J46" s="3847">
        <f>Summary2!D47</f>
        <v>37.234108800000001</v>
      </c>
      <c r="K46" s="3931">
        <f t="shared" si="44"/>
        <v>0.47236229695000276</v>
      </c>
      <c r="L46" s="3931">
        <f t="shared" si="45"/>
        <v>1.2849288782044468</v>
      </c>
      <c r="M46" s="3889"/>
      <c r="N46" s="3932">
        <f>IF(K46="NA","NA",K46/Table8s2!$G$34*100)</f>
        <v>8.732698157757501E-5</v>
      </c>
      <c r="O46" s="3848">
        <v>15.786046089542983</v>
      </c>
      <c r="P46" s="3847">
        <f>Summary2!E47</f>
        <v>15.972057869937521</v>
      </c>
      <c r="Q46" s="3931">
        <f t="shared" si="50"/>
        <v>0.18601178039453714</v>
      </c>
      <c r="R46" s="3931">
        <f t="shared" si="51"/>
        <v>1.1783304023022922</v>
      </c>
      <c r="S46" s="3889"/>
      <c r="T46" s="3932">
        <f>IF(Q46="NA","NA",Q46/Table8s2!$G$34*100)</f>
        <v>3.4388534869549513E-5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-4232.2899656440513</v>
      </c>
      <c r="D48" s="3847">
        <f>Summary2!C49</f>
        <v>-4198.8822615059344</v>
      </c>
      <c r="E48" s="3931">
        <f t="shared" si="48"/>
        <v>33.407704138116969</v>
      </c>
      <c r="F48" s="3931">
        <f t="shared" si="49"/>
        <v>-0.78935291318190992</v>
      </c>
      <c r="G48" s="3889"/>
      <c r="H48" s="3931">
        <f>IF(E48="NA","NA",E48/Table8s2!$G$34*100)</f>
        <v>6.1761787142109881E-3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v>1.4941965505133337</v>
      </c>
      <c r="D49" s="3855">
        <f>Summary2!C50</f>
        <v>1.4941965505133337</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46.50864193924928</v>
      </c>
      <c r="P49" s="3855">
        <f>Summary2!E50</f>
        <v>46.50864193924928</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31.180693138900697</v>
      </c>
      <c r="D50" s="3839">
        <f>Summary2!C51</f>
        <v>31.180693138900697</v>
      </c>
      <c r="E50" s="3839">
        <f t="shared" si="48"/>
        <v>0</v>
      </c>
      <c r="F50" s="3839">
        <f t="shared" si="49"/>
        <v>0</v>
      </c>
      <c r="G50" s="3844">
        <f>IF(E50="NA","NA",E50/Table8s2!$G$35*100)</f>
        <v>0</v>
      </c>
      <c r="H50" s="3845">
        <f>IF(E50="NA","NA",E50/Table8s2!$G$34*100)</f>
        <v>0</v>
      </c>
      <c r="I50" s="3839">
        <f>SUM(I51:I55)</f>
        <v>12302.855915537812</v>
      </c>
      <c r="J50" s="3839">
        <f>Summary2!D51</f>
        <v>12350.528217553954</v>
      </c>
      <c r="K50" s="3839">
        <f t="shared" ref="K50" si="54">IF(J50="NO",IF(I50="NO","NA",-I50),IF(I50="NO",J50,J50-I50))</f>
        <v>47.672302016142567</v>
      </c>
      <c r="L50" s="3839">
        <f t="shared" ref="L50" si="55">IF(K50="NA","NA",K50/I50*100)</f>
        <v>0.38748972062604703</v>
      </c>
      <c r="M50" s="3844">
        <f>IF(K50="NA","NA",K50/Table8s2!$G$35*100)</f>
        <v>8.7595581015507823E-3</v>
      </c>
      <c r="N50" s="3845">
        <f>IF(K50="NA","NA",K50/Table8s2!$G$34*100)</f>
        <v>8.8133161067360036E-3</v>
      </c>
      <c r="O50" s="3839">
        <f>SUM(O51:O55)</f>
        <v>526.44583406055324</v>
      </c>
      <c r="P50" s="3839">
        <f>Summary2!E51</f>
        <v>341.315311205456</v>
      </c>
      <c r="Q50" s="3839">
        <f t="shared" si="52"/>
        <v>-185.13052285509724</v>
      </c>
      <c r="R50" s="3839">
        <f t="shared" si="53"/>
        <v>-35.166110334117114</v>
      </c>
      <c r="S50" s="3844">
        <f>IF(Q50="NA","NA",Q50/Table8s2!$G$35*100)</f>
        <v>-3.4016850513545159E-2</v>
      </c>
      <c r="T50" s="3845">
        <f>IF(Q50="NA","NA",Q50/Table8s2!$G$34*100)</f>
        <v>-3.4225614243985888E-2</v>
      </c>
    </row>
    <row r="51" spans="2:21" ht="18" customHeight="1" x14ac:dyDescent="0.2">
      <c r="B51" s="620" t="s">
        <v>1530</v>
      </c>
      <c r="C51" s="3918"/>
      <c r="D51" s="3918"/>
      <c r="E51" s="3888"/>
      <c r="F51" s="3903"/>
      <c r="G51" s="3904"/>
      <c r="H51" s="3905"/>
      <c r="I51" s="3839">
        <v>9702.988768623858</v>
      </c>
      <c r="J51" s="3839">
        <f>Summary2!D52</f>
        <v>9750.6610706400006</v>
      </c>
      <c r="K51" s="3839">
        <f t="shared" ref="K51:K52" si="56">IF(J51="NO",IF(I51="NO","NA",-I51),IF(I51="NO",J51,J51-I51))</f>
        <v>47.672302016142567</v>
      </c>
      <c r="L51" s="3839">
        <f t="shared" ref="L51:L52" si="57">IF(K51="NA","NA",K51/I51*100)</f>
        <v>0.49131564668299388</v>
      </c>
      <c r="M51" s="3844">
        <f>IF(K51="NA","NA",K51/Table8s2!$G$35*100)</f>
        <v>8.7595581015507823E-3</v>
      </c>
      <c r="N51" s="3845">
        <f>IF(K51="NA","NA",K51/Table8s2!$G$34*100)</f>
        <v>8.8133161067360036E-3</v>
      </c>
      <c r="O51" s="3886"/>
      <c r="P51" s="3887"/>
      <c r="Q51" s="3940"/>
      <c r="R51" s="3941"/>
      <c r="S51" s="3942"/>
      <c r="T51" s="3943"/>
    </row>
    <row r="52" spans="2:21" ht="18" customHeight="1" x14ac:dyDescent="0.2">
      <c r="B52" s="1396" t="s">
        <v>1531</v>
      </c>
      <c r="C52" s="3918"/>
      <c r="D52" s="3918"/>
      <c r="E52" s="3888"/>
      <c r="F52" s="3903"/>
      <c r="G52" s="3904"/>
      <c r="H52" s="3905"/>
      <c r="I52" s="3849">
        <v>117.85586798999999</v>
      </c>
      <c r="J52" s="3847">
        <f>Summary2!D53</f>
        <v>117.85586798999999</v>
      </c>
      <c r="K52" s="3839">
        <f t="shared" si="56"/>
        <v>0</v>
      </c>
      <c r="L52" s="3839">
        <f t="shared" si="57"/>
        <v>0</v>
      </c>
      <c r="M52" s="3844">
        <f>IF(K52="NA","NA",K52/Table8s2!$G$35*100)</f>
        <v>0</v>
      </c>
      <c r="N52" s="3845">
        <f>IF(K52="NA","NA",K52/Table8s2!$G$34*100)</f>
        <v>0</v>
      </c>
      <c r="O52" s="3839">
        <v>142.77396579360004</v>
      </c>
      <c r="P52" s="3839">
        <f>Summary2!E53</f>
        <v>142.77396579360004</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31.180693138900697</v>
      </c>
      <c r="D53" s="3839">
        <f>Summary2!C54</f>
        <v>31.180693138900697</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2482.0112789239538</v>
      </c>
      <c r="J54" s="3847">
        <f>Summary2!D55</f>
        <v>2482.0112789239529</v>
      </c>
      <c r="K54" s="3839">
        <f t="shared" ref="K54" si="62">IF(J54="NO",IF(I54="NO","NA",-I54),IF(I54="NO",J54,J54-I54))</f>
        <v>-9.0949470177292824E-13</v>
      </c>
      <c r="L54" s="3839">
        <f t="shared" ref="L54" si="63">IF(K54="NA","NA",K54/I54*100)</f>
        <v>-3.6643455631967501E-14</v>
      </c>
      <c r="M54" s="3844">
        <f>IF(K54="NA","NA",K54/Table8s2!$G$35*100)</f>
        <v>-1.6711531321761838E-16</v>
      </c>
      <c r="N54" s="3845">
        <f>IF(K54="NA","NA",K54/Table8s2!$G$34*100)</f>
        <v>-1.6814091128664566E-16</v>
      </c>
      <c r="O54" s="3839">
        <v>383.6718682669532</v>
      </c>
      <c r="P54" s="3839">
        <f>Summary2!E55</f>
        <v>198.54134541185593</v>
      </c>
      <c r="Q54" s="3839">
        <f t="shared" ref="Q54" si="64">IF(P54="NO",IF(O54="NO","NA",-O54),IF(O54="NO",P54,P54-O54))</f>
        <v>-185.13052285509727</v>
      </c>
      <c r="R54" s="3839">
        <f t="shared" ref="R54" si="65">IF(Q54="NA","NA",Q54/O54*100)</f>
        <v>-48.252305724506805</v>
      </c>
      <c r="S54" s="3844">
        <f>IF(Q54="NA","NA",Q54/Table8s2!$G$35*100)</f>
        <v>-3.4016850513545166E-2</v>
      </c>
      <c r="T54" s="3845">
        <f>IF(Q54="NA","NA",Q54/Table8s2!$G$34*100)</f>
        <v>-3.4225614243985895E-2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14067.1795586136</v>
      </c>
      <c r="D59" s="3847">
        <f>Summary2!C60</f>
        <v>14067.179558613647</v>
      </c>
      <c r="E59" s="3861">
        <f t="shared" ref="E59" si="66">IF(D59="NO",IF(C59="NO","NA",-C59),IF(C59="NO",D59,D59-C59))</f>
        <v>4.7293724492192268E-11</v>
      </c>
      <c r="F59" s="3861">
        <f t="shared" ref="F59" si="67">IF(E59="NA","NA",E59/C59*100)</f>
        <v>3.3619905322978146E-13</v>
      </c>
      <c r="G59" s="3862">
        <f>IF(E59="NA","NA",E59/Table8s2!$G$35*100)</f>
        <v>8.6899962873161558E-15</v>
      </c>
      <c r="H59" s="3863">
        <f>IF(E59="NA","NA",E59/Table8s2!$G$34*100)</f>
        <v>8.7433273869055745E-15</v>
      </c>
      <c r="I59" s="3847">
        <v>6.7754331464615598</v>
      </c>
      <c r="J59" s="3847">
        <f>Summary2!D60</f>
        <v>6.7754331464615412</v>
      </c>
      <c r="K59" s="3861">
        <f t="shared" ref="K59:K61" si="68">IF(J59="NO",IF(I59="NO","NA",-I59),IF(I59="NO",J59,J59-I59))</f>
        <v>-1.865174681370263E-14</v>
      </c>
      <c r="L59" s="3861">
        <f t="shared" ref="L59:L61" si="69">IF(K59="NA","NA",K59/I59*100)</f>
        <v>-2.7528493618807861E-13</v>
      </c>
      <c r="M59" s="3862">
        <f>IF(K59="NA","NA",K59/Table8s2!$G$35*100)</f>
        <v>-3.4271695093456891E-18</v>
      </c>
      <c r="N59" s="3863">
        <f>IF(K59="NA","NA",K59/Table8s2!$G$34*100)</f>
        <v>-3.4482022822456628E-18</v>
      </c>
      <c r="O59" s="3848">
        <v>32.142744185458753</v>
      </c>
      <c r="P59" s="3847">
        <f>Summary2!E60</f>
        <v>32.142744185457452</v>
      </c>
      <c r="Q59" s="3861">
        <f t="shared" ref="Q59" si="70">IF(P59="NO",IF(O59="NO","NA",-O59),IF(O59="NO",P59,P59-O59))</f>
        <v>-1.3002932064409833E-12</v>
      </c>
      <c r="R59" s="3966">
        <f t="shared" ref="R59" si="71">IF(Q59="NA","NA",Q59/O59*100)</f>
        <v>-4.0453708586251656E-12</v>
      </c>
      <c r="S59" s="3967">
        <f>IF(Q59="NA","NA",Q59/Table8s2!$G$35*100)</f>
        <v>-2.3892267436581377E-16</v>
      </c>
      <c r="T59" s="3968">
        <f>IF(Q59="NA","NA",Q59/Table8s2!$G$34*100)</f>
        <v>-2.4038895910512623E-16</v>
      </c>
    </row>
    <row r="60" spans="2:21" ht="18" customHeight="1" x14ac:dyDescent="0.2">
      <c r="B60" s="1410" t="s">
        <v>111</v>
      </c>
      <c r="C60" s="3847">
        <v>11822.063913813599</v>
      </c>
      <c r="D60" s="3847">
        <f>Summary2!C61</f>
        <v>11822.063913813647</v>
      </c>
      <c r="E60" s="3861">
        <f t="shared" ref="E60:E61" si="72">IF(D60="NO",IF(C60="NO","NA",-C60),IF(C60="NO",D60,D60-C60))</f>
        <v>4.7293724492192268E-11</v>
      </c>
      <c r="F60" s="3861">
        <f t="shared" ref="F60:F61" si="73">IF(E60="NA","NA",E60/C60*100)</f>
        <v>4.0004625957851138E-13</v>
      </c>
      <c r="G60" s="3862">
        <f>IF(E60="NA","NA",E60/Table8s2!$G$35*100)</f>
        <v>8.6899962873161558E-15</v>
      </c>
      <c r="H60" s="3863">
        <f>IF(E60="NA","NA",E60/Table8s2!$G$34*100)</f>
        <v>8.7433273869055745E-15</v>
      </c>
      <c r="I60" s="3847">
        <v>0.77195941846156002</v>
      </c>
      <c r="J60" s="3847">
        <f>Summary2!D61</f>
        <v>0.77195941846153848</v>
      </c>
      <c r="K60" s="3861">
        <f t="shared" si="68"/>
        <v>-2.1538326677728037E-14</v>
      </c>
      <c r="L60" s="3861">
        <f t="shared" si="69"/>
        <v>-2.7900853545710764E-12</v>
      </c>
      <c r="M60" s="3862">
        <f>IF(K60="NA","NA",K60/Table8s2!$G$35*100)</f>
        <v>-3.9575647905539505E-18</v>
      </c>
      <c r="N60" s="3863">
        <f>IF(K60="NA","NA",K60/Table8s2!$G$34*100)</f>
        <v>-3.9818526354503484E-18</v>
      </c>
      <c r="O60" s="3848">
        <v>15.908861145458751</v>
      </c>
      <c r="P60" s="3847">
        <f>Summary2!E61</f>
        <v>15.908861145457447</v>
      </c>
      <c r="Q60" s="3861">
        <f t="shared" ref="Q60:Q61" si="74">IF(P60="NO",IF(O60="NO","NA",-O60),IF(O60="NO",P60,P60-O60))</f>
        <v>-1.3038459201197838E-12</v>
      </c>
      <c r="R60" s="3966">
        <f t="shared" ref="R60:R61" si="75">IF(Q60="NA","NA",Q60/O60*100)</f>
        <v>-8.1957212914135713E-12</v>
      </c>
      <c r="S60" s="3967">
        <f>IF(Q60="NA","NA",Q60/Table8s2!$G$35*100)</f>
        <v>-2.3957546855807011E-16</v>
      </c>
      <c r="T60" s="3968">
        <f>IF(Q60="NA","NA",Q60/Table8s2!$G$34*100)</f>
        <v>-2.4104575953983965E-16</v>
      </c>
    </row>
    <row r="61" spans="2:21" ht="18" customHeight="1" x14ac:dyDescent="0.2">
      <c r="B61" s="1411" t="s">
        <v>1503</v>
      </c>
      <c r="C61" s="3847">
        <v>2245.1156448000002</v>
      </c>
      <c r="D61" s="3847">
        <f>Summary2!C62</f>
        <v>2245.1156448000011</v>
      </c>
      <c r="E61" s="3861">
        <f t="shared" si="72"/>
        <v>9.0949470177292824E-13</v>
      </c>
      <c r="F61" s="3861">
        <f t="shared" si="73"/>
        <v>4.0509926688161671E-14</v>
      </c>
      <c r="G61" s="3862">
        <f>IF(E61="NA","NA",E61/Table8s2!$G$35*100)</f>
        <v>1.6711531321761838E-16</v>
      </c>
      <c r="H61" s="3863">
        <f>IF(E61="NA","NA",E61/Table8s2!$G$34*100)</f>
        <v>1.6814091128664566E-16</v>
      </c>
      <c r="I61" s="3847">
        <v>6.0034737279999995</v>
      </c>
      <c r="J61" s="3847">
        <f>Summary2!D62</f>
        <v>6.003473728000003</v>
      </c>
      <c r="K61" s="3861">
        <f t="shared" si="68"/>
        <v>3.5527136788005009E-15</v>
      </c>
      <c r="L61" s="3861">
        <f t="shared" si="69"/>
        <v>5.9177633479609706E-14</v>
      </c>
      <c r="M61" s="3862">
        <f>IF(K61="NA","NA",K61/Table8s2!$G$35*100)</f>
        <v>6.527941922563218E-19</v>
      </c>
      <c r="N61" s="3863">
        <f>IF(K61="NA","NA",K61/Table8s2!$G$34*100)</f>
        <v>6.5680043471345961E-19</v>
      </c>
      <c r="O61" s="3848">
        <v>16.233883039999998</v>
      </c>
      <c r="P61" s="3847">
        <f>Summary2!E62</f>
        <v>16.233883040000006</v>
      </c>
      <c r="Q61" s="3861">
        <f t="shared" si="74"/>
        <v>7.1054273576010019E-15</v>
      </c>
      <c r="R61" s="3966">
        <f t="shared" si="75"/>
        <v>4.3769117592466051E-14</v>
      </c>
      <c r="S61" s="3967">
        <f>IF(Q61="NA","NA",Q61/Table8s2!$G$35*100)</f>
        <v>1.3055883845126436E-18</v>
      </c>
      <c r="T61" s="3968">
        <f>IF(Q61="NA","NA",Q61/Table8s2!$G$34*100)</f>
        <v>1.3136008694269192E-18</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19106.935055972717</v>
      </c>
      <c r="D63" s="3847">
        <f>Summary2!C64</f>
        <v>19106.935055972721</v>
      </c>
      <c r="E63" s="3861">
        <f t="shared" ref="E63:E65" si="76">IF(D63="NO",IF(C63="NO","NA",-C63),IF(C63="NO",D63,D63-C63))</f>
        <v>3.637978807091713E-12</v>
      </c>
      <c r="F63" s="3861">
        <f t="shared" ref="F63:F65" si="77">IF(E63="NA","NA",E63/C63*100)</f>
        <v>1.9040096155843172E-14</v>
      </c>
      <c r="G63" s="3862">
        <f>IF(E63="NA","NA",E63/Table8s2!$G$35*100)</f>
        <v>6.6846125287047353E-16</v>
      </c>
      <c r="H63" s="3863">
        <f>IF(E63="NA","NA",E63/Table8s2!$G$34*100)</f>
        <v>6.7256364514658264E-16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-299369.37489248632</v>
      </c>
      <c r="D65" s="3849">
        <f>Summary2!C66</f>
        <v>-299793.21230336587</v>
      </c>
      <c r="E65" s="3977">
        <f t="shared" si="76"/>
        <v>-423.83741087955423</v>
      </c>
      <c r="F65" s="3984">
        <f t="shared" si="77"/>
        <v>0.14157674312269539</v>
      </c>
      <c r="G65" s="3985">
        <f>IF(E65="NA","NA",E65/Table8s2!$G$35*100)</f>
        <v>-7.7878102571030741E-2</v>
      </c>
      <c r="H65" s="3986">
        <f>IF(E65="NA","NA",E65/Table8s2!$G$34*100)</f>
        <v>-7.8356045795254292E-2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9343.4630293335176</v>
      </c>
      <c r="D10" s="4019">
        <f>IF(SUM(D11:D30)=0,"NO",SUM(D11:D30))</f>
        <v>9343.4630293335158</v>
      </c>
      <c r="E10" s="4019">
        <f>IF(D10="NO",IF(C10="NO","NA",-C10),IF(C10="NO",D10,D10-C10))</f>
        <v>-1.8189894035458565E-12</v>
      </c>
      <c r="F10" s="4019">
        <f>IF(E10="NA","NA",E10/C10*100)</f>
        <v>-1.9468043035384148E-14</v>
      </c>
      <c r="G10" s="4020">
        <f>IF(E10="NA","NA",E10/$G$35*100)</f>
        <v>-3.3423062643523676E-16</v>
      </c>
      <c r="H10" s="4021">
        <f>IF(E10="NA","NA",E10/$G$34*100)</f>
        <v>-3.3628182257329132E-16</v>
      </c>
      <c r="I10" s="4022">
        <f>IF(SUM(I11:I30)=0,"NO",SUM(I11:I30))</f>
        <v>154.06023702200318</v>
      </c>
      <c r="J10" s="4022">
        <f>IF(SUM(J11:J30)=0,"NO",SUM(J11:J30))</f>
        <v>154.06023702200318</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119.73884475683391</v>
      </c>
      <c r="V10" s="4019">
        <f>IF(SUM(V11:V30)=0,"NO",SUM(V11:V30))</f>
        <v>119.73884475683391</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154.06023702200318</v>
      </c>
      <c r="J13" s="3839">
        <f>'Table2(II)'!AH41</f>
        <v>154.06023702200318</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8929.084415968031</v>
      </c>
      <c r="D21" s="3847">
        <f>'Table2(I)'!F46</f>
        <v>8929.0844159680291</v>
      </c>
      <c r="E21" s="3847">
        <f>IF(D21="NO",IF(C21="NO","NA",-C21),IF(C21="NO",D21,D21-C21))</f>
        <v>-1.8189894035458565E-12</v>
      </c>
      <c r="F21" s="4016">
        <f>IF(E21="NA","NA",E21/C21*100)</f>
        <v>-2.0371510882940333E-14</v>
      </c>
      <c r="G21" s="3871">
        <f>IF(E21="NA","NA",E21/$G$35*100)</f>
        <v>-3.3423062643523676E-16</v>
      </c>
      <c r="H21" s="3872">
        <f>IF(E21="NA","NA",E21/$G$34*100)</f>
        <v>-3.3628182257329132E-16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101.94459624832078</v>
      </c>
      <c r="D22" s="3847">
        <f>'Table2(I)'!F47</f>
        <v>101.94459624832076</v>
      </c>
      <c r="E22" s="3847">
        <f t="shared" ref="E22:E25" si="0">IF(D22="NO",IF(C22="NO","NA",-C22),IF(C22="NO",D22,D22-C22))</f>
        <v>-1.4210854715202004E-14</v>
      </c>
      <c r="F22" s="4016">
        <f t="shared" ref="F22:F25" si="1">IF(E22="NA","NA",E22/C22*100)</f>
        <v>-1.3939782232877383E-14</v>
      </c>
      <c r="G22" s="3871">
        <f t="shared" ref="G22:G25" si="2">IF(E22="NA","NA",E22/$G$35*100)</f>
        <v>-2.6111767690252872E-18</v>
      </c>
      <c r="H22" s="3872">
        <f t="shared" ref="H22:H25" si="3">IF(E22="NA","NA",E22/$G$34*100)</f>
        <v>-2.6272017388538385E-18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68.128559965542337</v>
      </c>
      <c r="D23" s="3847">
        <f>'Table2(I)'!F48</f>
        <v>68.128559965542323</v>
      </c>
      <c r="E23" s="3847">
        <f t="shared" si="0"/>
        <v>-1.4210854715202004E-14</v>
      </c>
      <c r="F23" s="4016">
        <f t="shared" si="1"/>
        <v>-2.085888021468454E-14</v>
      </c>
      <c r="G23" s="3871">
        <f t="shared" si="2"/>
        <v>-2.6111767690252872E-18</v>
      </c>
      <c r="H23" s="3872">
        <f t="shared" si="3"/>
        <v>-2.6272017388538385E-18</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126.00990524770775</v>
      </c>
      <c r="D24" s="3847">
        <f>'Table2(I)'!F49</f>
        <v>126.00990524770778</v>
      </c>
      <c r="E24" s="3847">
        <f t="shared" si="0"/>
        <v>2.8421709430404007E-14</v>
      </c>
      <c r="F24" s="4016">
        <f t="shared" si="1"/>
        <v>2.2555139117463173E-14</v>
      </c>
      <c r="G24" s="3871">
        <f t="shared" si="2"/>
        <v>5.2223535380505744E-18</v>
      </c>
      <c r="H24" s="3872">
        <f t="shared" si="3"/>
        <v>5.2544034777076769E-18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118.29555190391741</v>
      </c>
      <c r="D25" s="3847">
        <f>'Table2(I)'!F50</f>
        <v>118.2955519039174</v>
      </c>
      <c r="E25" s="3847">
        <f t="shared" si="0"/>
        <v>-1.4210854715202004E-14</v>
      </c>
      <c r="F25" s="4016">
        <f t="shared" si="1"/>
        <v>-1.2013008508337163E-14</v>
      </c>
      <c r="G25" s="3871">
        <f t="shared" si="2"/>
        <v>-2.6111767690252872E-18</v>
      </c>
      <c r="H25" s="3872">
        <f t="shared" si="3"/>
        <v>-2.6272017388538385E-18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100.37217327426372</v>
      </c>
      <c r="V27" s="3847">
        <f>IFERROR('Table2(I)'!I53*23500,'Table2(I)'!I53)</f>
        <v>100.37217327426372</v>
      </c>
      <c r="W27" s="3847">
        <f>IF(V27="NO",IF(U27="NO","NA",-U27),IF(U27="NO",V27,V27-U27))</f>
        <v>0</v>
      </c>
      <c r="X27" s="4016">
        <f>IF(W27="NA","NA",W27/U27*100)</f>
        <v>0</v>
      </c>
      <c r="Y27" s="3871">
        <f>IF(W27="NA","NA",W27/$G$35*100)</f>
        <v>0</v>
      </c>
      <c r="Z27" s="3872">
        <f>IF(W27="NA","NA",W27/$G$34*100)</f>
        <v>0</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19.366671482570197</v>
      </c>
      <c r="V28" s="3847">
        <f>IFERROR('Table2(I)'!I54*23500,'Table2(I)'!I54)</f>
        <v>19.366671482570201</v>
      </c>
      <c r="W28" s="3847">
        <f>IF(V28="NO",IF(U28="NO","NA",-U28),IF(U28="NO",V28,V28-U28))</f>
        <v>3.5527136788005009E-15</v>
      </c>
      <c r="X28" s="4016">
        <f>IF(W28="NA","NA",W28/U28*100)</f>
        <v>1.8344472265138107E-14</v>
      </c>
      <c r="Y28" s="3871">
        <f>IF(W28="NA","NA",W28/$G$35*100)</f>
        <v>6.527941922563218E-19</v>
      </c>
      <c r="Z28" s="3872">
        <f>IF(W28="NA","NA",W28/$G$34*100)</f>
        <v>6.5680043471345961E-19</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549496.96240955393</v>
      </c>
      <c r="F34" s="4523"/>
      <c r="G34" s="4522">
        <f>SUM(Table8s1!D10,Table8s1!J10,Table8s1!P10,D10,J10,P10,V10,AB10)</f>
        <v>540912.19966235757</v>
      </c>
      <c r="H34" s="4523"/>
      <c r="I34" s="3839">
        <f>G34-E34</f>
        <v>-8584.7627471963642</v>
      </c>
      <c r="J34" s="4045">
        <f>IF(I34="NA","NA",I34/E34*100)</f>
        <v>-1.5622948504668757</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544785.7604541583</v>
      </c>
      <c r="F35" s="4525"/>
      <c r="G35" s="4526">
        <f>G34-SUM(Table8s1!D41,Table8s1!J41,Table8s1!P41)</f>
        <v>544231.81470424542</v>
      </c>
      <c r="H35" s="4527"/>
      <c r="I35" s="3855">
        <f>G35-E35</f>
        <v>-553.94574991287664</v>
      </c>
      <c r="J35" s="4046">
        <f>IF(I35="NA","NA",I35/E35*100)</f>
        <v>-0.10168139296649056</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1374743.7932447363</v>
      </c>
      <c r="D10" s="1913" t="s">
        <v>1814</v>
      </c>
      <c r="E10" s="628"/>
      <c r="F10" s="628"/>
      <c r="G10" s="628"/>
      <c r="H10" s="1847">
        <f>IF(SUM(H11:H14)=0,"NO",SUM(H11:H14))</f>
        <v>93380.354578501894</v>
      </c>
      <c r="I10" s="1847">
        <f>IF(SUM(I11:I15)=0,"NO",SUM(I11:I15))</f>
        <v>15.183220360497993</v>
      </c>
      <c r="J10" s="2192">
        <f>IF(SUM(J11:J15)=0,"NO",SUM(J11:J15))</f>
        <v>5.4738715668083655</v>
      </c>
    </row>
    <row r="11" spans="2:11" ht="18" customHeight="1" x14ac:dyDescent="0.2">
      <c r="B11" s="282" t="s">
        <v>132</v>
      </c>
      <c r="C11" s="1913">
        <f>IF(SUM(C17:C18,C21:C24,C82,C89:C92,C100)=0,"NO",SUM(C17:C18,C21:C24,C82,C89:C92,C100))</f>
        <v>1354692.1658429678</v>
      </c>
      <c r="D11" s="1909" t="s">
        <v>1814</v>
      </c>
      <c r="E11" s="1913">
        <f>IFERROR(H11*1000/$C11,"NA")</f>
        <v>68.374503415679214</v>
      </c>
      <c r="F11" s="1913">
        <f t="shared" ref="F11:G15" si="0">IFERROR(I11*1000000/$C11,"NA")</f>
        <v>10.652203114038812</v>
      </c>
      <c r="G11" s="1913">
        <f t="shared" si="0"/>
        <v>4.0075605986766147</v>
      </c>
      <c r="H11" s="1913">
        <f>IF(SUM(H17:H18,H21:H24,H82,H89:H92,H100)=0,"NO",SUM(H17:H18,H21:H24,H82,H89:H92,H100))</f>
        <v>92626.404120623876</v>
      </c>
      <c r="I11" s="1913">
        <f>IF(SUM(I17:I18,I21:I24,I82,I89:I92,I100)=0,"NO",SUM(I17:I18,I21:I24,I82,I89:I92,I100))</f>
        <v>14.430456107556443</v>
      </c>
      <c r="J11" s="3085">
        <f>IF(SUM(J17:J18,J21:J24,J82,J89:J92,J100)=0,"NO",SUM(J17:J18,J21:J24,J82,J89:J92,J100))</f>
        <v>5.4290109471681642</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14640.321</v>
      </c>
      <c r="D13" s="1909" t="s">
        <v>1814</v>
      </c>
      <c r="E13" s="1913">
        <f t="shared" si="1"/>
        <v>51.411918339265014</v>
      </c>
      <c r="F13" s="1913">
        <f t="shared" si="0"/>
        <v>36.759296792253515</v>
      </c>
      <c r="G13" s="1913">
        <f t="shared" si="0"/>
        <v>0.35425672019076632</v>
      </c>
      <c r="H13" s="1913">
        <f>IF(SUM(H26,H84,H94,H102)=0,"NO",SUM(H26,H84,H94,H102))</f>
        <v>752.68698771262666</v>
      </c>
      <c r="I13" s="1913">
        <f>IF(SUM(I26,I84,I94,I102)=0,"NO",SUM(I26,I84,I94,I102))</f>
        <v>0.53816790477286169</v>
      </c>
      <c r="J13" s="3085">
        <f>IF(SUM(J26,J84,J94,J102)=0,"NO",SUM(J26,J84,J94,J102))</f>
        <v>5.1864321E-3</v>
      </c>
    </row>
    <row r="14" spans="2:11" ht="18" customHeight="1" x14ac:dyDescent="0.2">
      <c r="B14" s="282" t="s">
        <v>175</v>
      </c>
      <c r="C14" s="1913">
        <f>IF(SUM(C28,C86,C96,C103)=0,"NO",SUM(C28,C86,C96,C103))</f>
        <v>17.236973606995278</v>
      </c>
      <c r="D14" s="1909" t="s">
        <v>1814</v>
      </c>
      <c r="E14" s="1913">
        <f t="shared" si="1"/>
        <v>73.299999999999955</v>
      </c>
      <c r="F14" s="1913" t="str">
        <f t="shared" si="0"/>
        <v>NA</v>
      </c>
      <c r="G14" s="1913" t="str">
        <f t="shared" si="0"/>
        <v>NA</v>
      </c>
      <c r="H14" s="1913">
        <f>IF(SUM(H28,H86,H96,H103)=0,"NO",SUM(H28,H86,H96,H103))</f>
        <v>1.2634701653927531</v>
      </c>
      <c r="I14" s="1913" t="str">
        <f>IF(SUM(I28,I86,I96,I103)=0,"NO",SUM(I28,I86,I96,I103))</f>
        <v>NO</v>
      </c>
      <c r="J14" s="3085" t="str">
        <f>IF(SUM(J28,J86,J96,J103)=0,"NO",SUM(J28,J86,J96,J103))</f>
        <v>NO</v>
      </c>
    </row>
    <row r="15" spans="2:11" ht="18" customHeight="1" x14ac:dyDescent="0.2">
      <c r="B15" s="282" t="s">
        <v>137</v>
      </c>
      <c r="C15" s="1913">
        <f>IF(SUM(C19,C27,C85,C95,C104)=0,"NO",SUM(C19,C27,C85,C95,C104))</f>
        <v>5394.0694281613778</v>
      </c>
      <c r="D15" s="1913" t="s">
        <v>1814</v>
      </c>
      <c r="E15" s="1913">
        <f t="shared" si="1"/>
        <v>67.260000000000048</v>
      </c>
      <c r="F15" s="1913">
        <f t="shared" si="0"/>
        <v>39.783757147863341</v>
      </c>
      <c r="G15" s="1913">
        <f t="shared" si="0"/>
        <v>7.3551495894861336</v>
      </c>
      <c r="H15" s="1913">
        <f>IF(SUM(H19,H27,H85,H95,H104)=0,"NO",SUM(H19,H27,H85,H95,H104))</f>
        <v>362.80510973813455</v>
      </c>
      <c r="I15" s="1913">
        <f>IF(SUM(I19,I27,I85,I95,I104)=0,"NO",SUM(I19,I27,I85,I95,I104))</f>
        <v>0.21459634816868636</v>
      </c>
      <c r="J15" s="3085">
        <f>IF(SUM(J19,J27,J85,J95,J104)=0,"NO",SUM(J19,J27,J85,J95,J104))</f>
        <v>3.9674187540200856E-2</v>
      </c>
    </row>
    <row r="16" spans="2:11" ht="18" customHeight="1" x14ac:dyDescent="0.2">
      <c r="B16" s="1241" t="s">
        <v>176</v>
      </c>
      <c r="C16" s="1913">
        <f>IF(SUM(C17:C19)=0,"NO",SUM(C17:C19))</f>
        <v>122650.26363066801</v>
      </c>
      <c r="D16" s="1909" t="s">
        <v>1814</v>
      </c>
      <c r="E16" s="628"/>
      <c r="F16" s="628"/>
      <c r="G16" s="628"/>
      <c r="H16" s="1913">
        <f>IF(SUM(H17:H18)=0,"NO",SUM(H17:H18))</f>
        <v>8530.4763505596493</v>
      </c>
      <c r="I16" s="1913">
        <f>IF(SUM(I17:I19)=0,"NO",SUM(I17:I19))</f>
        <v>3.3143617507473994E-2</v>
      </c>
      <c r="J16" s="3085">
        <f>IF(SUM(J17:J19)=0,"NO",SUM(J17:J19))</f>
        <v>6.3929280466967872E-2</v>
      </c>
    </row>
    <row r="17" spans="2:10" ht="18" customHeight="1" x14ac:dyDescent="0.2">
      <c r="B17" s="282" t="s">
        <v>177</v>
      </c>
      <c r="C17" s="691">
        <v>2300.7685133999998</v>
      </c>
      <c r="D17" s="1909" t="s">
        <v>1814</v>
      </c>
      <c r="E17" s="1913">
        <f t="shared" ref="E17:E19" si="2">IFERROR(H17*1000/$C17,"NA")</f>
        <v>67.000000000000014</v>
      </c>
      <c r="F17" s="1913">
        <f t="shared" ref="F17:G19" si="3">IFERROR(I17*1000000/$C17,"NA")</f>
        <v>0.50000000000000011</v>
      </c>
      <c r="G17" s="1913">
        <f t="shared" si="3"/>
        <v>2</v>
      </c>
      <c r="H17" s="691">
        <v>154.15149039780002</v>
      </c>
      <c r="I17" s="691">
        <v>1.1503842567000002E-3</v>
      </c>
      <c r="J17" s="2911">
        <v>4.6015370267999999E-3</v>
      </c>
    </row>
    <row r="18" spans="2:10" ht="18" customHeight="1" x14ac:dyDescent="0.2">
      <c r="B18" s="282" t="s">
        <v>178</v>
      </c>
      <c r="C18" s="691">
        <v>120349.495117268</v>
      </c>
      <c r="D18" s="1909" t="s">
        <v>1814</v>
      </c>
      <c r="E18" s="1913">
        <f t="shared" si="2"/>
        <v>69.599999999999966</v>
      </c>
      <c r="F18" s="1913">
        <f t="shared" si="3"/>
        <v>0.26583604043872333</v>
      </c>
      <c r="G18" s="1913">
        <f t="shared" si="3"/>
        <v>0.49296212985654153</v>
      </c>
      <c r="H18" s="691">
        <v>8376.3248601618488</v>
      </c>
      <c r="I18" s="691">
        <v>3.1993233250773995E-2</v>
      </c>
      <c r="J18" s="2911">
        <v>5.9327743440167877E-2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1171771.2396777046</v>
      </c>
      <c r="D20" s="1909" t="s">
        <v>1814</v>
      </c>
      <c r="E20" s="628"/>
      <c r="F20" s="628"/>
      <c r="G20" s="628"/>
      <c r="H20" s="1913">
        <f>IF(SUM(H21:H24,H26,H28)=0,"NO",SUM(H21:H24,H26,H28))</f>
        <v>79464.036664504863</v>
      </c>
      <c r="I20" s="1913">
        <f>IF(SUM(I21:I24,I26:I28)=0,"NO",SUM(I21:I24,I26:I28))</f>
        <v>10.263429594038081</v>
      </c>
      <c r="J20" s="3085">
        <f>IF(SUM(J21:J24,J26:J28)=0,"NO",SUM(J21:J24,J26:J28))</f>
        <v>3.9862450948309904</v>
      </c>
    </row>
    <row r="21" spans="2:10" ht="18" customHeight="1" x14ac:dyDescent="0.2">
      <c r="B21" s="282" t="s">
        <v>167</v>
      </c>
      <c r="C21" s="1913">
        <f>IF(SUM(C31,C41,C51,C61,C72)=0,"NO",SUM(C31,C41,C51,C61,C72))</f>
        <v>601334.27113156486</v>
      </c>
      <c r="D21" s="1909" t="s">
        <v>1814</v>
      </c>
      <c r="E21" s="1913">
        <f t="shared" ref="E21:E23" si="4">IFERROR(H21*1000/$C21,"NA")</f>
        <v>67.399999999999991</v>
      </c>
      <c r="F21" s="1913">
        <f t="shared" ref="F21:G23" si="5">IFERROR(I21*1000000/$C21,"NA")</f>
        <v>9.4014944364137474</v>
      </c>
      <c r="G21" s="1913">
        <f t="shared" si="5"/>
        <v>4.8828211103352297</v>
      </c>
      <c r="H21" s="1913">
        <f>IF(SUM(H31,H41,H51,H61,H72)=0,"NO",SUM(H31,H41,H51,H61,H72))</f>
        <v>40529.929874267465</v>
      </c>
      <c r="I21" s="1913">
        <f>IF(SUM(I31,I41,I51,I61,I72)=0,"NO",SUM(I31,I41,I51,I61,I72))</f>
        <v>5.6534408044683229</v>
      </c>
      <c r="J21" s="3085">
        <f>IF(SUM(J31,J41,J51,J61,J72)=0,"NO",SUM(J31,J41,J51,J61,J72))</f>
        <v>2.9362076734492537</v>
      </c>
    </row>
    <row r="22" spans="2:10" ht="18" customHeight="1" x14ac:dyDescent="0.2">
      <c r="B22" s="282" t="s">
        <v>168</v>
      </c>
      <c r="C22" s="1913">
        <f t="shared" ref="C22:C29" si="6">IF(SUM(C32,C42,C52,C62,C73)=0,"NO",SUM(C32,C42,C52,C62,C73))</f>
        <v>510014.94761336531</v>
      </c>
      <c r="D22" s="1909" t="s">
        <v>1814</v>
      </c>
      <c r="E22" s="1913">
        <f t="shared" si="4"/>
        <v>69.899999999999935</v>
      </c>
      <c r="F22" s="1913">
        <f t="shared" si="5"/>
        <v>5.0449999414095794</v>
      </c>
      <c r="G22" s="1913">
        <f t="shared" si="5"/>
        <v>1.6827102265998644</v>
      </c>
      <c r="H22" s="1913">
        <f t="shared" ref="H22:J29" si="7">IF(SUM(H32,H42,H52,H62,H73)=0,"NO",SUM(H32,H42,H52,H62,H73))</f>
        <v>35650.044838174203</v>
      </c>
      <c r="I22" s="1913">
        <f t="shared" si="7"/>
        <v>2.5730253808274375</v>
      </c>
      <c r="J22" s="3085">
        <f t="shared" si="7"/>
        <v>0.85820736806780396</v>
      </c>
    </row>
    <row r="23" spans="2:10" ht="18" customHeight="1" x14ac:dyDescent="0.2">
      <c r="B23" s="282" t="s">
        <v>169</v>
      </c>
      <c r="C23" s="1913">
        <f t="shared" si="6"/>
        <v>51100.999999999985</v>
      </c>
      <c r="D23" s="1909" t="s">
        <v>1814</v>
      </c>
      <c r="E23" s="1913">
        <f t="shared" si="4"/>
        <v>60.200000000000024</v>
      </c>
      <c r="F23" s="1913">
        <f t="shared" si="5"/>
        <v>28.859399313827385</v>
      </c>
      <c r="G23" s="1913">
        <f t="shared" si="5"/>
        <v>2.9094077222810317</v>
      </c>
      <c r="H23" s="1913">
        <f t="shared" si="7"/>
        <v>3076.2802000000001</v>
      </c>
      <c r="I23" s="1913">
        <f t="shared" si="7"/>
        <v>1.4747441643358927</v>
      </c>
      <c r="J23" s="3085">
        <f t="shared" si="7"/>
        <v>0.14867364401628294</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4036.0000000000009</v>
      </c>
      <c r="D26" s="1909" t="s">
        <v>1814</v>
      </c>
      <c r="E26" s="1913">
        <f t="shared" si="8"/>
        <v>51.411918339264993</v>
      </c>
      <c r="F26" s="1913">
        <f t="shared" si="9"/>
        <v>106.90390104047215</v>
      </c>
      <c r="G26" s="1913">
        <f t="shared" si="9"/>
        <v>0.99999999999999967</v>
      </c>
      <c r="H26" s="1913">
        <f t="shared" si="7"/>
        <v>207.49850241727356</v>
      </c>
      <c r="I26" s="1913">
        <f t="shared" si="7"/>
        <v>0.43146414459934568</v>
      </c>
      <c r="J26" s="3085">
        <f t="shared" si="7"/>
        <v>4.0359999999999997E-3</v>
      </c>
    </row>
    <row r="27" spans="2:10" ht="18" customHeight="1" x14ac:dyDescent="0.2">
      <c r="B27" s="282" t="s">
        <v>137</v>
      </c>
      <c r="C27" s="1913">
        <f t="shared" si="6"/>
        <v>5281.1566811250286</v>
      </c>
      <c r="D27" s="1909" t="s">
        <v>1814</v>
      </c>
      <c r="E27" s="1913">
        <f t="shared" si="8"/>
        <v>67.260000000000048</v>
      </c>
      <c r="F27" s="1913">
        <f t="shared" si="9"/>
        <v>24.758799577828494</v>
      </c>
      <c r="G27" s="1913">
        <f t="shared" si="9"/>
        <v>7.4075456684454419</v>
      </c>
      <c r="H27" s="1913">
        <f t="shared" si="7"/>
        <v>355.21059837246969</v>
      </c>
      <c r="I27" s="1913">
        <f t="shared" si="7"/>
        <v>0.1307550998070845</v>
      </c>
      <c r="J27" s="3085">
        <f t="shared" si="7"/>
        <v>3.9120409297649414E-2</v>
      </c>
    </row>
    <row r="28" spans="2:10" ht="18" customHeight="1" x14ac:dyDescent="0.2">
      <c r="B28" s="282" t="s">
        <v>181</v>
      </c>
      <c r="C28" s="1913">
        <f>C29</f>
        <v>3.8642516495627999</v>
      </c>
      <c r="D28" s="1909" t="s">
        <v>1814</v>
      </c>
      <c r="E28" s="628"/>
      <c r="F28" s="628"/>
      <c r="G28" s="628"/>
      <c r="H28" s="1913">
        <f>H29</f>
        <v>0.28324964591295293</v>
      </c>
      <c r="I28" s="1913" t="str">
        <f>I29</f>
        <v>NE</v>
      </c>
      <c r="J28" s="3085" t="str">
        <f>J29</f>
        <v>NE</v>
      </c>
    </row>
    <row r="29" spans="2:10" ht="18" customHeight="1" x14ac:dyDescent="0.2">
      <c r="B29" s="3105" t="s">
        <v>252</v>
      </c>
      <c r="C29" s="1913">
        <f t="shared" si="6"/>
        <v>3.8642516495627999</v>
      </c>
      <c r="D29" s="1909" t="s">
        <v>1814</v>
      </c>
      <c r="E29" s="3103">
        <f t="shared" ref="E29" si="10">IFERROR(H29*1000/$C29,"NA")</f>
        <v>73.299999999999926</v>
      </c>
      <c r="F29" s="3103" t="str">
        <f>IFERROR(I29*1000000/$C29,"NA")</f>
        <v>NA</v>
      </c>
      <c r="G29" s="3103" t="str">
        <f>IFERROR(J29*1000000/$C29,"NA")</f>
        <v>NA</v>
      </c>
      <c r="H29" s="1913">
        <f t="shared" si="7"/>
        <v>0.28324964591295293</v>
      </c>
      <c r="I29" s="1913" t="str">
        <f>IF(SUM(I39,I49,I59,I69,I80)=0,"NE",SUM(I39,I49,I59,I69,I80))</f>
        <v>NE</v>
      </c>
      <c r="J29" s="3085" t="str">
        <f>IF(SUM(J39,J49,J59,J69,J80)=0,"NE",SUM(J39,J49,J59,J69,J80))</f>
        <v>NE</v>
      </c>
    </row>
    <row r="30" spans="2:10" ht="18" customHeight="1" x14ac:dyDescent="0.2">
      <c r="B30" s="1242" t="s">
        <v>182</v>
      </c>
      <c r="C30" s="1913">
        <f>IF(SUM(C31:C34,C36:C38)=0,"NO",SUM(C31:C34,C36:C38))</f>
        <v>657737.78103270999</v>
      </c>
      <c r="D30" s="1909" t="s">
        <v>1814</v>
      </c>
      <c r="E30" s="628"/>
      <c r="F30" s="628"/>
      <c r="G30" s="628"/>
      <c r="H30" s="1913">
        <f>IF(SUM(H31:H34,H36,H38)=0,"NO",SUM(H31:H34,H36,H38))</f>
        <v>43985.152642024535</v>
      </c>
      <c r="I30" s="1913">
        <f>IF(SUM(I31:I34,I36:I38)=0,"NO",SUM(I31:I34,I36:I38))</f>
        <v>6.1954602271951602</v>
      </c>
      <c r="J30" s="3085">
        <f>IF(SUM(J31:J34,J36:J38)=0,"NO",SUM(J31:J34,J36:J38))</f>
        <v>2.8871211525141822</v>
      </c>
    </row>
    <row r="31" spans="2:10" ht="18" customHeight="1" x14ac:dyDescent="0.2">
      <c r="B31" s="282" t="s">
        <v>167</v>
      </c>
      <c r="C31" s="691">
        <v>523859.22607755801</v>
      </c>
      <c r="D31" s="1909" t="s">
        <v>1814</v>
      </c>
      <c r="E31" s="1913">
        <f t="shared" ref="E31:E33" si="11">IFERROR(H31*1000/$C31,"NA")</f>
        <v>67.400000000000006</v>
      </c>
      <c r="F31" s="1913">
        <f t="shared" ref="F31:G33" si="12">IFERROR(I31*1000000/$C31,"NA")</f>
        <v>8.5747004785502767</v>
      </c>
      <c r="G31" s="1913">
        <f t="shared" si="12"/>
        <v>5.0219857538669244</v>
      </c>
      <c r="H31" s="691">
        <v>35308.11183762741</v>
      </c>
      <c r="I31" s="691">
        <v>4.4919359565402139</v>
      </c>
      <c r="J31" s="2911">
        <v>2.6308135703932489</v>
      </c>
    </row>
    <row r="32" spans="2:10" ht="18" customHeight="1" x14ac:dyDescent="0.2">
      <c r="B32" s="282" t="s">
        <v>168</v>
      </c>
      <c r="C32" s="691">
        <v>92712.335690587293</v>
      </c>
      <c r="D32" s="1909" t="s">
        <v>1814</v>
      </c>
      <c r="E32" s="1913">
        <f t="shared" si="11"/>
        <v>69.90000000000002</v>
      </c>
      <c r="F32" s="1913">
        <f t="shared" si="12"/>
        <v>4.5012884676317793</v>
      </c>
      <c r="G32" s="1913">
        <f t="shared" si="12"/>
        <v>1.2306864027565079</v>
      </c>
      <c r="H32" s="691">
        <v>6480.5922647720536</v>
      </c>
      <c r="I32" s="691">
        <v>0.41732496745124681</v>
      </c>
      <c r="J32" s="2911">
        <v>0.11409981090220268</v>
      </c>
    </row>
    <row r="33" spans="2:10" ht="18" customHeight="1" x14ac:dyDescent="0.2">
      <c r="B33" s="282" t="s">
        <v>169</v>
      </c>
      <c r="C33" s="691">
        <v>36435.242152466402</v>
      </c>
      <c r="D33" s="1909" t="s">
        <v>1814</v>
      </c>
      <c r="E33" s="1913">
        <f t="shared" si="11"/>
        <v>60.199999999999953</v>
      </c>
      <c r="F33" s="1913">
        <f t="shared" si="12"/>
        <v>31.847292500694593</v>
      </c>
      <c r="G33" s="1913">
        <f t="shared" si="12"/>
        <v>3.0348608786930207</v>
      </c>
      <c r="H33" s="691">
        <v>2193.4015775784756</v>
      </c>
      <c r="I33" s="691">
        <v>1.1603638141632349</v>
      </c>
      <c r="J33" s="2911">
        <v>0.11057589101422718</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59.265675061819806</v>
      </c>
      <c r="D36" s="1909" t="s">
        <v>1814</v>
      </c>
      <c r="E36" s="1913">
        <f t="shared" si="13"/>
        <v>51.411918339264965</v>
      </c>
      <c r="F36" s="1913">
        <f t="shared" si="14"/>
        <v>260.99999999999983</v>
      </c>
      <c r="G36" s="1913">
        <f t="shared" si="14"/>
        <v>0.99999999999999911</v>
      </c>
      <c r="H36" s="691">
        <v>3.0469620465996918</v>
      </c>
      <c r="I36" s="691">
        <v>1.5468341191134959E-2</v>
      </c>
      <c r="J36" s="2911">
        <v>5.9265675061819753E-5</v>
      </c>
    </row>
    <row r="37" spans="2:10" ht="18" customHeight="1" x14ac:dyDescent="0.2">
      <c r="B37" s="282" t="s">
        <v>137</v>
      </c>
      <c r="C37" s="691">
        <v>4671.7114370364097</v>
      </c>
      <c r="D37" s="1909" t="s">
        <v>1814</v>
      </c>
      <c r="E37" s="1913">
        <f t="shared" si="13"/>
        <v>67.260000000000048</v>
      </c>
      <c r="F37" s="1913">
        <f t="shared" si="14"/>
        <v>23.624564431432962</v>
      </c>
      <c r="G37" s="1913">
        <f t="shared" si="14"/>
        <v>6.7582544330842911</v>
      </c>
      <c r="H37" s="691">
        <v>314.21931125506916</v>
      </c>
      <c r="I37" s="691">
        <v>0.11036714784932894</v>
      </c>
      <c r="J37" s="2911">
        <v>3.1572614529441899E-2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202331.98775090711</v>
      </c>
      <c r="D40" s="1909" t="s">
        <v>1814</v>
      </c>
      <c r="E40" s="628"/>
      <c r="F40" s="628"/>
      <c r="G40" s="628"/>
      <c r="H40" s="1913">
        <f>IF(SUM(H41:H44,H46,H48)=0,"NO",SUM(H41:H44,H46,H48))</f>
        <v>13819.286284193584</v>
      </c>
      <c r="I40" s="1913">
        <f>IF(SUM(I41:I44,I46:I48)=0,"NO",SUM(I41:I44,I46:I48))</f>
        <v>2.1061592319858908</v>
      </c>
      <c r="J40" s="3085">
        <f>IF(SUM(J41:J44,J46:J48)=0,"NO",SUM(J41:J44,J46:J48))</f>
        <v>0.53645072959660955</v>
      </c>
    </row>
    <row r="41" spans="2:10" ht="18" customHeight="1" x14ac:dyDescent="0.2">
      <c r="B41" s="282" t="s">
        <v>167</v>
      </c>
      <c r="C41" s="691">
        <v>71663.556987372402</v>
      </c>
      <c r="D41" s="1909" t="s">
        <v>1814</v>
      </c>
      <c r="E41" s="1913">
        <f t="shared" ref="E41:E43" si="16">IFERROR(H41*1000/$C41,"NA")</f>
        <v>67.400000000000034</v>
      </c>
      <c r="F41" s="1913">
        <f t="shared" ref="F41:G43" si="17">IFERROR(I41*1000000/$C41,"NA")</f>
        <v>11.333626654405061</v>
      </c>
      <c r="G41" s="1913">
        <f t="shared" si="17"/>
        <v>4.180861648012197</v>
      </c>
      <c r="H41" s="691">
        <v>4830.1237409489022</v>
      </c>
      <c r="I41" s="691">
        <v>0.81220799962155987</v>
      </c>
      <c r="J41" s="2911">
        <v>0.29961541696864175</v>
      </c>
    </row>
    <row r="42" spans="2:10" ht="18" customHeight="1" x14ac:dyDescent="0.2">
      <c r="B42" s="282" t="s">
        <v>168</v>
      </c>
      <c r="C42" s="691">
        <v>119628.82024591901</v>
      </c>
      <c r="D42" s="1909" t="s">
        <v>1814</v>
      </c>
      <c r="E42" s="1913">
        <f t="shared" si="16"/>
        <v>69.900000000000034</v>
      </c>
      <c r="F42" s="1913">
        <f t="shared" si="17"/>
        <v>8.1468309765868412</v>
      </c>
      <c r="G42" s="1913">
        <f t="shared" si="17"/>
        <v>1.646721149582445</v>
      </c>
      <c r="H42" s="691">
        <v>8362.0545351897435</v>
      </c>
      <c r="I42" s="691">
        <v>0.97459577847199208</v>
      </c>
      <c r="J42" s="2911">
        <v>0.19699530839855142</v>
      </c>
    </row>
    <row r="43" spans="2:10" ht="18" customHeight="1" x14ac:dyDescent="0.2">
      <c r="B43" s="282" t="s">
        <v>169</v>
      </c>
      <c r="C43" s="691">
        <v>10340.505044843001</v>
      </c>
      <c r="D43" s="1909" t="s">
        <v>1814</v>
      </c>
      <c r="E43" s="1913">
        <f t="shared" si="16"/>
        <v>60.200000000000294</v>
      </c>
      <c r="F43" s="1913">
        <f t="shared" si="17"/>
        <v>26.649199536483501</v>
      </c>
      <c r="G43" s="1913">
        <f t="shared" si="17"/>
        <v>3.1142143534454094</v>
      </c>
      <c r="H43" s="691">
        <v>622.49840369955166</v>
      </c>
      <c r="I43" s="691">
        <v>0.27556618224803536</v>
      </c>
      <c r="J43" s="2911">
        <v>3.2202549232524739E-2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89.660228684090498</v>
      </c>
      <c r="D46" s="1909" t="s">
        <v>1814</v>
      </c>
      <c r="E46" s="1913">
        <f t="shared" si="18"/>
        <v>51.411918339265021</v>
      </c>
      <c r="F46" s="1913">
        <f t="shared" si="19"/>
        <v>261.00000000000006</v>
      </c>
      <c r="G46" s="1913">
        <f t="shared" si="19"/>
        <v>1.0000000000000002</v>
      </c>
      <c r="H46" s="691">
        <v>4.6096043553862884</v>
      </c>
      <c r="I46" s="691">
        <v>2.3401319686547628E-2</v>
      </c>
      <c r="J46" s="2911">
        <v>8.9660228684090523E-5</v>
      </c>
    </row>
    <row r="47" spans="2:10" ht="18" customHeight="1" x14ac:dyDescent="0.2">
      <c r="B47" s="282" t="s">
        <v>137</v>
      </c>
      <c r="C47" s="691">
        <v>609.44524408861901</v>
      </c>
      <c r="D47" s="1909" t="s">
        <v>1814</v>
      </c>
      <c r="E47" s="1913">
        <f t="shared" si="18"/>
        <v>67.260000000000034</v>
      </c>
      <c r="F47" s="1913">
        <f t="shared" si="19"/>
        <v>33.453295690647728</v>
      </c>
      <c r="G47" s="1913">
        <f t="shared" si="19"/>
        <v>12.384697134678106</v>
      </c>
      <c r="H47" s="691">
        <v>40.991287117400532</v>
      </c>
      <c r="I47" s="691">
        <v>2.038795195775555E-2</v>
      </c>
      <c r="J47" s="2911">
        <v>7.5477947682075185E-3</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307330.39371662406</v>
      </c>
      <c r="D50" s="1909" t="s">
        <v>1814</v>
      </c>
      <c r="E50" s="628"/>
      <c r="F50" s="628"/>
      <c r="G50" s="628"/>
      <c r="H50" s="1913">
        <f>IF(SUM(H51:H54,H56,H58)=0,"NO",SUM(H51:H54,H56,H58))</f>
        <v>21364.964337440961</v>
      </c>
      <c r="I50" s="1913">
        <f>IF(SUM(I51:I54,I56:I58)=0,"NO",SUM(I51:I54,I56:I58))</f>
        <v>1.6371585643980708</v>
      </c>
      <c r="J50" s="3085">
        <f>IF(SUM(J51:J54,J56:J58)=0,"NO",SUM(J51:J54,J56:J58))</f>
        <v>0.55834452511407839</v>
      </c>
    </row>
    <row r="51" spans="2:10" ht="18" customHeight="1" x14ac:dyDescent="0.2">
      <c r="B51" s="282" t="s">
        <v>167</v>
      </c>
      <c r="C51" s="691">
        <v>1444.2751408203701</v>
      </c>
      <c r="D51" s="1909" t="s">
        <v>1814</v>
      </c>
      <c r="E51" s="1913">
        <f t="shared" ref="E51:E53" si="21">IFERROR(H51*1000/$C51,"NA")</f>
        <v>67.399999999999764</v>
      </c>
      <c r="F51" s="1913">
        <f t="shared" ref="F51:G53" si="22">IFERROR(I51*1000000/$C51,"NA")</f>
        <v>17.064115521359643</v>
      </c>
      <c r="G51" s="1913">
        <f t="shared" si="22"/>
        <v>1.0039627770785566</v>
      </c>
      <c r="H51" s="691">
        <v>97.34414449129261</v>
      </c>
      <c r="I51" s="691">
        <v>2.4645277847586765E-2</v>
      </c>
      <c r="J51" s="2911">
        <v>1.4499984812435423E-3</v>
      </c>
    </row>
    <row r="52" spans="2:10" ht="18" customHeight="1" x14ac:dyDescent="0.2">
      <c r="B52" s="282" t="s">
        <v>168</v>
      </c>
      <c r="C52" s="691">
        <v>297673.79167685902</v>
      </c>
      <c r="D52" s="1909" t="s">
        <v>1814</v>
      </c>
      <c r="E52" s="1913">
        <f t="shared" si="21"/>
        <v>69.899999999999878</v>
      </c>
      <c r="F52" s="1913">
        <f t="shared" si="22"/>
        <v>3.967781739369086</v>
      </c>
      <c r="G52" s="1913">
        <f t="shared" si="22"/>
        <v>1.8379590816008742</v>
      </c>
      <c r="H52" s="691">
        <v>20807.398038212406</v>
      </c>
      <c r="I52" s="691">
        <v>1.1811046349041985</v>
      </c>
      <c r="J52" s="2911">
        <v>0.54711224876704978</v>
      </c>
    </row>
    <row r="53" spans="2:10" ht="18" customHeight="1" x14ac:dyDescent="0.2">
      <c r="B53" s="282" t="s">
        <v>169</v>
      </c>
      <c r="C53" s="691">
        <v>4325.2528026905793</v>
      </c>
      <c r="D53" s="1909" t="s">
        <v>1814</v>
      </c>
      <c r="E53" s="1913">
        <f t="shared" si="21"/>
        <v>60.200000000000053</v>
      </c>
      <c r="F53" s="1913">
        <f t="shared" si="22"/>
        <v>8.9738495517481951</v>
      </c>
      <c r="G53" s="1913">
        <f t="shared" si="22"/>
        <v>1.362973226874469</v>
      </c>
      <c r="H53" s="691">
        <v>260.38021872197311</v>
      </c>
      <c r="I53" s="691">
        <v>3.8814167924622479E-2</v>
      </c>
      <c r="J53" s="2911">
        <v>5.8952037695310204E-3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3887.0740962540904</v>
      </c>
      <c r="D56" s="1909" t="s">
        <v>1814</v>
      </c>
      <c r="E56" s="1913">
        <f t="shared" si="23"/>
        <v>51.411918339265</v>
      </c>
      <c r="F56" s="1913">
        <f t="shared" si="24"/>
        <v>101</v>
      </c>
      <c r="G56" s="1913">
        <f t="shared" si="24"/>
        <v>0.99999999999999978</v>
      </c>
      <c r="H56" s="691">
        <v>199.84193601528759</v>
      </c>
      <c r="I56" s="691">
        <v>0.39259448372166311</v>
      </c>
      <c r="J56" s="2911">
        <v>3.8870740962540897E-3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4371.0771774635232</v>
      </c>
      <c r="D60" s="1909" t="s">
        <v>1814</v>
      </c>
      <c r="E60" s="628"/>
      <c r="F60" s="628"/>
      <c r="G60" s="628"/>
      <c r="H60" s="1913">
        <f>IF(SUM(H61:H64,H66,H68)=0,"NO",SUM(H61:H64,H66,H68))</f>
        <v>294.63340084577396</v>
      </c>
      <c r="I60" s="1913">
        <f>IF(SUM(I61:I64,I66:I68)=0,"NO",SUM(I61:I64,I66:I68))</f>
        <v>0.3246515704589622</v>
      </c>
      <c r="J60" s="3085">
        <f>IF(SUM(J61:J64,J66:J68)=0,"NO",SUM(J61:J64,J66:J68))</f>
        <v>4.3286876061194969E-3</v>
      </c>
    </row>
    <row r="61" spans="2:10" ht="18" customHeight="1" x14ac:dyDescent="0.2">
      <c r="B61" s="282" t="s">
        <v>167</v>
      </c>
      <c r="C61" s="691">
        <v>4367.2129258139603</v>
      </c>
      <c r="D61" s="1909" t="s">
        <v>1814</v>
      </c>
      <c r="E61" s="1913">
        <f t="shared" ref="E61:E63" si="26">IFERROR(H61*1000/$C61,"NA")</f>
        <v>67.400000000000006</v>
      </c>
      <c r="F61" s="1913">
        <f t="shared" ref="F61:G63" si="27">IFERROR(I61*1000000/$C61,"NA")</f>
        <v>74.338388343740689</v>
      </c>
      <c r="G61" s="1913">
        <f t="shared" si="27"/>
        <v>0.99117851124987622</v>
      </c>
      <c r="H61" s="691">
        <v>294.35015119986099</v>
      </c>
      <c r="I61" s="691">
        <v>0.3246515704589622</v>
      </c>
      <c r="J61" s="2911">
        <v>4.3286876061194969E-3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3.8642516495627999</v>
      </c>
      <c r="D68" s="1909" t="s">
        <v>1814</v>
      </c>
      <c r="E68" s="628"/>
      <c r="F68" s="628"/>
      <c r="G68" s="628"/>
      <c r="H68" s="1913">
        <f>H69</f>
        <v>0.28324964591295293</v>
      </c>
      <c r="I68" s="1913" t="str">
        <f>I69</f>
        <v>NE</v>
      </c>
      <c r="J68" s="3085" t="str">
        <f>J69</f>
        <v>NE</v>
      </c>
    </row>
    <row r="69" spans="2:10" ht="18" customHeight="1" x14ac:dyDescent="0.2">
      <c r="B69" s="3105" t="s">
        <v>252</v>
      </c>
      <c r="C69" s="691">
        <v>3.8642516495627999</v>
      </c>
      <c r="D69" s="1909" t="s">
        <v>1814</v>
      </c>
      <c r="E69" s="3103">
        <f t="shared" ref="E69" si="30">IFERROR(H69*1000/$C69,"NA")</f>
        <v>73.299999999999926</v>
      </c>
      <c r="F69" s="3103" t="str">
        <f>IFERROR(I69*1000000/$C69,"NA")</f>
        <v>NA</v>
      </c>
      <c r="G69" s="3103" t="str">
        <f>IFERROR(J69*1000000/$C69,"NA")</f>
        <v>NA</v>
      </c>
      <c r="H69" s="691">
        <v>0.28324964591295293</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46337.504999999997</v>
      </c>
      <c r="D81" s="1909" t="s">
        <v>1814</v>
      </c>
      <c r="E81" s="628"/>
      <c r="F81" s="628"/>
      <c r="G81" s="628"/>
      <c r="H81" s="1913">
        <f>IF(SUM(H82:H84,H86)=0,"NO",SUM(H82:H84,H86))</f>
        <v>3238.9971680000003</v>
      </c>
      <c r="I81" s="1913">
        <f>IF(SUM(I82:I86)=0,"NO",SUM(I82:I86))</f>
        <v>0.18534400000000001</v>
      </c>
      <c r="J81" s="3085">
        <f>IF(SUM(J82:J86)=0,"NO",SUM(J82:J86))</f>
        <v>1.3900799999999998</v>
      </c>
    </row>
    <row r="82" spans="2:10" ht="18" customHeight="1" x14ac:dyDescent="0.2">
      <c r="B82" s="282" t="s">
        <v>132</v>
      </c>
      <c r="C82" s="691">
        <v>46337.504999999997</v>
      </c>
      <c r="D82" s="1909" t="s">
        <v>1814</v>
      </c>
      <c r="E82" s="1913">
        <f t="shared" ref="E82:E85" si="36">IFERROR(H82*1000/$C82,"NA")</f>
        <v>69.900120172633393</v>
      </c>
      <c r="F82" s="1913">
        <f t="shared" ref="F82:G85" si="37">IFERROR(I82*1000000/$C82,"NA")</f>
        <v>3.9998700836395922</v>
      </c>
      <c r="G82" s="1913">
        <f t="shared" si="37"/>
        <v>29.999025627296934</v>
      </c>
      <c r="H82" s="691">
        <v>3238.9971680000003</v>
      </c>
      <c r="I82" s="691">
        <v>0.18534400000000001</v>
      </c>
      <c r="J82" s="2911">
        <v>1.3900799999999998</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22837.845353263609</v>
      </c>
      <c r="D88" s="1909" t="s">
        <v>1814</v>
      </c>
      <c r="E88" s="628"/>
      <c r="F88" s="628"/>
      <c r="G88" s="628"/>
      <c r="H88" s="1913">
        <f>IF(SUM(H89:H92,H94,H96)=0,"NO",SUM(H89:H92,H94,H96))</f>
        <v>1564.5610350060367</v>
      </c>
      <c r="I88" s="3334">
        <f>IF(SUM(I89:I92,I94:I96)=0,"NE",SUM(I89:I92,I94:I96))</f>
        <v>4.5839209246066366</v>
      </c>
      <c r="J88" s="3335">
        <f>IF(SUM(J89:J92,J94:J96)=0,"NE",SUM(J89:J92,J94:J96))</f>
        <v>3.2427773106085071E-2</v>
      </c>
    </row>
    <row r="89" spans="2:10" ht="18" customHeight="1" x14ac:dyDescent="0.2">
      <c r="B89" s="282" t="s">
        <v>190</v>
      </c>
      <c r="C89" s="691">
        <v>2205.5892450108799</v>
      </c>
      <c r="D89" s="1909" t="s">
        <v>1814</v>
      </c>
      <c r="E89" s="1913">
        <f t="shared" ref="E89:E91" si="39">IFERROR(H89*1000/$C89,"NA")</f>
        <v>73.599999999999966</v>
      </c>
      <c r="F89" s="1913">
        <f t="shared" ref="F89:G91" si="40">IFERROR(I89*1000000/$C89,"NA")</f>
        <v>6.9999999999999973</v>
      </c>
      <c r="G89" s="1913">
        <f t="shared" si="40"/>
        <v>1.9999999999999987</v>
      </c>
      <c r="H89" s="691">
        <v>162.3313684328007</v>
      </c>
      <c r="I89" s="3336">
        <v>1.5439124715076153E-2</v>
      </c>
      <c r="J89" s="3337">
        <v>4.4111784900217575E-3</v>
      </c>
    </row>
    <row r="90" spans="2:10" ht="18" customHeight="1" x14ac:dyDescent="0.2">
      <c r="B90" s="282" t="s">
        <v>191</v>
      </c>
      <c r="C90" s="691">
        <v>8180.3037145334902</v>
      </c>
      <c r="D90" s="1909" t="s">
        <v>1814</v>
      </c>
      <c r="E90" s="1913">
        <f t="shared" si="39"/>
        <v>69.899999999999991</v>
      </c>
      <c r="F90" s="1913">
        <f t="shared" si="40"/>
        <v>6.9999999999999982</v>
      </c>
      <c r="G90" s="1913">
        <f t="shared" si="40"/>
        <v>1.9999999999999998</v>
      </c>
      <c r="H90" s="691">
        <v>571.80322964589084</v>
      </c>
      <c r="I90" s="3336">
        <v>5.7262126001734415E-2</v>
      </c>
      <c r="J90" s="3337">
        <v>1.6360607429066979E-2</v>
      </c>
    </row>
    <row r="91" spans="2:10" ht="18" customHeight="1" x14ac:dyDescent="0.2">
      <c r="B91" s="282" t="s">
        <v>167</v>
      </c>
      <c r="C91" s="691">
        <v>12242.652425989301</v>
      </c>
      <c r="D91" s="1909" t="s">
        <v>1814</v>
      </c>
      <c r="E91" s="1913">
        <f t="shared" si="39"/>
        <v>67.399999999999906</v>
      </c>
      <c r="F91" s="1913">
        <f t="shared" si="40"/>
        <v>359.99999999999949</v>
      </c>
      <c r="G91" s="1913">
        <f t="shared" si="40"/>
        <v>0.89999999999999858</v>
      </c>
      <c r="H91" s="691">
        <v>825.15477351167772</v>
      </c>
      <c r="I91" s="3336">
        <v>4.4073548733561418</v>
      </c>
      <c r="J91" s="3337">
        <v>1.1018387183390354E-2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100</v>
      </c>
      <c r="D94" s="1909" t="s">
        <v>1814</v>
      </c>
      <c r="E94" s="1913">
        <f t="shared" ref="E94:E95" si="43">IFERROR(H94*1000/$C94,"NA")</f>
        <v>51.411918339265</v>
      </c>
      <c r="F94" s="1913">
        <f t="shared" si="42"/>
        <v>243.00000000000003</v>
      </c>
      <c r="G94" s="1913">
        <f t="shared" si="42"/>
        <v>1</v>
      </c>
      <c r="H94" s="691">
        <v>5.1411918339265004</v>
      </c>
      <c r="I94" s="3336">
        <v>2.4300000000000002E-2</v>
      </c>
      <c r="J94" s="3337">
        <v>1E-4</v>
      </c>
    </row>
    <row r="95" spans="2:10" ht="18" customHeight="1" x14ac:dyDescent="0.2">
      <c r="B95" s="282" t="s">
        <v>137</v>
      </c>
      <c r="C95" s="691">
        <v>107.520000721195</v>
      </c>
      <c r="D95" s="1909" t="s">
        <v>1814</v>
      </c>
      <c r="E95" s="1913">
        <f t="shared" si="43"/>
        <v>67.26000000000019</v>
      </c>
      <c r="F95" s="1913">
        <f t="shared" si="42"/>
        <v>740.00000000000216</v>
      </c>
      <c r="G95" s="1913">
        <f t="shared" si="42"/>
        <v>5.0000000000000142</v>
      </c>
      <c r="H95" s="691">
        <v>7.2317952485075967</v>
      </c>
      <c r="I95" s="3336">
        <v>7.9564800533684532E-2</v>
      </c>
      <c r="J95" s="3337">
        <v>5.3760000360597658E-4</v>
      </c>
    </row>
    <row r="96" spans="2:10" ht="18" customHeight="1" x14ac:dyDescent="0.2">
      <c r="B96" s="282" t="s">
        <v>183</v>
      </c>
      <c r="C96" s="1913">
        <f>IF(SUM(C97:C98)=0,"NO",SUM(C97:C98))</f>
        <v>1.77996700874408</v>
      </c>
      <c r="D96" s="1909" t="s">
        <v>1814</v>
      </c>
      <c r="E96" s="628"/>
      <c r="F96" s="628"/>
      <c r="G96" s="628"/>
      <c r="H96" s="1913">
        <f>IF(SUM(H97:H98)=0,"NO",SUM(H97:H98))</f>
        <v>0.13047158174094139</v>
      </c>
      <c r="I96" s="3334" t="str">
        <f>IF(SUM(I97:I98)=0,"NE",SUM(I97:I98))</f>
        <v>NE</v>
      </c>
      <c r="J96" s="3335" t="str">
        <f>IF(SUM(J97:J98)=0,"NE",SUM(J97:J98))</f>
        <v>NE</v>
      </c>
    </row>
    <row r="97" spans="2:10" ht="18" customHeight="1" x14ac:dyDescent="0.2">
      <c r="B97" s="2572" t="s">
        <v>2260</v>
      </c>
      <c r="C97" s="691" t="s">
        <v>2146</v>
      </c>
      <c r="D97" s="1909" t="s">
        <v>1814</v>
      </c>
      <c r="E97" s="3103" t="str">
        <f t="shared" ref="E97" si="44">IFERROR(H97*1000/$C97,"NA")</f>
        <v>NA</v>
      </c>
      <c r="F97" s="3103" t="str">
        <f>IFERROR(I97*1000000/$C97,"NA")</f>
        <v>NA</v>
      </c>
      <c r="G97" s="3103" t="str">
        <f>IFERROR(J97*1000000/$C97,"NA")</f>
        <v>NA</v>
      </c>
      <c r="H97" s="691" t="s">
        <v>2146</v>
      </c>
      <c r="I97" s="3336" t="s">
        <v>2146</v>
      </c>
      <c r="J97" s="3337" t="s">
        <v>2146</v>
      </c>
    </row>
    <row r="98" spans="2:10" ht="18" customHeight="1" x14ac:dyDescent="0.2">
      <c r="B98" s="2572" t="s">
        <v>252</v>
      </c>
      <c r="C98" s="691">
        <v>1.77996700874408</v>
      </c>
      <c r="D98" s="1909" t="s">
        <v>1814</v>
      </c>
      <c r="E98" s="3103">
        <f t="shared" ref="E98" si="45">IFERROR(H98*1000/$C98,"NA")</f>
        <v>73.300000000000182</v>
      </c>
      <c r="F98" s="3103" t="str">
        <f>IFERROR(I98*1000000/$C98,"NA")</f>
        <v>NA</v>
      </c>
      <c r="G98" s="3103" t="str">
        <f>IFERROR(J98*1000000/$C98,"NA")</f>
        <v>NA</v>
      </c>
      <c r="H98" s="691">
        <v>0.13047158174094139</v>
      </c>
      <c r="I98" s="3336" t="s">
        <v>2154</v>
      </c>
      <c r="J98" s="3337" t="s">
        <v>2154</v>
      </c>
    </row>
    <row r="99" spans="2:10" ht="18" customHeight="1" x14ac:dyDescent="0.2">
      <c r="B99" s="1241" t="s">
        <v>193</v>
      </c>
      <c r="C99" s="1913">
        <f>IF(SUM(C100:C104)=0,"NO",SUM(C100:C104))</f>
        <v>11146.939583099764</v>
      </c>
      <c r="D99" s="1909" t="s">
        <v>1814</v>
      </c>
      <c r="E99" s="628"/>
      <c r="F99" s="628"/>
      <c r="G99" s="628"/>
      <c r="H99" s="1913">
        <f>IF(SUM(H100:H103)=0,"NO",SUM(H100:H103))</f>
        <v>582.28336043136494</v>
      </c>
      <c r="I99" s="1913">
        <f>IF(SUM(I100:I104)=0,"NO",SUM(I100:I104))</f>
        <v>0.11738222434579504</v>
      </c>
      <c r="J99" s="3085">
        <f>IF(SUM(J100:J104)=0,"NO",SUM(J100:J104))</f>
        <v>1.1894184043229096E-3</v>
      </c>
    </row>
    <row r="100" spans="2:10" ht="18" customHeight="1" x14ac:dyDescent="0.2">
      <c r="B100" s="282" t="s">
        <v>132</v>
      </c>
      <c r="C100" s="1913">
        <f>IF(SUM(C106,C113:C116)=0,"NO",SUM(C106,C113:C116))</f>
        <v>625.63308183592267</v>
      </c>
      <c r="D100" s="1909" t="s">
        <v>1814</v>
      </c>
      <c r="E100" s="3103">
        <f t="shared" ref="E100:E104" si="46">IFERROR(H100*1000/$C100,"NA")</f>
        <v>66.151102353397434</v>
      </c>
      <c r="F100" s="3103">
        <f t="shared" ref="F100:G104" si="47">IFERROR(I100*1000000/$C100,"NA")</f>
        <v>49.07351806631857</v>
      </c>
      <c r="G100" s="3103">
        <f t="shared" si="47"/>
        <v>0.19629407226527426</v>
      </c>
      <c r="H100" s="1913">
        <f>IF(SUM(H106,H113:H116)=0,"NO",SUM(H106,H113:H116))</f>
        <v>41.386318032199597</v>
      </c>
      <c r="I100" s="1913">
        <f>IF(SUM(I106,I113:I116)=0,"NO",SUM(I106,I113:I116))</f>
        <v>3.0702016344361718E-2</v>
      </c>
      <c r="J100" s="3085">
        <f>IF(SUM(J106,J113:J116)=0,"NO",SUM(J106,J113:J116))</f>
        <v>1.2280806537744686E-4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10504.321</v>
      </c>
      <c r="D102" s="1909" t="s">
        <v>1814</v>
      </c>
      <c r="E102" s="3103">
        <f t="shared" si="46"/>
        <v>51.411918339265007</v>
      </c>
      <c r="F102" s="3103">
        <f t="shared" si="47"/>
        <v>7.84474885844749</v>
      </c>
      <c r="G102" s="3103">
        <f t="shared" si="47"/>
        <v>0.1</v>
      </c>
      <c r="H102" s="1913">
        <f t="shared" si="48"/>
        <v>540.04729346142653</v>
      </c>
      <c r="I102" s="1913">
        <f t="shared" si="48"/>
        <v>8.2403760173516E-2</v>
      </c>
      <c r="J102" s="3085">
        <f t="shared" si="48"/>
        <v>1.0504321E-3</v>
      </c>
    </row>
    <row r="103" spans="2:10" ht="18" customHeight="1" x14ac:dyDescent="0.2">
      <c r="B103" s="282" t="s">
        <v>175</v>
      </c>
      <c r="C103" s="1913">
        <f>IF(SUM(C109,C120)=0,"NO",SUM(C109,C120))</f>
        <v>11.5927549486884</v>
      </c>
      <c r="D103" s="1909" t="s">
        <v>1814</v>
      </c>
      <c r="E103" s="3103">
        <f t="shared" si="46"/>
        <v>73.299999999999912</v>
      </c>
      <c r="F103" s="3103" t="str">
        <f t="shared" si="47"/>
        <v>NA</v>
      </c>
      <c r="G103" s="3103" t="str">
        <f t="shared" si="47"/>
        <v>NA</v>
      </c>
      <c r="H103" s="1913">
        <f t="shared" si="48"/>
        <v>0.84974893773885873</v>
      </c>
      <c r="I103" s="1913" t="str">
        <f t="shared" si="48"/>
        <v>NO</v>
      </c>
      <c r="J103" s="3085" t="str">
        <f t="shared" si="48"/>
        <v>NO</v>
      </c>
    </row>
    <row r="104" spans="2:10" ht="18" customHeight="1" x14ac:dyDescent="0.2">
      <c r="B104" s="282" t="s">
        <v>137</v>
      </c>
      <c r="C104" s="1913">
        <f>IF(SUM(C110,C121)=0,"NO",SUM(C110,C121))</f>
        <v>5.3927463151542501</v>
      </c>
      <c r="D104" s="1909" t="s">
        <v>1814</v>
      </c>
      <c r="E104" s="3103">
        <f t="shared" si="46"/>
        <v>67.260000000000062</v>
      </c>
      <c r="F104" s="3103">
        <f t="shared" si="47"/>
        <v>793.00000000000091</v>
      </c>
      <c r="G104" s="3103">
        <f t="shared" si="47"/>
        <v>3.0000000000000022</v>
      </c>
      <c r="H104" s="1913">
        <f t="shared" si="48"/>
        <v>0.36271611715727514</v>
      </c>
      <c r="I104" s="1913">
        <f t="shared" si="48"/>
        <v>4.276447827917325E-3</v>
      </c>
      <c r="J104" s="3085">
        <f t="shared" si="48"/>
        <v>1.6178238945462764E-5</v>
      </c>
    </row>
    <row r="105" spans="2:10" ht="18" customHeight="1" x14ac:dyDescent="0.2">
      <c r="B105" s="1244" t="s">
        <v>194</v>
      </c>
      <c r="C105" s="1913">
        <f>IF(SUM(C106:C110)=0,"NO",SUM(C106:C110))</f>
        <v>10504.321</v>
      </c>
      <c r="D105" s="1909" t="s">
        <v>1814</v>
      </c>
      <c r="E105" s="628"/>
      <c r="F105" s="628"/>
      <c r="G105" s="628"/>
      <c r="H105" s="1913">
        <f>IF(SUM(H106:H109)=0,"NO",SUM(H106:H109))</f>
        <v>540.04729346142653</v>
      </c>
      <c r="I105" s="1913">
        <f>IF(SUM(I106:I110)=0,"NO",SUM(I106:I110))</f>
        <v>8.2403760173516E-2</v>
      </c>
      <c r="J105" s="3085">
        <f>IF(SUM(J106:J110)=0,"NO",SUM(J106:J110))</f>
        <v>1.0504321E-3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10504.321</v>
      </c>
      <c r="D108" s="1909" t="s">
        <v>1814</v>
      </c>
      <c r="E108" s="3103">
        <f t="shared" si="49"/>
        <v>51.411918339265007</v>
      </c>
      <c r="F108" s="3103">
        <f t="shared" si="50"/>
        <v>7.84474885844749</v>
      </c>
      <c r="G108" s="3103">
        <f t="shared" si="50"/>
        <v>0.1</v>
      </c>
      <c r="H108" s="691">
        <v>540.04729346142653</v>
      </c>
      <c r="I108" s="691">
        <v>8.2403760173516E-2</v>
      </c>
      <c r="J108" s="2911">
        <v>1.0504321E-3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642.61858309976526</v>
      </c>
      <c r="D111" s="1909" t="s">
        <v>1814</v>
      </c>
      <c r="E111" s="628"/>
      <c r="F111" s="628"/>
      <c r="G111" s="628"/>
      <c r="H111" s="1913">
        <f>H112</f>
        <v>42.236066969938456</v>
      </c>
      <c r="I111" s="1913">
        <f>I112</f>
        <v>3.4978464172279046E-2</v>
      </c>
      <c r="J111" s="3085">
        <f>J112</f>
        <v>1.3898630432290963E-4</v>
      </c>
    </row>
    <row r="112" spans="2:10" ht="18" customHeight="1" x14ac:dyDescent="0.2">
      <c r="B112" s="3089" t="s">
        <v>2148</v>
      </c>
      <c r="C112" s="3099">
        <f>IF(SUM(C113:C116,C118:C121)=0,"NO",SUM(C113:C116,C118:C121))</f>
        <v>642.61858309976526</v>
      </c>
      <c r="D112" s="3099" t="s">
        <v>1814</v>
      </c>
      <c r="E112" s="628"/>
      <c r="F112" s="628"/>
      <c r="G112" s="628"/>
      <c r="H112" s="3099">
        <f>IF(SUM(H113:H116,H118:H120)=0,"NO",SUM(H113:H116,H118:H120))</f>
        <v>42.236066969938456</v>
      </c>
      <c r="I112" s="3099">
        <f>IF(SUM(I113:I116,I118:I121)=0,"NO",SUM(I113:I116,I118:I121))</f>
        <v>3.4978464172279046E-2</v>
      </c>
      <c r="J112" s="3100">
        <f>IF(SUM(J113:J116,J118:J121)=0,"NO",SUM(J113:J116,J118:J121))</f>
        <v>1.3898630432290963E-4</v>
      </c>
    </row>
    <row r="113" spans="2:10" ht="18" customHeight="1" x14ac:dyDescent="0.2">
      <c r="B113" s="282" t="s">
        <v>167</v>
      </c>
      <c r="C113" s="691">
        <v>625.63308183592267</v>
      </c>
      <c r="D113" s="1913" t="s">
        <v>1814</v>
      </c>
      <c r="E113" s="1913">
        <f t="shared" ref="E113:E115" si="51">IFERROR(H113*1000/$C113,"NA")</f>
        <v>66.151102353397434</v>
      </c>
      <c r="F113" s="1913">
        <f t="shared" ref="F113:G115" si="52">IFERROR(I113*1000000/$C113,"NA")</f>
        <v>49.07351806631857</v>
      </c>
      <c r="G113" s="1913">
        <f t="shared" si="52"/>
        <v>0.19629407226527426</v>
      </c>
      <c r="H113" s="691">
        <v>41.386318032199597</v>
      </c>
      <c r="I113" s="691">
        <v>3.0702016344361718E-2</v>
      </c>
      <c r="J113" s="2911">
        <v>1.2280806537744686E-4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11.5927549486884</v>
      </c>
      <c r="D120" s="1909" t="s">
        <v>1814</v>
      </c>
      <c r="E120" s="3103">
        <f t="shared" si="53"/>
        <v>73.299999999999912</v>
      </c>
      <c r="F120" s="3103" t="str">
        <f t="shared" si="54"/>
        <v>NA</v>
      </c>
      <c r="G120" s="3103" t="str">
        <f t="shared" si="54"/>
        <v>NA</v>
      </c>
      <c r="H120" s="691">
        <v>0.84974893773885873</v>
      </c>
      <c r="I120" s="691" t="s">
        <v>2154</v>
      </c>
      <c r="J120" s="2911" t="s">
        <v>2154</v>
      </c>
    </row>
    <row r="121" spans="2:10" ht="18" customHeight="1" thickBot="1" x14ac:dyDescent="0.25">
      <c r="B121" s="2185" t="s">
        <v>137</v>
      </c>
      <c r="C121" s="1559">
        <v>5.3927463151542501</v>
      </c>
      <c r="D121" s="2880" t="s">
        <v>1814</v>
      </c>
      <c r="E121" s="3104">
        <f t="shared" si="53"/>
        <v>67.260000000000062</v>
      </c>
      <c r="F121" s="3104">
        <f t="shared" si="54"/>
        <v>793.00000000000091</v>
      </c>
      <c r="G121" s="3104">
        <f t="shared" si="54"/>
        <v>3.0000000000000022</v>
      </c>
      <c r="H121" s="1559">
        <v>0.36271611715727514</v>
      </c>
      <c r="I121" s="1559">
        <v>4.276447827917325E-3</v>
      </c>
      <c r="J121" s="1561">
        <v>1.6178238945462764E-5</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416036.34119206318</v>
      </c>
      <c r="D10" s="3109" t="s">
        <v>1814</v>
      </c>
      <c r="E10" s="2135"/>
      <c r="F10" s="2135"/>
      <c r="G10" s="2135"/>
      <c r="H10" s="3109">
        <f>IF(SUM(H11:H15)=0,"NO",SUM(H11:H15))</f>
        <v>21335.584177847282</v>
      </c>
      <c r="I10" s="3109">
        <f>IF(SUM(I11:I16)=0,"NO",SUM(I11:I16))</f>
        <v>37.157189392663291</v>
      </c>
      <c r="J10" s="3109">
        <f>IF(SUM(J11:J16)=0,"NO",SUM(J11:J16))</f>
        <v>0.69205372598082704</v>
      </c>
      <c r="K10" s="420" t="str">
        <f>IF(SUM(K11:K16)=0,"NO",SUM(K11:K16))</f>
        <v>NO</v>
      </c>
    </row>
    <row r="11" spans="2:12" ht="18" customHeight="1" x14ac:dyDescent="0.2">
      <c r="B11" s="282" t="s">
        <v>132</v>
      </c>
      <c r="C11" s="1913">
        <f>IF(SUM(C18,C39,C60)=0,"NO",SUM(C18,C39,C60))</f>
        <v>155764.45445257935</v>
      </c>
      <c r="D11" s="3109" t="s">
        <v>1814</v>
      </c>
      <c r="E11" s="1913">
        <f t="shared" ref="E11:E16" si="0">IFERROR(H11*1000/$C11,"NA")</f>
        <v>68.332505590223747</v>
      </c>
      <c r="F11" s="1913">
        <f t="shared" ref="F11:G16" si="1">IFERROR(I11*1000000/$C11,"NA")</f>
        <v>9.0866406202390877</v>
      </c>
      <c r="G11" s="1913">
        <f t="shared" si="1"/>
        <v>2.6103128218638045</v>
      </c>
      <c r="H11" s="1913">
        <f>IF(SUM(H18,H39,H60)=0,"NO",SUM(H18,H39,H60))</f>
        <v>10643.775454639032</v>
      </c>
      <c r="I11" s="1913">
        <f>IF(SUM(I18,I39,I60)=0,"NO",SUM(I18,I39,I60))</f>
        <v>1.4153756190181888</v>
      </c>
      <c r="J11" s="1913">
        <f>IF(SUM(J18,J39,J60)=0,"NO",SUM(J18,J39,J60))</f>
        <v>0.40659395264818843</v>
      </c>
      <c r="K11" s="3085" t="str">
        <f>IF(SUM(K18,K39,K60)=0,"NO",SUM(K18,K39,K60))</f>
        <v>NO</v>
      </c>
    </row>
    <row r="12" spans="2:12" ht="18" customHeight="1" x14ac:dyDescent="0.2">
      <c r="B12" s="282" t="s">
        <v>133</v>
      </c>
      <c r="C12" s="1913">
        <f t="shared" ref="C12:C16" si="2">IF(SUM(C19,C40,C61)=0,"NO",SUM(C19,C40,C61))</f>
        <v>256.23688281151908</v>
      </c>
      <c r="D12" s="3109" t="s">
        <v>1814</v>
      </c>
      <c r="E12" s="1913">
        <f t="shared" si="0"/>
        <v>92.262731506046151</v>
      </c>
      <c r="F12" s="1913">
        <f t="shared" si="1"/>
        <v>0.95238095238095222</v>
      </c>
      <c r="G12" s="1913">
        <f t="shared" si="1"/>
        <v>0.66666666666666663</v>
      </c>
      <c r="H12" s="1913">
        <f t="shared" ref="H12:K16" si="3">IF(SUM(H19,H40,H61)=0,"NO",SUM(H19,H40,H61))</f>
        <v>23.641114720785396</v>
      </c>
      <c r="I12" s="1913">
        <f t="shared" si="3"/>
        <v>2.44035126487161E-4</v>
      </c>
      <c r="J12" s="1913">
        <f t="shared" si="3"/>
        <v>1.7082458854101269E-4</v>
      </c>
      <c r="K12" s="3085" t="str">
        <f t="shared" si="3"/>
        <v>NO</v>
      </c>
    </row>
    <row r="13" spans="2:12" ht="18" customHeight="1" x14ac:dyDescent="0.2">
      <c r="B13" s="282" t="s">
        <v>134</v>
      </c>
      <c r="C13" s="1913">
        <f t="shared" si="2"/>
        <v>207494.41461321886</v>
      </c>
      <c r="D13" s="3109" t="s">
        <v>1814</v>
      </c>
      <c r="E13" s="1913">
        <f t="shared" si="0"/>
        <v>51.414239888690595</v>
      </c>
      <c r="F13" s="1913">
        <f t="shared" si="1"/>
        <v>0.90909090909090906</v>
      </c>
      <c r="G13" s="1913">
        <f t="shared" si="1"/>
        <v>0.90909090909090906</v>
      </c>
      <c r="H13" s="1913">
        <f t="shared" si="3"/>
        <v>10668.167608487463</v>
      </c>
      <c r="I13" s="1913">
        <f t="shared" si="3"/>
        <v>0.18863128601201715</v>
      </c>
      <c r="J13" s="1913">
        <f t="shared" si="3"/>
        <v>0.18863128601201715</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52521.235243453411</v>
      </c>
      <c r="D16" s="3109" t="s">
        <v>1814</v>
      </c>
      <c r="E16" s="1913">
        <f t="shared" si="0"/>
        <v>76.599778305729771</v>
      </c>
      <c r="F16" s="1913">
        <f t="shared" si="1"/>
        <v>676.92502447261359</v>
      </c>
      <c r="G16" s="1913">
        <f t="shared" si="1"/>
        <v>1.840353949865039</v>
      </c>
      <c r="H16" s="1913">
        <f t="shared" si="3"/>
        <v>4023.1149759916129</v>
      </c>
      <c r="I16" s="1913">
        <f t="shared" si="3"/>
        <v>35.552938452506595</v>
      </c>
      <c r="J16" s="1913">
        <f t="shared" si="3"/>
        <v>9.6657662732080388E-2</v>
      </c>
      <c r="K16" s="3085" t="str">
        <f t="shared" si="3"/>
        <v>NO</v>
      </c>
    </row>
    <row r="17" spans="2:11" ht="18" customHeight="1" x14ac:dyDescent="0.2">
      <c r="B17" s="1241" t="s">
        <v>1942</v>
      </c>
      <c r="C17" s="3109">
        <f>IF(SUM(C18:C23)=0,"NO",SUM(C18:C23))</f>
        <v>89544.895211981042</v>
      </c>
      <c r="D17" s="3109" t="s">
        <v>1814</v>
      </c>
      <c r="E17" s="628"/>
      <c r="F17" s="628"/>
      <c r="G17" s="628"/>
      <c r="H17" s="3078">
        <f>IF(SUM(H18:H22)=0,"NO",SUM(H18:H22))</f>
        <v>5183.5398118242083</v>
      </c>
      <c r="I17" s="3078">
        <f>IF(SUM(I18:I23)=0,"NO",SUM(I18:I23))</f>
        <v>0.11647174466850535</v>
      </c>
      <c r="J17" s="3110">
        <f>IF(SUM(J18:J23)=0,"NO",SUM(J18:J23))</f>
        <v>0.10062140219915497</v>
      </c>
      <c r="K17" s="3085" t="str">
        <f>IF(SUM(K18:K23)=0,"NO",SUM(K18:K23))</f>
        <v>NO</v>
      </c>
    </row>
    <row r="18" spans="2:11" ht="18" customHeight="1" x14ac:dyDescent="0.2">
      <c r="B18" s="282" t="s">
        <v>132</v>
      </c>
      <c r="C18" s="3109">
        <f>IF(SUM(C26,C33)=0,"NO",SUM(C26,C33))</f>
        <v>41093.251547620406</v>
      </c>
      <c r="D18" s="3109" t="s">
        <v>1814</v>
      </c>
      <c r="E18" s="1913">
        <f t="shared" ref="E18" si="4">IFERROR(H18*1000/$C18,"NA")</f>
        <v>68.58108154706099</v>
      </c>
      <c r="F18" s="1913">
        <f t="shared" ref="F18:G23" si="5">IFERROR(I18*1000000/$C18,"NA")</f>
        <v>1.672069261078303</v>
      </c>
      <c r="G18" s="1913">
        <f t="shared" si="5"/>
        <v>1.345031709887434</v>
      </c>
      <c r="H18" s="3109">
        <f>IF(SUM(H26,H33)=0,"NO",SUM(H26,H33))</f>
        <v>2818.2196354212451</v>
      </c>
      <c r="I18" s="3109">
        <f>IF(SUM(I26,I33)=0,"NO",SUM(I26,I33))</f>
        <v>6.871076275053449E-2</v>
      </c>
      <c r="J18" s="3109">
        <f>IF(SUM(J26,J33)=0,"NO",SUM(J26,J33))</f>
        <v>5.5271726393930326E-2</v>
      </c>
      <c r="K18" s="3085" t="str">
        <f>IF(SUM(K26,K33)=0,"NO",SUM(K26,K33))</f>
        <v>NO</v>
      </c>
    </row>
    <row r="19" spans="2:11" ht="18" customHeight="1" x14ac:dyDescent="0.2">
      <c r="B19" s="282" t="s">
        <v>133</v>
      </c>
      <c r="C19" s="3109">
        <f t="shared" ref="C19:C21" si="6">IF(SUM(C27,C34)=0,"NO",SUM(C27,C34))</f>
        <v>239.89993148848797</v>
      </c>
      <c r="D19" s="3109" t="s">
        <v>1814</v>
      </c>
      <c r="E19" s="1913">
        <f t="shared" ref="E19:E23" si="7">IFERROR(H19*1000/$C19,"NA")</f>
        <v>92.076326191687258</v>
      </c>
      <c r="F19" s="1913">
        <f t="shared" si="5"/>
        <v>0.95238095238095233</v>
      </c>
      <c r="G19" s="1913">
        <f t="shared" si="5"/>
        <v>0.66666666666666663</v>
      </c>
      <c r="H19" s="3109">
        <f t="shared" ref="H19:K21" si="8">IF(SUM(H27,H34)=0,"NO",SUM(H27,H34))</f>
        <v>22.089104345097443</v>
      </c>
      <c r="I19" s="3109">
        <f t="shared" si="8"/>
        <v>2.2847612522713137E-4</v>
      </c>
      <c r="J19" s="3109">
        <f t="shared" si="8"/>
        <v>1.5993328765899197E-4</v>
      </c>
      <c r="K19" s="3085" t="str">
        <f t="shared" si="8"/>
        <v>NO</v>
      </c>
    </row>
    <row r="20" spans="2:11" ht="18" customHeight="1" x14ac:dyDescent="0.2">
      <c r="B20" s="282" t="s">
        <v>134</v>
      </c>
      <c r="C20" s="3109">
        <f t="shared" si="6"/>
        <v>45568.215293175861</v>
      </c>
      <c r="D20" s="3109" t="s">
        <v>1814</v>
      </c>
      <c r="E20" s="1913">
        <f t="shared" si="7"/>
        <v>51.422489491458741</v>
      </c>
      <c r="F20" s="1913">
        <f t="shared" si="5"/>
        <v>0.90909090909090895</v>
      </c>
      <c r="G20" s="1913">
        <f t="shared" si="5"/>
        <v>0.90909090909090895</v>
      </c>
      <c r="H20" s="3109">
        <f t="shared" si="8"/>
        <v>2343.2310720578653</v>
      </c>
      <c r="I20" s="3109">
        <f t="shared" si="8"/>
        <v>4.1425650266523499E-2</v>
      </c>
      <c r="J20" s="3109">
        <f t="shared" si="8"/>
        <v>4.1425650266523499E-2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2643.5284396962797</v>
      </c>
      <c r="D23" s="3109" t="s">
        <v>1814</v>
      </c>
      <c r="E23" s="1913">
        <f t="shared" si="7"/>
        <v>59.121968422672232</v>
      </c>
      <c r="F23" s="1913">
        <f t="shared" si="5"/>
        <v>2.3101153119887972</v>
      </c>
      <c r="G23" s="1913">
        <f t="shared" si="5"/>
        <v>1.4238894481024074</v>
      </c>
      <c r="H23" s="3109">
        <f>IF(SUM(H31,H37)=0,"NO",SUM(H31,H37))</f>
        <v>156.29060493615944</v>
      </c>
      <c r="I23" s="3109">
        <f>IF(SUM(I31,I37)=0,"NO",SUM(I31,I37))</f>
        <v>6.1068555262202302E-3</v>
      </c>
      <c r="J23" s="3109">
        <f>IF(SUM(J31,J37)=0,"NO",SUM(J31,J37))</f>
        <v>3.7640922510421538E-3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89544.895211981042</v>
      </c>
      <c r="D25" s="3078" t="s">
        <v>1814</v>
      </c>
      <c r="E25" s="628"/>
      <c r="F25" s="628"/>
      <c r="G25" s="628"/>
      <c r="H25" s="3078">
        <f>IF(SUM(H26:H30)=0,"NO",SUM(H26:H30))</f>
        <v>5183.5398118242083</v>
      </c>
      <c r="I25" s="3078">
        <f>IF(SUM(I26:I31)=0,"NO",SUM(I26:I31))</f>
        <v>0.11647174466850535</v>
      </c>
      <c r="J25" s="3110">
        <f>IF(SUM(J26:J31)=0,"NO",SUM(J26:J31))</f>
        <v>0.10062140219915497</v>
      </c>
      <c r="K25" s="3085" t="str">
        <f>IF(SUM(K26:K31)=0,"NO",SUM(K26:K31))</f>
        <v>NO</v>
      </c>
    </row>
    <row r="26" spans="2:11" ht="18" customHeight="1" x14ac:dyDescent="0.2">
      <c r="B26" s="282" t="s">
        <v>132</v>
      </c>
      <c r="C26" s="691">
        <v>41093.251547620406</v>
      </c>
      <c r="D26" s="3078" t="s">
        <v>1814</v>
      </c>
      <c r="E26" s="1913">
        <f t="shared" ref="E26:E31" si="9">IFERROR(H26*1000/$C26,"NA")</f>
        <v>68.58108154706099</v>
      </c>
      <c r="F26" s="1913">
        <f t="shared" ref="F26:G31" si="10">IFERROR(I26*1000000/$C26,"NA")</f>
        <v>1.672069261078303</v>
      </c>
      <c r="G26" s="1913">
        <f t="shared" si="10"/>
        <v>1.345031709887434</v>
      </c>
      <c r="H26" s="691">
        <v>2818.2196354212451</v>
      </c>
      <c r="I26" s="691">
        <v>6.871076275053449E-2</v>
      </c>
      <c r="J26" s="691">
        <v>5.5271726393930326E-2</v>
      </c>
      <c r="K26" s="2911" t="s">
        <v>2146</v>
      </c>
    </row>
    <row r="27" spans="2:11" ht="18" customHeight="1" x14ac:dyDescent="0.2">
      <c r="B27" s="282" t="s">
        <v>133</v>
      </c>
      <c r="C27" s="691">
        <v>239.89993148848797</v>
      </c>
      <c r="D27" s="3078" t="s">
        <v>1814</v>
      </c>
      <c r="E27" s="1913">
        <f t="shared" si="9"/>
        <v>92.076326191687258</v>
      </c>
      <c r="F27" s="1913">
        <f t="shared" si="10"/>
        <v>0.95238095238095233</v>
      </c>
      <c r="G27" s="1913">
        <f t="shared" si="10"/>
        <v>0.66666666666666663</v>
      </c>
      <c r="H27" s="691">
        <v>22.089104345097443</v>
      </c>
      <c r="I27" s="691">
        <v>2.2847612522713137E-4</v>
      </c>
      <c r="J27" s="691">
        <v>1.5993328765899197E-4</v>
      </c>
      <c r="K27" s="2911" t="s">
        <v>2146</v>
      </c>
    </row>
    <row r="28" spans="2:11" ht="18" customHeight="1" x14ac:dyDescent="0.2">
      <c r="B28" s="282" t="s">
        <v>134</v>
      </c>
      <c r="C28" s="691">
        <v>45568.215293175861</v>
      </c>
      <c r="D28" s="3078" t="s">
        <v>1814</v>
      </c>
      <c r="E28" s="1913">
        <f t="shared" si="9"/>
        <v>51.422489491458741</v>
      </c>
      <c r="F28" s="1913">
        <f t="shared" si="10"/>
        <v>0.90909090909090895</v>
      </c>
      <c r="G28" s="1913">
        <f t="shared" si="10"/>
        <v>0.90909090909090895</v>
      </c>
      <c r="H28" s="691">
        <v>2343.2310720578653</v>
      </c>
      <c r="I28" s="691">
        <v>4.1425650266523499E-2</v>
      </c>
      <c r="J28" s="691">
        <v>4.1425650266523499E-2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2643.5284396962797</v>
      </c>
      <c r="D31" s="3078" t="s">
        <v>1814</v>
      </c>
      <c r="E31" s="1913">
        <f t="shared" si="9"/>
        <v>59.121968422672232</v>
      </c>
      <c r="F31" s="1913">
        <f t="shared" si="10"/>
        <v>2.3101153119887972</v>
      </c>
      <c r="G31" s="1913">
        <f t="shared" si="10"/>
        <v>1.4238894481024074</v>
      </c>
      <c r="H31" s="691">
        <v>156.29060493615944</v>
      </c>
      <c r="I31" s="691">
        <v>6.1068555262202302E-3</v>
      </c>
      <c r="J31" s="691">
        <v>3.7640922510421538E-3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230428.95388738171</v>
      </c>
      <c r="D38" s="3078" t="s">
        <v>1814</v>
      </c>
      <c r="E38" s="628"/>
      <c r="F38" s="628"/>
      <c r="G38" s="628"/>
      <c r="H38" s="1913">
        <f>IF(SUM(H39:H43)=0,"NO",SUM(H39:H43))</f>
        <v>9498.1362898578391</v>
      </c>
      <c r="I38" s="1913">
        <f>IF(SUM(I39:I44)=0,"NO",SUM(I39:I44))</f>
        <v>36.396941079045341</v>
      </c>
      <c r="J38" s="1913">
        <f>IF(SUM(J39:J44)=0,"NO",SUM(J39:J44))</f>
        <v>0.25045507612636003</v>
      </c>
      <c r="K38" s="3085" t="str">
        <f>IF(SUM(K39:K44)=0,"NO",SUM(K39:K44))</f>
        <v>NO</v>
      </c>
    </row>
    <row r="39" spans="2:11" ht="18" customHeight="1" x14ac:dyDescent="0.2">
      <c r="B39" s="282" t="s">
        <v>132</v>
      </c>
      <c r="C39" s="3109">
        <f>IF(SUM(C47,C54)=0,"NO",SUM(C47,C54))</f>
        <v>19936.672812258548</v>
      </c>
      <c r="D39" s="3078" t="s">
        <v>1814</v>
      </c>
      <c r="E39" s="1913">
        <f t="shared" ref="E39:E44" si="13">IFERROR(H39*1000/$C39,"NA")</f>
        <v>62.192966129825052</v>
      </c>
      <c r="F39" s="1913">
        <f t="shared" ref="F39:G44" si="14">IFERROR(I39*1000000/$C39,"NA")</f>
        <v>35.316601327133121</v>
      </c>
      <c r="G39" s="1913">
        <f t="shared" si="14"/>
        <v>0.57944557196430169</v>
      </c>
      <c r="H39" s="1913">
        <f>IF(SUM(H47,H54)=0,"NO",SUM(H47,H54))</f>
        <v>1239.9208169541998</v>
      </c>
      <c r="I39" s="1913">
        <f>IF(SUM(I47,I54)=0,"NO",SUM(I47,I54))</f>
        <v>0.70409552550002907</v>
      </c>
      <c r="J39" s="1913">
        <f>IF(SUM(J47,J54)=0,"NO",SUM(J47,J54))</f>
        <v>1.1552216780764298E-2</v>
      </c>
      <c r="K39" s="3085" t="str">
        <f>IF(SUM(K47,K54)=0,"NO",SUM(K47,K54))</f>
        <v>NO</v>
      </c>
    </row>
    <row r="40" spans="2:11" ht="18" customHeight="1" x14ac:dyDescent="0.2">
      <c r="B40" s="282" t="s">
        <v>133</v>
      </c>
      <c r="C40" s="3109">
        <f t="shared" ref="C40:C42" si="15">IF(SUM(C48,C55)=0,"NO",SUM(C48,C55))</f>
        <v>16.336951323031101</v>
      </c>
      <c r="D40" s="3078" t="s">
        <v>1814</v>
      </c>
      <c r="E40" s="1913">
        <f t="shared" si="13"/>
        <v>94.999999999999986</v>
      </c>
      <c r="F40" s="1913">
        <f t="shared" si="14"/>
        <v>0.95238095238095222</v>
      </c>
      <c r="G40" s="1913">
        <f t="shared" si="14"/>
        <v>0.66666666666666663</v>
      </c>
      <c r="H40" s="1913">
        <f t="shared" ref="H40:K42" si="16">IF(SUM(H48,H55)=0,"NO",SUM(H48,H55))</f>
        <v>1.5520103756879544</v>
      </c>
      <c r="I40" s="1913">
        <f t="shared" si="16"/>
        <v>1.5559001260029619E-5</v>
      </c>
      <c r="J40" s="1913">
        <f t="shared" si="16"/>
        <v>1.0891300882020733E-5</v>
      </c>
      <c r="K40" s="3085" t="str">
        <f t="shared" si="16"/>
        <v>NO</v>
      </c>
    </row>
    <row r="41" spans="2:11" ht="18" customHeight="1" x14ac:dyDescent="0.2">
      <c r="B41" s="282" t="s">
        <v>134</v>
      </c>
      <c r="C41" s="3109">
        <f t="shared" si="15"/>
        <v>160598.237320043</v>
      </c>
      <c r="D41" s="3078" t="s">
        <v>1814</v>
      </c>
      <c r="E41" s="1913">
        <f t="shared" si="13"/>
        <v>51.411918339265</v>
      </c>
      <c r="F41" s="1913">
        <f t="shared" si="14"/>
        <v>0.90909090909090917</v>
      </c>
      <c r="G41" s="1913">
        <f t="shared" si="14"/>
        <v>0.90909090909090917</v>
      </c>
      <c r="H41" s="1913">
        <f t="shared" si="16"/>
        <v>8256.6634625279512</v>
      </c>
      <c r="I41" s="1913">
        <f t="shared" si="16"/>
        <v>0.14599839756367547</v>
      </c>
      <c r="J41" s="1913">
        <f t="shared" si="16"/>
        <v>0.14599839756367547</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49877.70680375713</v>
      </c>
      <c r="D44" s="3078" t="s">
        <v>1814</v>
      </c>
      <c r="E44" s="1913">
        <f t="shared" si="13"/>
        <v>77.526105726339807</v>
      </c>
      <c r="F44" s="1913">
        <f t="shared" si="14"/>
        <v>712.67974962920198</v>
      </c>
      <c r="G44" s="1913">
        <f t="shared" si="14"/>
        <v>1.8624266517810488</v>
      </c>
      <c r="H44" s="1913">
        <f>IF(SUM(H52,H58)=0,"NO",SUM(H52,H58))</f>
        <v>3866.8243710554534</v>
      </c>
      <c r="I44" s="1913">
        <f>IF(SUM(I52,I58)=0,"NO",SUM(I52,I58))</f>
        <v>35.546831596980375</v>
      </c>
      <c r="J44" s="1913">
        <f>IF(SUM(J52,J58)=0,"NO",SUM(J52,J58))</f>
        <v>9.2893570481038232E-2</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226512.8756277294</v>
      </c>
      <c r="D46" s="3078" t="s">
        <v>1814</v>
      </c>
      <c r="E46" s="628"/>
      <c r="F46" s="628"/>
      <c r="G46" s="628"/>
      <c r="H46" s="1913">
        <f>IF(SUM(H47:H51)=0,"NO",SUM(H47:H51))</f>
        <v>9236.0894277673233</v>
      </c>
      <c r="I46" s="1913">
        <f>IF(SUM(I47:I52)=0,"NO",SUM(I47:I52))</f>
        <v>35.684385312120533</v>
      </c>
      <c r="J46" s="1913">
        <f>IF(SUM(J47:J52)=0,"NO",SUM(J47:J52))</f>
        <v>0.24875902364963587</v>
      </c>
      <c r="K46" s="3085" t="str">
        <f>IF(SUM(K47:K52)=0,"NO",SUM(K47:K52))</f>
        <v>NO</v>
      </c>
    </row>
    <row r="47" spans="2:11" ht="18" customHeight="1" x14ac:dyDescent="0.2">
      <c r="B47" s="282" t="s">
        <v>132</v>
      </c>
      <c r="C47" s="691">
        <v>16054.1494185672</v>
      </c>
      <c r="D47" s="3078" t="s">
        <v>1814</v>
      </c>
      <c r="E47" s="1913">
        <f t="shared" ref="E47:E52" si="17">IFERROR(H47*1000/$C47,"NA")</f>
        <v>60.910978798586328</v>
      </c>
      <c r="F47" s="1913">
        <f t="shared" ref="F47:G52" si="18">IFERROR(I47*1000000/$C47,"NA")</f>
        <v>1.0196964634821273</v>
      </c>
      <c r="G47" s="1913">
        <f t="shared" si="18"/>
        <v>0.62438304095089048</v>
      </c>
      <c r="H47" s="691">
        <v>977.87395486368382</v>
      </c>
      <c r="I47" s="691">
        <v>1.6370359386326624E-2</v>
      </c>
      <c r="J47" s="691">
        <v>1.0023938633844959E-2</v>
      </c>
      <c r="K47" s="2911" t="s">
        <v>2146</v>
      </c>
    </row>
    <row r="48" spans="2:11" ht="18" customHeight="1" x14ac:dyDescent="0.2">
      <c r="B48" s="282" t="s">
        <v>133</v>
      </c>
      <c r="C48" s="691">
        <v>16.336951323031101</v>
      </c>
      <c r="D48" s="3078" t="s">
        <v>1814</v>
      </c>
      <c r="E48" s="1913">
        <f t="shared" si="17"/>
        <v>94.999999999999986</v>
      </c>
      <c r="F48" s="1913">
        <f t="shared" si="18"/>
        <v>0.95238095238095222</v>
      </c>
      <c r="G48" s="1913">
        <f t="shared" si="18"/>
        <v>0.66666666666666663</v>
      </c>
      <c r="H48" s="691">
        <v>1.5520103756879544</v>
      </c>
      <c r="I48" s="691">
        <v>1.5559001260029619E-5</v>
      </c>
      <c r="J48" s="691">
        <v>1.0891300882020733E-5</v>
      </c>
      <c r="K48" s="2911" t="s">
        <v>2146</v>
      </c>
    </row>
    <row r="49" spans="2:11" ht="18" customHeight="1" x14ac:dyDescent="0.2">
      <c r="B49" s="282" t="s">
        <v>134</v>
      </c>
      <c r="C49" s="691">
        <v>160598.237320043</v>
      </c>
      <c r="D49" s="3078" t="s">
        <v>1814</v>
      </c>
      <c r="E49" s="1913">
        <f t="shared" si="17"/>
        <v>51.411918339265</v>
      </c>
      <c r="F49" s="1913">
        <f t="shared" si="18"/>
        <v>0.90909090909090917</v>
      </c>
      <c r="G49" s="1913">
        <f t="shared" si="18"/>
        <v>0.90909090909090917</v>
      </c>
      <c r="H49" s="691">
        <v>8256.6634625279512</v>
      </c>
      <c r="I49" s="691">
        <v>0.14599839756367547</v>
      </c>
      <c r="J49" s="691">
        <v>0.14599839756367547</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49844.151937796167</v>
      </c>
      <c r="D52" s="3078" t="s">
        <v>1814</v>
      </c>
      <c r="E52" s="1913">
        <f t="shared" si="17"/>
        <v>77.533016823995126</v>
      </c>
      <c r="F52" s="1913">
        <f t="shared" si="18"/>
        <v>712.66135775566079</v>
      </c>
      <c r="G52" s="1913">
        <f t="shared" si="18"/>
        <v>1.860314451070451</v>
      </c>
      <c r="H52" s="691">
        <v>3864.567470770919</v>
      </c>
      <c r="I52" s="691">
        <v>35.522000996169268</v>
      </c>
      <c r="J52" s="691">
        <v>9.2725796151233428E-2</v>
      </c>
      <c r="K52" s="2911" t="s">
        <v>2146</v>
      </c>
    </row>
    <row r="53" spans="2:11" ht="18" customHeight="1" x14ac:dyDescent="0.2">
      <c r="B53" s="1242" t="s">
        <v>205</v>
      </c>
      <c r="C53" s="3078">
        <f>IF(SUM(C54:C58)=0,"NO",SUM(C54:C58))</f>
        <v>3916.07825965231</v>
      </c>
      <c r="D53" s="3078" t="s">
        <v>1814</v>
      </c>
      <c r="E53" s="628"/>
      <c r="F53" s="628"/>
      <c r="G53" s="628"/>
      <c r="H53" s="3078">
        <f>IF(SUM(H54:H57)=0,"NO",SUM(H54:H57))</f>
        <v>262.0468620905159</v>
      </c>
      <c r="I53" s="3078">
        <f>IF(SUM(I54:I58)=0,"NO",SUM(I54:I58))</f>
        <v>0.71255576692481271</v>
      </c>
      <c r="J53" s="3078">
        <f>IF(SUM(J54:J58)=0,"NO",SUM(J54:J58))</f>
        <v>1.6960524767241382E-3</v>
      </c>
      <c r="K53" s="2921"/>
    </row>
    <row r="54" spans="2:11" ht="18" customHeight="1" x14ac:dyDescent="0.2">
      <c r="B54" s="282" t="s">
        <v>132</v>
      </c>
      <c r="C54" s="691">
        <v>3882.5233936913501</v>
      </c>
      <c r="D54" s="3078" t="s">
        <v>1814</v>
      </c>
      <c r="E54" s="1913">
        <f t="shared" ref="E54:E58" si="19">IFERROR(H54*1000/$C54,"NA")</f>
        <v>67.493955739278135</v>
      </c>
      <c r="F54" s="1913">
        <f t="shared" ref="F54:G58" si="20">IFERROR(I54*1000000/$C54,"NA")</f>
        <v>177.13355371693987</v>
      </c>
      <c r="G54" s="1913">
        <f t="shared" si="20"/>
        <v>0.39363011937097758</v>
      </c>
      <c r="H54" s="691">
        <v>262.0468620905159</v>
      </c>
      <c r="I54" s="691">
        <v>0.68772516611370249</v>
      </c>
      <c r="J54" s="691">
        <v>1.5282781469193392E-3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33.554865960959802</v>
      </c>
      <c r="D58" s="3078" t="s">
        <v>1814</v>
      </c>
      <c r="E58" s="1913">
        <f t="shared" si="19"/>
        <v>67.260000000000005</v>
      </c>
      <c r="F58" s="1913">
        <f t="shared" si="20"/>
        <v>740.00000000000011</v>
      </c>
      <c r="G58" s="1913">
        <f t="shared" si="20"/>
        <v>5.0000000000000009</v>
      </c>
      <c r="H58" s="691">
        <v>2.2569002845341566</v>
      </c>
      <c r="I58" s="691">
        <v>2.4830600811110257E-2</v>
      </c>
      <c r="J58" s="691">
        <v>1.6777432980479904E-4</v>
      </c>
      <c r="K58" s="2921"/>
    </row>
    <row r="59" spans="2:11" ht="18" customHeight="1" x14ac:dyDescent="0.2">
      <c r="B59" s="1245" t="s">
        <v>206</v>
      </c>
      <c r="C59" s="3078">
        <f>IF(SUM(C60:C65)=0,"NO",SUM(C60:C65))</f>
        <v>96062.492092700399</v>
      </c>
      <c r="D59" s="3078" t="s">
        <v>1814</v>
      </c>
      <c r="E59" s="628"/>
      <c r="F59" s="628"/>
      <c r="G59" s="628"/>
      <c r="H59" s="1913">
        <f>IF(SUM(H60:H64)=0,"NO",SUM(H60:H64))</f>
        <v>6653.9080761652331</v>
      </c>
      <c r="I59" s="1913">
        <f>IF(SUM(I60:I65)=0,"NO",SUM(I60:I65))</f>
        <v>0.64377656894944346</v>
      </c>
      <c r="J59" s="1913">
        <f>IF(SUM(J60:J65)=0,"NO",SUM(J60:J65))</f>
        <v>0.34097724765531201</v>
      </c>
      <c r="K59" s="3085" t="str">
        <f>IF(SUM(K60:K65)=0,"NO",SUM(K60:K65))</f>
        <v>NO</v>
      </c>
    </row>
    <row r="60" spans="2:11" ht="18" customHeight="1" x14ac:dyDescent="0.2">
      <c r="B60" s="282" t="s">
        <v>132</v>
      </c>
      <c r="C60" s="1913">
        <f>IF(SUM(C67,C74:C77,C84:C87)=0,"NO",SUM(C67,C74:C77,C84:C87))</f>
        <v>94734.530092700399</v>
      </c>
      <c r="D60" s="3078" t="s">
        <v>1814</v>
      </c>
      <c r="E60" s="1913">
        <f t="shared" ref="E60:E65" si="21">IFERROR(H60*1000/$C60,"NA")</f>
        <v>69.516732661463109</v>
      </c>
      <c r="F60" s="1913">
        <f t="shared" ref="F60:G65" si="22">IFERROR(I60*1000000/$C60,"NA")</f>
        <v>6.7828418015991963</v>
      </c>
      <c r="G60" s="1913">
        <f t="shared" si="22"/>
        <v>3.5865487393141589</v>
      </c>
      <c r="H60" s="1913">
        <f>IF(SUM(H67,H74:H77,H84:H87)=0,"NO",SUM(H67,H74:H77,H84:H87))</f>
        <v>6585.6350022635861</v>
      </c>
      <c r="I60" s="1913">
        <f>IF(SUM(I67,I74:I77,I84:I87)=0,"NO",SUM(I67,I74:I77,I84:I87))</f>
        <v>0.64256933076762524</v>
      </c>
      <c r="J60" s="1913">
        <f>IF(SUM(J67,J74:J77,J84:J87)=0,"NO",SUM(J67,J74:J77,J84:J87))</f>
        <v>0.33977000947349384</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1327.962</v>
      </c>
      <c r="D62" s="3078" t="s">
        <v>1814</v>
      </c>
      <c r="E62" s="1913">
        <f t="shared" si="21"/>
        <v>51.411918339264993</v>
      </c>
      <c r="F62" s="1913">
        <f t="shared" si="22"/>
        <v>0.90909090909090906</v>
      </c>
      <c r="G62" s="1913">
        <f t="shared" si="22"/>
        <v>0.90909090909090906</v>
      </c>
      <c r="H62" s="1913">
        <f>IF(SUM(H69,H79,H89)=0,"NO",SUM(H69,H79,H89))</f>
        <v>68.273073901647024</v>
      </c>
      <c r="I62" s="1913">
        <f>IF(SUM(I69,I79,I89)=0,"NO",SUM(I69,I79,I89))</f>
        <v>1.2072381818181818E-3</v>
      </c>
      <c r="J62" s="1913">
        <f>IF(SUM(J69,J79,J89)=0,"NO",SUM(J69,J79,J89))</f>
        <v>1.2072381818181818E-3</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96062.492092700399</v>
      </c>
      <c r="D66" s="3078" t="s">
        <v>1814</v>
      </c>
      <c r="E66" s="2108"/>
      <c r="F66" s="2108"/>
      <c r="G66" s="2108"/>
      <c r="H66" s="1913">
        <f>IF(SUM(H67:H71)=0,"NO",SUM(H67:H71))</f>
        <v>6653.9080761652331</v>
      </c>
      <c r="I66" s="1913">
        <f>IF(SUM(I67:I72)=0,"NO",SUM(I67:I72))</f>
        <v>0.64377656894944346</v>
      </c>
      <c r="J66" s="1913">
        <f>IF(SUM(J67:J72)=0,"NO",SUM(J67:J72))</f>
        <v>0.34097724765531201</v>
      </c>
      <c r="K66" s="3085" t="str">
        <f>IF(SUM(K67:K72)=0,"NO",SUM(K67:K72))</f>
        <v>NO</v>
      </c>
    </row>
    <row r="67" spans="2:11" ht="18" customHeight="1" x14ac:dyDescent="0.2">
      <c r="B67" s="282" t="s">
        <v>132</v>
      </c>
      <c r="C67" s="691">
        <v>94734.530092700399</v>
      </c>
      <c r="D67" s="3078" t="s">
        <v>1814</v>
      </c>
      <c r="E67" s="1913">
        <f t="shared" ref="E67:E72" si="23">IFERROR(H67*1000/$C67,"NA")</f>
        <v>69.516732661463109</v>
      </c>
      <c r="F67" s="1913">
        <f t="shared" ref="F67:G72" si="24">IFERROR(I67*1000000/$C67,"NA")</f>
        <v>6.7828418015991963</v>
      </c>
      <c r="G67" s="1913">
        <f t="shared" si="24"/>
        <v>3.5865487393141589</v>
      </c>
      <c r="H67" s="691">
        <v>6585.6350022635861</v>
      </c>
      <c r="I67" s="691">
        <v>0.64256933076762524</v>
      </c>
      <c r="J67" s="691">
        <v>0.33977000947349384</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1327.962</v>
      </c>
      <c r="D69" s="3078" t="s">
        <v>1814</v>
      </c>
      <c r="E69" s="1913">
        <f t="shared" si="23"/>
        <v>51.411918339264993</v>
      </c>
      <c r="F69" s="1913">
        <f t="shared" si="24"/>
        <v>0.90909090909090906</v>
      </c>
      <c r="G69" s="1913">
        <f t="shared" si="24"/>
        <v>0.90909090909090906</v>
      </c>
      <c r="H69" s="691">
        <v>68.273073901647024</v>
      </c>
      <c r="I69" s="691">
        <v>1.2072381818181818E-3</v>
      </c>
      <c r="J69" s="691">
        <v>1.2072381818181818E-3</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13450.813215617554</v>
      </c>
      <c r="D93" s="3078" t="s">
        <v>1814</v>
      </c>
      <c r="E93" s="2134"/>
      <c r="F93" s="2134"/>
      <c r="G93" s="2134"/>
      <c r="H93" s="3109">
        <f>IF(SUM(H94:H98)=0,"NO",SUM(H94:H98))</f>
        <v>937.31808997989651</v>
      </c>
      <c r="I93" s="3109">
        <f>IF(SUM(I94:I99)=0,"NO",SUM(I94:I99))</f>
        <v>2.7253596553021842E-2</v>
      </c>
      <c r="J93" s="3113">
        <f>IF(SUM(J94:J99)=0,"NO",SUM(J94:J99))</f>
        <v>2.6063851500097154E-2</v>
      </c>
      <c r="K93" s="449" t="str">
        <f>IF(SUM(K94:K99)=0,"NO",SUM(K94:K99))</f>
        <v>NO</v>
      </c>
    </row>
    <row r="94" spans="2:11" ht="18" customHeight="1" x14ac:dyDescent="0.2">
      <c r="B94" s="282" t="s">
        <v>132</v>
      </c>
      <c r="C94" s="691">
        <f>IF(SUM(C102,C110)=0,"NO",SUM(C102,C110))</f>
        <v>13450.673672101519</v>
      </c>
      <c r="D94" s="1913" t="s">
        <v>1814</v>
      </c>
      <c r="E94" s="1913">
        <f t="shared" ref="E94:E99" si="32">IFERROR(H94*1000/$C94,"NA")</f>
        <v>69.685586969819852</v>
      </c>
      <c r="F94" s="1913">
        <f t="shared" ref="F94:G99" si="33">IFERROR(I94*1000000/$C94,"NA")</f>
        <v>2.0179612714197117</v>
      </c>
      <c r="G94" s="1913">
        <f t="shared" si="33"/>
        <v>1.9377046462444527</v>
      </c>
      <c r="H94" s="691">
        <f t="shared" ref="H94:K97" si="34">IF(SUM(H102,H110)=0,"NO",SUM(H102,H110))</f>
        <v>937.31808997989651</v>
      </c>
      <c r="I94" s="691">
        <f t="shared" si="34"/>
        <v>2.7142938544805623E-2</v>
      </c>
      <c r="J94" s="691">
        <f t="shared" si="34"/>
        <v>2.6063432869549048E-2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0.13954351603558701</v>
      </c>
      <c r="D99" s="1913" t="s">
        <v>1814</v>
      </c>
      <c r="E99" s="1913">
        <f t="shared" si="32"/>
        <v>67.260000000000076</v>
      </c>
      <c r="F99" s="1913">
        <f t="shared" si="33"/>
        <v>793.0000000000008</v>
      </c>
      <c r="G99" s="1913">
        <f t="shared" si="33"/>
        <v>3.0000000000000031</v>
      </c>
      <c r="H99" s="691">
        <f>IF(SUM(H107,H114)=0,"NO",SUM(H107,H114))</f>
        <v>9.3856968885535925E-3</v>
      </c>
      <c r="I99" s="691">
        <f>IF(SUM(I107,I114)=0,"NO",SUM(I107,I114))</f>
        <v>1.1065800821622061E-4</v>
      </c>
      <c r="J99" s="691">
        <f>IF(SUM(J107,J114)=0,"NO",SUM(J107,J114))</f>
        <v>4.1863054810676148E-7</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13450.813215617554</v>
      </c>
      <c r="D108" s="1913" t="s">
        <v>1814</v>
      </c>
      <c r="E108" s="1931"/>
      <c r="F108" s="1931"/>
      <c r="G108" s="1931"/>
      <c r="H108" s="3078">
        <f>H109</f>
        <v>937.31808997989651</v>
      </c>
      <c r="I108" s="3078">
        <f>I109</f>
        <v>2.7253596553021842E-2</v>
      </c>
      <c r="J108" s="3110">
        <f>J109</f>
        <v>2.6063851500097154E-2</v>
      </c>
      <c r="K108" s="2921"/>
    </row>
    <row r="109" spans="2:11" ht="18" customHeight="1" x14ac:dyDescent="0.2">
      <c r="B109" s="3125" t="s">
        <v>2149</v>
      </c>
      <c r="C109" s="3099">
        <f>IF(SUM(C110:C114)=0,"NO",SUM(C110:C114))</f>
        <v>13450.813215617554</v>
      </c>
      <c r="D109" s="1913" t="s">
        <v>1814</v>
      </c>
      <c r="E109" s="628"/>
      <c r="F109" s="628"/>
      <c r="G109" s="628"/>
      <c r="H109" s="3099">
        <f>IF(SUM(H110:H113)=0,"NO",SUM(H110:H113))</f>
        <v>937.31808997989651</v>
      </c>
      <c r="I109" s="3099">
        <f>IF(SUM(I110:I114)=0,"NO",SUM(I110:I114))</f>
        <v>2.7253596553021842E-2</v>
      </c>
      <c r="J109" s="3099">
        <f>IF(SUM(J110:J114)=0,"NO",SUM(J110:J114))</f>
        <v>2.6063851500097154E-2</v>
      </c>
      <c r="K109" s="2921"/>
    </row>
    <row r="110" spans="2:11" ht="18" customHeight="1" x14ac:dyDescent="0.2">
      <c r="B110" s="282" t="s">
        <v>132</v>
      </c>
      <c r="C110" s="691">
        <v>13450.673672101519</v>
      </c>
      <c r="D110" s="1913" t="s">
        <v>1814</v>
      </c>
      <c r="E110" s="1913">
        <f t="shared" ref="E110:E114" si="37">IFERROR(H110*1000/$C110,"NA")</f>
        <v>69.685586969819852</v>
      </c>
      <c r="F110" s="1913">
        <f t="shared" ref="F110:G114" si="38">IFERROR(I110*1000000/$C110,"NA")</f>
        <v>2.0179612714197117</v>
      </c>
      <c r="G110" s="1913">
        <f t="shared" si="38"/>
        <v>1.9377046462444527</v>
      </c>
      <c r="H110" s="691">
        <v>937.31808997989651</v>
      </c>
      <c r="I110" s="691">
        <v>2.7142938544805623E-2</v>
      </c>
      <c r="J110" s="691">
        <v>2.6063432869549048E-2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0.13954351603558701</v>
      </c>
      <c r="D114" s="2880" t="s">
        <v>1814</v>
      </c>
      <c r="E114" s="2880">
        <f t="shared" si="37"/>
        <v>67.260000000000076</v>
      </c>
      <c r="F114" s="2880">
        <f t="shared" si="38"/>
        <v>793.0000000000008</v>
      </c>
      <c r="G114" s="2880">
        <f t="shared" si="38"/>
        <v>3.0000000000000031</v>
      </c>
      <c r="H114" s="1559">
        <v>9.3856968885535925E-3</v>
      </c>
      <c r="I114" s="1559">
        <v>1.1065800821622061E-4</v>
      </c>
      <c r="J114" s="1559">
        <v>4.1863054810676148E-7</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705258.11</v>
      </c>
      <c r="G11" s="3361">
        <v>956700</v>
      </c>
      <c r="H11" s="3361">
        <v>560600</v>
      </c>
      <c r="I11" s="3381"/>
      <c r="J11" s="3361">
        <v>-29824</v>
      </c>
      <c r="K11" s="3369">
        <f t="shared" ref="K11:K28" si="0">IF((SUM(F11:G11)-SUM(H11:J11))=0,"NO",(SUM(F11:G11)-SUM(H11:J11)))</f>
        <v>1131182.1099999999</v>
      </c>
      <c r="L11" s="2577">
        <f>IF(K11="NO","NA",1)</f>
        <v>1</v>
      </c>
      <c r="M11" s="5" t="s">
        <v>1814</v>
      </c>
      <c r="N11" s="3369">
        <f>K11</f>
        <v>1131182.1099999999</v>
      </c>
      <c r="O11" s="3342">
        <v>18.9807162534435</v>
      </c>
      <c r="P11" s="3369">
        <f>IFERROR(N11*O11/1000,"NA")</f>
        <v>21470.646660881514</v>
      </c>
      <c r="Q11" s="3369" t="str">
        <f>'Table1.A(d)'!G11</f>
        <v>NA</v>
      </c>
      <c r="R11" s="3369">
        <f>IF(SUM(P11,-SUM(Q11))=0,"NO",SUM(P11,-SUM(Q11)))</f>
        <v>21470.646660881514</v>
      </c>
      <c r="S11" s="2577">
        <f>IF(R11="NO","NA",1)</f>
        <v>1</v>
      </c>
      <c r="T11" s="3375">
        <f>IF(R11="NO","NO",R11*S11*44/12)</f>
        <v>78725.704423232222</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106496.78079999999</v>
      </c>
      <c r="G13" s="3361" t="s">
        <v>2146</v>
      </c>
      <c r="H13" s="3361" t="s">
        <v>2146</v>
      </c>
      <c r="I13" s="3381"/>
      <c r="J13" s="3361" t="s">
        <v>2146</v>
      </c>
      <c r="K13" s="3369">
        <f t="shared" si="0"/>
        <v>106496.78079999999</v>
      </c>
      <c r="L13" s="2577">
        <f t="shared" si="1"/>
        <v>1</v>
      </c>
      <c r="M13" s="5" t="s">
        <v>1814</v>
      </c>
      <c r="N13" s="3369">
        <f t="shared" si="2"/>
        <v>106496.78079999999</v>
      </c>
      <c r="O13" s="3342">
        <v>16.23706480190279</v>
      </c>
      <c r="P13" s="3369">
        <f t="shared" si="3"/>
        <v>1729.1951310436366</v>
      </c>
      <c r="Q13" s="3369" t="str">
        <f>'Table1.A(d)'!G13</f>
        <v>NA</v>
      </c>
      <c r="R13" s="3369">
        <f>IF(SUM(P13,-SUM(Q13))=0,"NO",SUM(P13,-SUM(Q13)))</f>
        <v>1729.1951310436366</v>
      </c>
      <c r="S13" s="2577">
        <f t="shared" si="4"/>
        <v>1</v>
      </c>
      <c r="T13" s="3375">
        <f t="shared" si="5"/>
        <v>6340.3821471600013</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183203.63438</v>
      </c>
      <c r="H15" s="3361">
        <v>4300</v>
      </c>
      <c r="I15" s="3361" t="s">
        <v>2146</v>
      </c>
      <c r="J15" s="3361">
        <v>5506.9305199999999</v>
      </c>
      <c r="K15" s="3369">
        <f t="shared" si="0"/>
        <v>173396.70386000001</v>
      </c>
      <c r="L15" s="2577">
        <f>IF(K15="NO","NA",1)</f>
        <v>1</v>
      </c>
      <c r="M15" s="5" t="s">
        <v>1814</v>
      </c>
      <c r="N15" s="3369">
        <f t="shared" si="2"/>
        <v>173396.70386000001</v>
      </c>
      <c r="O15" s="3342">
        <v>18.381969619978399</v>
      </c>
      <c r="P15" s="3369">
        <f t="shared" si="3"/>
        <v>3187.3729425589113</v>
      </c>
      <c r="Q15" s="3369" t="str">
        <f>'Table1.A(d)'!G15</f>
        <v>NA</v>
      </c>
      <c r="R15" s="3369">
        <f>IF(SUM(P15,-SUM(Q15))=0,"NO",SUM(P15,-SUM(Q15)))</f>
        <v>3187.3729425589113</v>
      </c>
      <c r="S15" s="2577">
        <f>IF(R15="NO","NA",1)</f>
        <v>1</v>
      </c>
      <c r="T15" s="3375">
        <f>IF(R15="NO","NO",R15*S15*44/12)</f>
        <v>11687.034122716008</v>
      </c>
    </row>
    <row r="16" spans="2:20" ht="18" customHeight="1" x14ac:dyDescent="0.2">
      <c r="B16" s="1727"/>
      <c r="C16" s="1567"/>
      <c r="D16" s="36" t="s">
        <v>178</v>
      </c>
      <c r="E16" s="2575" t="s">
        <v>2150</v>
      </c>
      <c r="F16" s="3382"/>
      <c r="G16" s="3361">
        <v>158200</v>
      </c>
      <c r="H16" s="3361">
        <v>700</v>
      </c>
      <c r="I16" s="3361">
        <v>169840</v>
      </c>
      <c r="J16" s="3361">
        <v>3318.7368000000001</v>
      </c>
      <c r="K16" s="3369">
        <f t="shared" si="0"/>
        <v>-15658.736800000013</v>
      </c>
      <c r="L16" s="2577">
        <f t="shared" ref="L16:L28" si="6">IF(K16="NO","NA",1)</f>
        <v>1</v>
      </c>
      <c r="M16" s="5" t="s">
        <v>1814</v>
      </c>
      <c r="N16" s="3369">
        <f t="shared" si="2"/>
        <v>-15658.736800000013</v>
      </c>
      <c r="O16" s="3342">
        <v>18.981818181818198</v>
      </c>
      <c r="P16" s="3369">
        <f t="shared" si="3"/>
        <v>-297.23129489454595</v>
      </c>
      <c r="Q16" s="3369" t="str">
        <f>'Table1.A(d)'!G16</f>
        <v>NA</v>
      </c>
      <c r="R16" s="3369">
        <f t="shared" ref="R16:R44" si="7">IF(SUM(P16,-SUM(Q16))=0,"NO",SUM(P16,-SUM(Q16)))</f>
        <v>-297.23129489454595</v>
      </c>
      <c r="S16" s="2577">
        <f t="shared" ref="S16:S28" si="8">IF(R16="NO","NA",1)</f>
        <v>1</v>
      </c>
      <c r="T16" s="3375">
        <f t="shared" ref="T16:T28" si="9">IF(R16="NO","NO",R16*S16*44/12)</f>
        <v>-1089.8480812800019</v>
      </c>
    </row>
    <row r="17" spans="2:20" ht="18" customHeight="1" x14ac:dyDescent="0.2">
      <c r="B17" s="1727"/>
      <c r="C17" s="1567"/>
      <c r="D17" s="36" t="s">
        <v>247</v>
      </c>
      <c r="E17" s="2575" t="s">
        <v>2150</v>
      </c>
      <c r="F17" s="3381"/>
      <c r="G17" s="3361">
        <v>276.69</v>
      </c>
      <c r="H17" s="3361" t="s">
        <v>2146</v>
      </c>
      <c r="I17" s="3361" t="s">
        <v>2146</v>
      </c>
      <c r="J17" s="3361" t="s">
        <v>2146</v>
      </c>
      <c r="K17" s="3369">
        <f t="shared" si="0"/>
        <v>276.69</v>
      </c>
      <c r="L17" s="2577">
        <f t="shared" si="6"/>
        <v>1</v>
      </c>
      <c r="M17" s="5" t="s">
        <v>1814</v>
      </c>
      <c r="N17" s="3369">
        <f t="shared" si="2"/>
        <v>276.69</v>
      </c>
      <c r="O17" s="3342">
        <v>18.7909090909091</v>
      </c>
      <c r="P17" s="3369">
        <f t="shared" si="3"/>
        <v>5.1992566363636392</v>
      </c>
      <c r="Q17" s="3369" t="str">
        <f>'Table1.A(d)'!G17</f>
        <v>NA</v>
      </c>
      <c r="R17" s="3369">
        <f t="shared" si="7"/>
        <v>5.1992566363636392</v>
      </c>
      <c r="S17" s="2577">
        <f t="shared" si="8"/>
        <v>1</v>
      </c>
      <c r="T17" s="3375">
        <f t="shared" si="9"/>
        <v>19.06394100000001</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585900</v>
      </c>
      <c r="H19" s="3361">
        <v>2900</v>
      </c>
      <c r="I19" s="3361">
        <v>2500</v>
      </c>
      <c r="J19" s="3361">
        <v>10280.09592</v>
      </c>
      <c r="K19" s="3369">
        <f t="shared" si="0"/>
        <v>570219.90408000001</v>
      </c>
      <c r="L19" s="2577">
        <f t="shared" si="6"/>
        <v>1</v>
      </c>
      <c r="M19" s="5" t="s">
        <v>1814</v>
      </c>
      <c r="N19" s="3369">
        <f t="shared" si="2"/>
        <v>570219.90408000001</v>
      </c>
      <c r="O19" s="3342">
        <v>19.063636363636402</v>
      </c>
      <c r="P19" s="3369">
        <f t="shared" si="3"/>
        <v>10870.464898688748</v>
      </c>
      <c r="Q19" s="3369" t="str">
        <f>'Table1.A(d)'!G19</f>
        <v>NA</v>
      </c>
      <c r="R19" s="3369">
        <f t="shared" si="7"/>
        <v>10870.464898688748</v>
      </c>
      <c r="S19" s="2577">
        <f t="shared" si="8"/>
        <v>1</v>
      </c>
      <c r="T19" s="3375">
        <f t="shared" si="9"/>
        <v>39858.371295192075</v>
      </c>
    </row>
    <row r="20" spans="2:20" ht="18" customHeight="1" x14ac:dyDescent="0.2">
      <c r="B20" s="1727"/>
      <c r="C20" s="1567"/>
      <c r="D20" s="36" t="s">
        <v>190</v>
      </c>
      <c r="E20" s="2575" t="s">
        <v>2150</v>
      </c>
      <c r="F20" s="3381"/>
      <c r="G20" s="3361">
        <v>10400</v>
      </c>
      <c r="H20" s="3361">
        <v>4300</v>
      </c>
      <c r="I20" s="3361">
        <v>20736</v>
      </c>
      <c r="J20" s="3361">
        <v>-1266.79395</v>
      </c>
      <c r="K20" s="3369">
        <f t="shared" si="0"/>
        <v>-13369.206050000001</v>
      </c>
      <c r="L20" s="2577">
        <f t="shared" si="6"/>
        <v>1</v>
      </c>
      <c r="M20" s="5" t="s">
        <v>1814</v>
      </c>
      <c r="N20" s="3369">
        <f t="shared" si="2"/>
        <v>-13369.206050000001</v>
      </c>
      <c r="O20" s="3342">
        <v>20.072727272727299</v>
      </c>
      <c r="P20" s="3369">
        <f t="shared" si="3"/>
        <v>-268.35642689454585</v>
      </c>
      <c r="Q20" s="3369" t="str">
        <f>'Table1.A(d)'!G20</f>
        <v>NA</v>
      </c>
      <c r="R20" s="3369">
        <f t="shared" si="7"/>
        <v>-268.35642689454585</v>
      </c>
      <c r="S20" s="2577">
        <f t="shared" si="8"/>
        <v>1</v>
      </c>
      <c r="T20" s="3375">
        <f t="shared" si="9"/>
        <v>-983.97356528000148</v>
      </c>
    </row>
    <row r="21" spans="2:20" ht="18" customHeight="1" x14ac:dyDescent="0.2">
      <c r="B21" s="1727"/>
      <c r="C21" s="1567"/>
      <c r="D21" s="36" t="s">
        <v>169</v>
      </c>
      <c r="E21" s="2575" t="s">
        <v>2150</v>
      </c>
      <c r="F21" s="3381"/>
      <c r="G21" s="3361">
        <v>25900</v>
      </c>
      <c r="H21" s="3361">
        <v>57000</v>
      </c>
      <c r="I21" s="3381"/>
      <c r="J21" s="3361">
        <v>-2430.9952000000008</v>
      </c>
      <c r="K21" s="3369">
        <f t="shared" si="0"/>
        <v>-28669.004800000002</v>
      </c>
      <c r="L21" s="2577">
        <f t="shared" si="6"/>
        <v>1</v>
      </c>
      <c r="M21" s="5" t="s">
        <v>1814</v>
      </c>
      <c r="N21" s="3369">
        <f t="shared" si="2"/>
        <v>-28669.004800000002</v>
      </c>
      <c r="O21" s="3342">
        <v>16.4181818181818</v>
      </c>
      <c r="P21" s="3369">
        <f t="shared" si="3"/>
        <v>-470.69293335272681</v>
      </c>
      <c r="Q21" s="3369" t="str">
        <f>'Table1.A(d)'!G21</f>
        <v>NA</v>
      </c>
      <c r="R21" s="3369">
        <f t="shared" si="7"/>
        <v>-470.69293335272681</v>
      </c>
      <c r="S21" s="2577">
        <f t="shared" si="8"/>
        <v>1</v>
      </c>
      <c r="T21" s="3375">
        <f t="shared" si="9"/>
        <v>-1725.8740889599983</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15.409090909090899</v>
      </c>
      <c r="P22" s="3369" t="str">
        <f t="shared" si="3"/>
        <v>NA</v>
      </c>
      <c r="Q22" s="3369">
        <f>'Table1.A(d)'!G22</f>
        <v>304.81659095159387</v>
      </c>
      <c r="R22" s="3369">
        <f t="shared" si="7"/>
        <v>-304.81659095159387</v>
      </c>
      <c r="S22" s="2577">
        <f t="shared" si="8"/>
        <v>1</v>
      </c>
      <c r="T22" s="3375">
        <f t="shared" si="9"/>
        <v>-1117.6608334891775</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29200</v>
      </c>
      <c r="H24" s="3361">
        <v>21.984480000000001</v>
      </c>
      <c r="I24" s="3381"/>
      <c r="J24" s="3361" t="s">
        <v>2146</v>
      </c>
      <c r="K24" s="3369">
        <f t="shared" si="0"/>
        <v>29178.015520000001</v>
      </c>
      <c r="L24" s="2577">
        <f t="shared" si="6"/>
        <v>1</v>
      </c>
      <c r="M24" s="5" t="s">
        <v>1814</v>
      </c>
      <c r="N24" s="3369">
        <f t="shared" si="2"/>
        <v>29178.015520000001</v>
      </c>
      <c r="O24" s="3342">
        <v>22.009090909090901</v>
      </c>
      <c r="P24" s="3369">
        <f t="shared" si="3"/>
        <v>642.18159612654517</v>
      </c>
      <c r="Q24" s="3369">
        <f>'Table1.A(d)'!G24</f>
        <v>452.99110909090911</v>
      </c>
      <c r="R24" s="3369">
        <f t="shared" si="7"/>
        <v>189.19048703563607</v>
      </c>
      <c r="S24" s="2577">
        <f t="shared" si="8"/>
        <v>1</v>
      </c>
      <c r="T24" s="3375">
        <f t="shared" si="9"/>
        <v>693.69845246399893</v>
      </c>
    </row>
    <row r="25" spans="2:20" ht="18" customHeight="1" x14ac:dyDescent="0.2">
      <c r="B25" s="1727"/>
      <c r="C25" s="1567"/>
      <c r="D25" s="36" t="s">
        <v>252</v>
      </c>
      <c r="E25" s="2575" t="s">
        <v>2150</v>
      </c>
      <c r="F25" s="3381"/>
      <c r="G25" s="3361">
        <v>19500</v>
      </c>
      <c r="H25" s="3361">
        <v>11600</v>
      </c>
      <c r="I25" s="3361" t="s">
        <v>2146</v>
      </c>
      <c r="J25" s="3361" t="s">
        <v>2146</v>
      </c>
      <c r="K25" s="3369">
        <f t="shared" si="0"/>
        <v>7900</v>
      </c>
      <c r="L25" s="2577">
        <f t="shared" si="6"/>
        <v>1</v>
      </c>
      <c r="M25" s="5" t="s">
        <v>1814</v>
      </c>
      <c r="N25" s="3369">
        <f t="shared" si="2"/>
        <v>7900</v>
      </c>
      <c r="O25" s="3342">
        <v>18.991363636363602</v>
      </c>
      <c r="P25" s="3369">
        <f t="shared" si="3"/>
        <v>150.03177272727245</v>
      </c>
      <c r="Q25" s="3369">
        <f>'Table1.A(d)'!G25</f>
        <v>238.81639772727274</v>
      </c>
      <c r="R25" s="3369">
        <f t="shared" si="7"/>
        <v>-88.78462500000029</v>
      </c>
      <c r="S25" s="2577">
        <f t="shared" si="8"/>
        <v>1</v>
      </c>
      <c r="T25" s="3375">
        <f t="shared" si="9"/>
        <v>-325.5436250000011</v>
      </c>
    </row>
    <row r="26" spans="2:20" ht="18" customHeight="1" x14ac:dyDescent="0.2">
      <c r="B26" s="1727"/>
      <c r="C26" s="1567"/>
      <c r="D26" s="36" t="s">
        <v>253</v>
      </c>
      <c r="E26" s="2575" t="s">
        <v>2150</v>
      </c>
      <c r="F26" s="3381"/>
      <c r="G26" s="3361">
        <v>24965.449170600001</v>
      </c>
      <c r="H26" s="3361" t="s">
        <v>2146</v>
      </c>
      <c r="I26" s="3381"/>
      <c r="J26" s="3361" t="s">
        <v>2146</v>
      </c>
      <c r="K26" s="3369">
        <f t="shared" si="0"/>
        <v>24965.449170600001</v>
      </c>
      <c r="L26" s="2577">
        <f t="shared" si="6"/>
        <v>1</v>
      </c>
      <c r="M26" s="5" t="s">
        <v>1814</v>
      </c>
      <c r="N26" s="3369">
        <f t="shared" si="2"/>
        <v>24965.449170600001</v>
      </c>
      <c r="O26" s="3342">
        <v>25.261363636363601</v>
      </c>
      <c r="P26" s="3369">
        <f t="shared" si="3"/>
        <v>630.66128984367867</v>
      </c>
      <c r="Q26" s="3369">
        <f>'Table1.A(d)'!G26</f>
        <v>630.66128984368004</v>
      </c>
      <c r="R26" s="3369">
        <f t="shared" si="7"/>
        <v>-1.3642420526593924E-12</v>
      </c>
      <c r="S26" s="2577">
        <f t="shared" si="8"/>
        <v>1</v>
      </c>
      <c r="T26" s="3375">
        <f t="shared" si="9"/>
        <v>-5.0022208597511053E-12</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64600</v>
      </c>
      <c r="H28" s="3361">
        <v>2100</v>
      </c>
      <c r="I28" s="3381"/>
      <c r="J28" s="3361">
        <v>-19448.415799999999</v>
      </c>
      <c r="K28" s="3369">
        <f t="shared" si="0"/>
        <v>81948.415800000002</v>
      </c>
      <c r="L28" s="2577">
        <f t="shared" si="6"/>
        <v>1</v>
      </c>
      <c r="M28" s="5" t="s">
        <v>1814</v>
      </c>
      <c r="N28" s="3369">
        <f t="shared" si="2"/>
        <v>81948.415800000002</v>
      </c>
      <c r="O28" s="3342">
        <v>19.036363221224399</v>
      </c>
      <c r="P28" s="3369">
        <f t="shared" si="3"/>
        <v>1559.9998085727245</v>
      </c>
      <c r="Q28" s="3369">
        <f>'Table1.A(d)'!G28</f>
        <v>303.01672573090906</v>
      </c>
      <c r="R28" s="3369">
        <f t="shared" si="7"/>
        <v>1256.9830828418155</v>
      </c>
      <c r="S28" s="2577">
        <f t="shared" si="8"/>
        <v>1</v>
      </c>
      <c r="T28" s="3375">
        <f t="shared" si="9"/>
        <v>4608.9379704199901</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2067867.1215805998</v>
      </c>
      <c r="O31" s="3364"/>
      <c r="P31" s="3371">
        <f>SUM(P11:P29)</f>
        <v>39209.472701937571</v>
      </c>
      <c r="Q31" s="3371">
        <f>SUM(Q11:Q29)</f>
        <v>1930.3021133443649</v>
      </c>
      <c r="R31" s="3369">
        <f t="shared" si="7"/>
        <v>37279.17058859321</v>
      </c>
      <c r="S31" s="2578"/>
      <c r="T31" s="3377">
        <f>SUM(T11:T29)</f>
        <v>136690.29215817511</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v>25.0363636363636</v>
      </c>
      <c r="P34" s="3369" t="str">
        <f t="shared" si="13"/>
        <v>NA</v>
      </c>
      <c r="Q34" s="3369">
        <f>'Table1.A(d)'!G34</f>
        <v>4.25868545454545</v>
      </c>
      <c r="R34" s="3369">
        <f t="shared" si="7"/>
        <v>-4.25868545454545</v>
      </c>
      <c r="S34" s="2577">
        <f t="shared" si="14"/>
        <v>1</v>
      </c>
      <c r="T34" s="3375">
        <f t="shared" si="15"/>
        <v>-15.615179999999983</v>
      </c>
    </row>
    <row r="35" spans="2:20" ht="18" customHeight="1" x14ac:dyDescent="0.2">
      <c r="B35" s="1727"/>
      <c r="C35" s="1567"/>
      <c r="D35" s="31" t="s">
        <v>261</v>
      </c>
      <c r="E35" s="2575" t="s">
        <v>2150</v>
      </c>
      <c r="F35" s="3361">
        <v>12285669.2117508</v>
      </c>
      <c r="G35" s="3361">
        <v>2865</v>
      </c>
      <c r="H35" s="3361">
        <v>11062891</v>
      </c>
      <c r="I35" s="3361" t="s">
        <v>2146</v>
      </c>
      <c r="J35" s="3361">
        <v>-28359</v>
      </c>
      <c r="K35" s="3369">
        <f t="shared" si="10"/>
        <v>1254002.2117507998</v>
      </c>
      <c r="L35" s="2577">
        <f t="shared" si="11"/>
        <v>1</v>
      </c>
      <c r="M35" s="55" t="s">
        <v>1814</v>
      </c>
      <c r="N35" s="3369">
        <f t="shared" si="12"/>
        <v>1254002.2117507998</v>
      </c>
      <c r="O35" s="3342">
        <v>24.536887223866401</v>
      </c>
      <c r="P35" s="3369">
        <f t="shared" si="13"/>
        <v>30769.31084820841</v>
      </c>
      <c r="Q35" s="3369">
        <f>'Table1.A(d)'!G35</f>
        <v>343.71805540909043</v>
      </c>
      <c r="R35" s="3369">
        <f t="shared" si="7"/>
        <v>30425.592792799318</v>
      </c>
      <c r="S35" s="2577">
        <f t="shared" si="14"/>
        <v>1</v>
      </c>
      <c r="T35" s="3375">
        <f t="shared" si="15"/>
        <v>111560.50690693082</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677262.39425761101</v>
      </c>
      <c r="G37" s="3361" t="s">
        <v>2146</v>
      </c>
      <c r="H37" s="3361" t="s">
        <v>2146</v>
      </c>
      <c r="I37" s="3381"/>
      <c r="J37" s="3361">
        <v>9280</v>
      </c>
      <c r="K37" s="3369">
        <f t="shared" si="10"/>
        <v>667982.39425761101</v>
      </c>
      <c r="L37" s="2577">
        <f t="shared" si="11"/>
        <v>1</v>
      </c>
      <c r="M37" s="55" t="s">
        <v>1814</v>
      </c>
      <c r="N37" s="3369">
        <f t="shared" si="12"/>
        <v>667982.39425761101</v>
      </c>
      <c r="O37" s="3342">
        <v>25.235811003434701</v>
      </c>
      <c r="P37" s="3369">
        <f t="shared" si="13"/>
        <v>16857.077455106875</v>
      </c>
      <c r="Q37" s="3369">
        <f>'Table1.A(d)'!G37</f>
        <v>0.89775956045454997</v>
      </c>
      <c r="R37" s="3369">
        <f t="shared" si="7"/>
        <v>16856.17969554642</v>
      </c>
      <c r="S37" s="2577">
        <f t="shared" si="14"/>
        <v>1</v>
      </c>
      <c r="T37" s="3375">
        <f t="shared" si="15"/>
        <v>61805.992217003542</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3517</v>
      </c>
      <c r="H41" s="3361">
        <v>18463</v>
      </c>
      <c r="I41" s="3381"/>
      <c r="J41" s="3361" t="s">
        <v>2146</v>
      </c>
      <c r="K41" s="3369">
        <f t="shared" si="16"/>
        <v>-14946</v>
      </c>
      <c r="L41" s="2577">
        <f t="shared" si="17"/>
        <v>1</v>
      </c>
      <c r="M41" s="55" t="s">
        <v>1814</v>
      </c>
      <c r="N41" s="3369">
        <f t="shared" si="18"/>
        <v>-14946</v>
      </c>
      <c r="O41" s="3342">
        <v>29.508502928671099</v>
      </c>
      <c r="P41" s="3369">
        <f t="shared" si="19"/>
        <v>-441.03408477191823</v>
      </c>
      <c r="Q41" s="3369">
        <f>'Table1.A(d)'!G41</f>
        <v>1630.80129907742</v>
      </c>
      <c r="R41" s="3369">
        <f t="shared" si="7"/>
        <v>-2071.8353838493381</v>
      </c>
      <c r="S41" s="2577">
        <f t="shared" si="20"/>
        <v>1</v>
      </c>
      <c r="T41" s="3375">
        <f t="shared" si="21"/>
        <v>-7596.7297407809065</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v>22.309090909090909</v>
      </c>
      <c r="P42" s="3369" t="str">
        <f t="shared" si="19"/>
        <v>NA</v>
      </c>
      <c r="Q42" s="3369">
        <f>'Table1.A(d)'!G42</f>
        <v>298.35249625226453</v>
      </c>
      <c r="R42" s="3369">
        <f t="shared" si="7"/>
        <v>-298.35249625226453</v>
      </c>
      <c r="S42" s="2577">
        <f t="shared" si="20"/>
        <v>1</v>
      </c>
      <c r="T42" s="3375">
        <f t="shared" si="21"/>
        <v>-1093.9591529249699</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1907038.6060084109</v>
      </c>
      <c r="O45" s="3364"/>
      <c r="P45" s="3371">
        <f>SUM(P33:P43)</f>
        <v>47185.354218543362</v>
      </c>
      <c r="Q45" s="3371">
        <f>SUM(Q33:Q43)</f>
        <v>2278.0282957537752</v>
      </c>
      <c r="R45" s="3371">
        <f>SUM(R33:R43)</f>
        <v>44907.325922789591</v>
      </c>
      <c r="S45" s="41"/>
      <c r="T45" s="3377">
        <f>SUM(T33:T43)</f>
        <v>164660.1950502285</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2582983.09082849</v>
      </c>
      <c r="G47" s="3361">
        <v>238988</v>
      </c>
      <c r="H47" s="3361">
        <v>1362579</v>
      </c>
      <c r="I47" s="3361" t="s">
        <v>2146</v>
      </c>
      <c r="J47" s="3361">
        <v>52517</v>
      </c>
      <c r="K47" s="3369">
        <f t="shared" ref="K47" si="22">IF((SUM(F47:G47)-SUM(H47:J47))=0,"NO",(SUM(F47:G47)-SUM(H47:J47)))</f>
        <v>1406875.09082849</v>
      </c>
      <c r="L47" s="2577">
        <f t="shared" ref="L47" si="23">IF(K47="NO","NA",1)</f>
        <v>1</v>
      </c>
      <c r="M47" s="55" t="s">
        <v>1814</v>
      </c>
      <c r="N47" s="3369">
        <f t="shared" ref="N47" si="24">K47</f>
        <v>1406875.09082849</v>
      </c>
      <c r="O47" s="3342">
        <v>13.903949084720701</v>
      </c>
      <c r="P47" s="3369">
        <f t="shared" ref="P47" si="25">IFERROR(N47*O47/1000,"NA")</f>
        <v>19561.119631441135</v>
      </c>
      <c r="Q47" s="3369">
        <f>'Table1.A(d)'!G47</f>
        <v>755.55288169085804</v>
      </c>
      <c r="R47" s="3369">
        <f t="shared" ref="R47" si="26">IF(SUM(P47,-SUM(Q47))=0,"NO",SUM(P47,-SUM(Q47)))</f>
        <v>18805.566749750276</v>
      </c>
      <c r="S47" s="2577">
        <f t="shared" ref="S47" si="27">IF(R47="NO","NA",1)</f>
        <v>1</v>
      </c>
      <c r="T47" s="3375">
        <f t="shared" ref="T47" si="28">IF(R47="NO","NO",R47*S47*44/12)</f>
        <v>68953.744749084348</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1406875.09082849</v>
      </c>
      <c r="O50" s="3366"/>
      <c r="P50" s="3371">
        <f>SUM(P47:P48)</f>
        <v>19561.119631441135</v>
      </c>
      <c r="Q50" s="3371">
        <f>SUM(Q47:Q48)</f>
        <v>755.55288169085804</v>
      </c>
      <c r="R50" s="3371">
        <f>SUM(R47:R48)</f>
        <v>18805.566749750276</v>
      </c>
      <c r="S50" s="2354"/>
      <c r="T50" s="3377">
        <f>SUM(T47:T48)</f>
        <v>68953.744749084348</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2153</v>
      </c>
      <c r="G52" s="3390" t="s">
        <v>2153</v>
      </c>
      <c r="H52" s="3390" t="s">
        <v>2153</v>
      </c>
      <c r="I52" s="3361" t="s">
        <v>2146</v>
      </c>
      <c r="J52" s="3390">
        <v>-394.63</v>
      </c>
      <c r="K52" s="3369">
        <f t="shared" ref="K52:K53" si="29">IF((SUM(F52:G52)-SUM(H52:J52))=0,"NO",(SUM(F52:G52)-SUM(H52:J52)))</f>
        <v>394.63</v>
      </c>
      <c r="L52" s="2577">
        <f t="shared" ref="L52:L53" si="30">IF(K52="NO","NA",1)</f>
        <v>1</v>
      </c>
      <c r="M52" s="55" t="s">
        <v>1814</v>
      </c>
      <c r="N52" s="3369">
        <f t="shared" ref="N52:N53" si="31">K52</f>
        <v>394.63</v>
      </c>
      <c r="O52" s="3342">
        <v>0.4597921216260355</v>
      </c>
      <c r="P52" s="3369">
        <f t="shared" ref="P52:P53" si="32">IFERROR(N52*O52/1000,"NA")</f>
        <v>0.18144776495728238</v>
      </c>
      <c r="Q52" s="3374" t="str">
        <f>'Table1.A(d)'!G52</f>
        <v>NA</v>
      </c>
      <c r="R52" s="3369">
        <f t="shared" ref="R52:R53" si="33">IF(SUM(P52,-SUM(Q52))=0,"NO",SUM(P52,-SUM(Q52)))</f>
        <v>0.18144776495728238</v>
      </c>
      <c r="S52" s="2577">
        <f t="shared" ref="S52:S53" si="34">IF(R52="NO","NA",1)</f>
        <v>1</v>
      </c>
      <c r="T52" s="3375">
        <f t="shared" ref="T52:T53" si="35">IF(R52="NO","NO",R52*S52*44/12)</f>
        <v>0.66530847151003536</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394.63</v>
      </c>
      <c r="O54" s="3367"/>
      <c r="P54" s="3373">
        <f>SUM(P51:P53)</f>
        <v>0.18144776495728238</v>
      </c>
      <c r="Q54" s="3373">
        <f>SUM(Q51:Q53)</f>
        <v>0</v>
      </c>
      <c r="R54" s="3373">
        <f>SUM(R51:R53)</f>
        <v>0.18144776495728238</v>
      </c>
      <c r="S54" s="2374"/>
      <c r="T54" s="3379">
        <f>SUM(T51:T53)</f>
        <v>0.66530847151003536</v>
      </c>
    </row>
    <row r="55" spans="2:20" ht="18" customHeight="1" thickBot="1" x14ac:dyDescent="0.25">
      <c r="B55" s="2370" t="s">
        <v>278</v>
      </c>
      <c r="C55" s="2371"/>
      <c r="D55" s="2371"/>
      <c r="E55" s="100"/>
      <c r="F55" s="3391"/>
      <c r="G55" s="3391"/>
      <c r="H55" s="3391"/>
      <c r="I55" s="3391"/>
      <c r="J55" s="3391"/>
      <c r="K55" s="3392"/>
      <c r="L55" s="2372"/>
      <c r="M55" s="2373"/>
      <c r="N55" s="3373">
        <f>SUM(N31,N45,N50,N54)</f>
        <v>5382175.4484175006</v>
      </c>
      <c r="O55" s="3367"/>
      <c r="P55" s="3373">
        <f>SUM(P31,P45,P50,P54)</f>
        <v>105956.12799968703</v>
      </c>
      <c r="Q55" s="3373">
        <f>SUM(Q31,Q45,Q50,Q54)</f>
        <v>4963.8832907889982</v>
      </c>
      <c r="R55" s="3373">
        <f>SUM(R31,R45,R50,R54)</f>
        <v>100992.24470889804</v>
      </c>
      <c r="S55" s="2374"/>
      <c r="T55" s="3379">
        <f>SUM(T31,T45,T50,T54)</f>
        <v>370304.89726595953</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2067.8671215805998</v>
      </c>
      <c r="D10" s="4136">
        <f>C10-'Table1.A(d)'!E31/1000</f>
        <v>1972.6704333918624</v>
      </c>
      <c r="E10" s="4135">
        <f>'Table1.A(b)'!T31</f>
        <v>136690.29215817511</v>
      </c>
      <c r="F10" s="4135">
        <f>'Table1.A(a)s1'!C11/1000</f>
        <v>1975.6613638231586</v>
      </c>
      <c r="G10" s="4135">
        <f>'Table1.A(a)s1'!H11</f>
        <v>135001.27251900028</v>
      </c>
      <c r="H10" s="4135">
        <f>100*((D10-F10)/F10)</f>
        <v>-0.15138882027375167</v>
      </c>
      <c r="I10" s="4137">
        <f>100*((E10-G10)/G10)</f>
        <v>1.2511138655653169</v>
      </c>
      <c r="L10"/>
    </row>
    <row r="11" spans="2:12" ht="18" customHeight="1" x14ac:dyDescent="0.2">
      <c r="B11" s="50" t="s">
        <v>299</v>
      </c>
      <c r="C11" s="4135">
        <f>'Table1.A(b)'!N45/1000</f>
        <v>1907.0386060084109</v>
      </c>
      <c r="D11" s="4135">
        <f>C11-'Table1.A(d)'!E45/1000</f>
        <v>1823.1765478893165</v>
      </c>
      <c r="E11" s="4135">
        <f>'Table1.A(b)'!T45</f>
        <v>164660.1950502285</v>
      </c>
      <c r="F11" s="4135">
        <f>'Table1.A(a)s1'!C12/1000</f>
        <v>1837.5118810939528</v>
      </c>
      <c r="G11" s="4135">
        <f>'Table1.A(a)s1'!H12</f>
        <v>165986.83041796356</v>
      </c>
      <c r="H11" s="4135">
        <f t="shared" ref="H11:H13" si="0">100*((D11-F11)/F11)</f>
        <v>-0.78014914363992227</v>
      </c>
      <c r="I11" s="4137">
        <f t="shared" ref="I11:I13" si="1">100*((E11-G11)/G11)</f>
        <v>-0.79924134004759217</v>
      </c>
      <c r="L11"/>
    </row>
    <row r="12" spans="2:12" ht="18" customHeight="1" x14ac:dyDescent="0.2">
      <c r="B12" s="50" t="s">
        <v>300</v>
      </c>
      <c r="C12" s="4135">
        <f>'Table1.A(b)'!N50/1000</f>
        <v>1406.8750908284899</v>
      </c>
      <c r="D12" s="4135">
        <f>C12-'Table1.A(d)'!E50/1000</f>
        <v>1352.9895200174899</v>
      </c>
      <c r="E12" s="4135">
        <f>'Table1.A(b)'!T50</f>
        <v>68953.744749084348</v>
      </c>
      <c r="F12" s="4135">
        <f>'Table1.A(a)s1'!C13/1000</f>
        <v>1322.793402655986</v>
      </c>
      <c r="G12" s="4135">
        <f>'Table1.A(a)s1'!H13</f>
        <v>67425.326144758161</v>
      </c>
      <c r="H12" s="4135">
        <f t="shared" si="0"/>
        <v>2.282753852632939</v>
      </c>
      <c r="I12" s="4137">
        <f t="shared" si="1"/>
        <v>2.266831607228363</v>
      </c>
      <c r="L12"/>
    </row>
    <row r="13" spans="2:12" ht="18" customHeight="1" x14ac:dyDescent="0.2">
      <c r="B13" s="50" t="s">
        <v>275</v>
      </c>
      <c r="C13" s="4135">
        <f>'Table1.A(b)'!N54/1000</f>
        <v>0.39462999999999998</v>
      </c>
      <c r="D13" s="4135">
        <f>C13-SUM('Table1.A(d)'!E54)/1000</f>
        <v>0.39462999999999998</v>
      </c>
      <c r="E13" s="4135">
        <f>'Table1.A(b)'!T54</f>
        <v>0.66530847151003536</v>
      </c>
      <c r="F13" s="4135">
        <f>'Table1.A(a)s1'!C14/1000</f>
        <v>4.0743452936069957</v>
      </c>
      <c r="G13" s="4135">
        <f>'Table1.A(a)s1'!H14</f>
        <v>176.58177760561486</v>
      </c>
      <c r="H13" s="4135">
        <f t="shared" si="0"/>
        <v>-90.314272071657527</v>
      </c>
      <c r="I13" s="4137">
        <f t="shared" si="1"/>
        <v>-99.623229259252355</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5382.1754484175008</v>
      </c>
      <c r="D15" s="4138">
        <f>SUM(D10:D14)</f>
        <v>5149.2311312986685</v>
      </c>
      <c r="E15" s="4138">
        <f>SUM(E10:E14)</f>
        <v>370304.89726595953</v>
      </c>
      <c r="F15" s="4138">
        <f>SUM(F10:F14)</f>
        <v>5140.0409928667041</v>
      </c>
      <c r="G15" s="4138">
        <f>SUM(G10:G14)</f>
        <v>368590.01085932762</v>
      </c>
      <c r="H15" s="4139">
        <f t="shared" ref="H15" si="2">100*((D15-F15)/F15)</f>
        <v>0.17879504160994866</v>
      </c>
      <c r="I15" s="4140">
        <f t="shared" ref="I15" si="3">100*((E15-G15)/G15)</f>
        <v>0.4652558007835958</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DBF81558-BEF7-4D15-9F7D-665080FEFCB9}"/>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2023-04-13T05:49:57Z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