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0A869D0D-5344-4D99-83C6-6B2851089A2D}" xr6:coauthVersionLast="47" xr6:coauthVersionMax="47" xr10:uidLastSave="{00000000-0000-0000-0000-000000000000}"/>
  <bookViews>
    <workbookView xWindow="780" yWindow="780" windowWidth="8370" windowHeight="8250"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J40" i="34"/>
  <c r="J42" i="34"/>
  <c r="J44" i="34"/>
  <c r="J45" i="34"/>
  <c r="J46" i="34"/>
  <c r="J47" i="34"/>
  <c r="J48" i="34"/>
  <c r="J50" i="34"/>
  <c r="K40" i="34"/>
  <c r="K47" i="34"/>
  <c r="G31" i="34"/>
  <c r="G30" i="34"/>
  <c r="G29" i="34"/>
  <c r="G37" i="34"/>
  <c r="H67" i="34"/>
  <c r="G28" i="34"/>
  <c r="G36" i="34"/>
  <c r="I67" i="34"/>
  <c r="G27" i="34"/>
  <c r="H28" i="34"/>
  <c r="G35" i="34"/>
  <c r="I37" i="34"/>
  <c r="G80" i="34"/>
  <c r="G26" i="34"/>
  <c r="H27" i="34"/>
  <c r="I28" i="34"/>
  <c r="G34" i="34"/>
  <c r="H35" i="34"/>
  <c r="I36" i="34"/>
  <c r="G54" i="34"/>
  <c r="I80" i="34"/>
  <c r="H26" i="34"/>
  <c r="I27" i="34"/>
  <c r="G33" i="34"/>
  <c r="H34" i="34"/>
  <c r="I35" i="34"/>
  <c r="I26" i="34"/>
  <c r="G32" i="34"/>
  <c r="H33" i="34"/>
  <c r="I34" i="34"/>
  <c r="G135" i="34"/>
  <c r="G143" i="34"/>
  <c r="G120" i="34"/>
  <c r="G138" i="34"/>
  <c r="I45" i="59"/>
  <c r="G133" i="34"/>
  <c r="G141" i="34"/>
  <c r="I15" i="59"/>
  <c r="G136" i="34"/>
  <c r="H16" i="59"/>
  <c r="G139" i="34"/>
  <c r="H15" i="59"/>
  <c r="H45" i="59"/>
  <c r="G134" i="34"/>
  <c r="G142" i="34"/>
  <c r="D16" i="57"/>
  <c r="I22" i="59"/>
  <c r="G137" i="34"/>
  <c r="I149" i="34"/>
  <c r="D18" i="57"/>
  <c r="G132" i="34"/>
  <c r="G140" i="34"/>
  <c r="H22" i="59"/>
  <c r="H149" i="34"/>
  <c r="H134" i="34"/>
  <c r="H118" i="34"/>
  <c r="H119" i="34"/>
  <c r="H120" i="34"/>
  <c r="H121" i="34"/>
  <c r="H122" i="34"/>
  <c r="H123" i="34"/>
  <c r="H124" i="34"/>
  <c r="H125" i="34"/>
  <c r="H126" i="34"/>
  <c r="I118" i="34"/>
  <c r="I119" i="34"/>
  <c r="I120" i="34"/>
  <c r="I121" i="34"/>
  <c r="I122" i="34"/>
  <c r="I123" i="34"/>
  <c r="I124" i="34"/>
  <c r="I125" i="34"/>
  <c r="I126" i="34"/>
  <c r="I127" i="34"/>
  <c r="I128" i="34"/>
  <c r="I129" i="34"/>
  <c r="D29" i="25"/>
  <c r="F29" i="25"/>
  <c r="G29" i="25"/>
  <c r="H29" i="25"/>
  <c r="I29" i="25"/>
  <c r="K29" i="25"/>
  <c r="M29" i="25"/>
  <c r="O29" i="25"/>
  <c r="I94" i="34"/>
  <c r="K106" i="34"/>
  <c r="K107" i="34"/>
  <c r="K108" i="34"/>
  <c r="K109" i="34"/>
  <c r="K110" i="34"/>
  <c r="K111" i="34"/>
  <c r="K112" i="34"/>
  <c r="K113" i="34"/>
  <c r="K114" i="34"/>
  <c r="K115" i="34"/>
  <c r="K116" i="34"/>
  <c r="M106" i="34"/>
  <c r="M107" i="34"/>
  <c r="M108" i="34"/>
  <c r="M109" i="34"/>
  <c r="M110" i="34"/>
  <c r="M111" i="34"/>
  <c r="M112" i="34"/>
  <c r="M113" i="34"/>
  <c r="M114" i="34"/>
  <c r="M115" i="34"/>
  <c r="M116" i="34"/>
  <c r="H80" i="34"/>
  <c r="G65" i="34"/>
  <c r="G66" i="34"/>
  <c r="G67" i="34"/>
  <c r="G68" i="34"/>
  <c r="G69" i="34"/>
  <c r="H54" i="34"/>
  <c r="I54" i="34"/>
  <c r="G63" i="34"/>
  <c r="M51" i="34" l="1"/>
  <c r="L51" i="34"/>
  <c r="K51" i="34"/>
  <c r="J51" i="34"/>
  <c r="I63" i="34"/>
  <c r="I62" i="34"/>
  <c r="I61" i="34"/>
  <c r="I60" i="34"/>
  <c r="I59" i="34"/>
  <c r="I58" i="34"/>
  <c r="I57" i="34"/>
  <c r="I56" i="34"/>
  <c r="I55" i="34"/>
  <c r="I53" i="34"/>
  <c r="I52" i="34"/>
  <c r="H63" i="34"/>
  <c r="H62" i="34"/>
  <c r="H61" i="34"/>
  <c r="H60" i="34"/>
  <c r="H59" i="34"/>
  <c r="H58" i="34"/>
  <c r="H57" i="34"/>
  <c r="H56" i="34"/>
  <c r="H55" i="34"/>
  <c r="H53" i="34"/>
  <c r="H52" i="34"/>
  <c r="I70" i="34"/>
  <c r="L64" i="34"/>
  <c r="K64" i="34"/>
  <c r="H76" i="34"/>
  <c r="H75" i="34"/>
  <c r="H74" i="34"/>
  <c r="H73" i="34"/>
  <c r="H72" i="34"/>
  <c r="G76" i="34"/>
  <c r="G75" i="34"/>
  <c r="G74" i="34"/>
  <c r="G73" i="34"/>
  <c r="G72" i="34"/>
  <c r="G71" i="34"/>
  <c r="G70" i="34"/>
  <c r="M77" i="34"/>
  <c r="L77" i="34"/>
  <c r="K77" i="34"/>
  <c r="J77" i="34"/>
  <c r="H89" i="34"/>
  <c r="H88" i="34"/>
  <c r="H87" i="34"/>
  <c r="H86" i="34"/>
  <c r="H85" i="34"/>
  <c r="H84" i="34"/>
  <c r="H83" i="34"/>
  <c r="H82" i="34"/>
  <c r="H81" i="34"/>
  <c r="H79" i="34"/>
  <c r="H78"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I103" i="34"/>
  <c r="I102" i="34"/>
  <c r="I101" i="34"/>
  <c r="I100" i="34"/>
  <c r="I99" i="34"/>
  <c r="I98" i="34"/>
  <c r="I97" i="34"/>
  <c r="I96" i="34"/>
  <c r="I95" i="34"/>
  <c r="I93" i="34"/>
  <c r="I92" i="34"/>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H129" i="34"/>
  <c r="H128" i="34"/>
  <c r="H127" i="34"/>
  <c r="K131" i="34"/>
  <c r="K130" i="34" s="1"/>
  <c r="U30" i="25"/>
  <c r="T30" i="25"/>
  <c r="R30" i="25"/>
  <c r="O30" i="25"/>
  <c r="M30" i="25"/>
  <c r="K30" i="25"/>
  <c r="I30" i="25"/>
  <c r="H30" i="25"/>
  <c r="G30" i="25"/>
  <c r="F30" i="25"/>
  <c r="D30" i="25"/>
  <c r="J131" i="34"/>
  <c r="J130" i="34" s="1"/>
  <c r="C30" i="25"/>
  <c r="F49" i="22" s="1"/>
  <c r="H143" i="34"/>
  <c r="H142" i="34"/>
  <c r="H141" i="34"/>
  <c r="H140" i="34"/>
  <c r="H139" i="34"/>
  <c r="H138" i="34"/>
  <c r="H137" i="34"/>
  <c r="H136" i="34"/>
  <c r="H135" i="34"/>
  <c r="H133" i="34"/>
  <c r="H132" i="34"/>
  <c r="M146" i="34"/>
  <c r="I158"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H158" i="34"/>
  <c r="H157" i="34"/>
  <c r="H156" i="34"/>
  <c r="H155" i="34"/>
  <c r="H154" i="34"/>
  <c r="H153" i="34"/>
  <c r="H152" i="34"/>
  <c r="H151" i="34"/>
  <c r="H150" i="34"/>
  <c r="H148" i="34"/>
  <c r="H147" i="34"/>
  <c r="D23" i="57"/>
  <c r="D21" i="57" s="1"/>
  <c r="H21" i="57"/>
  <c r="H20" i="57" s="1"/>
  <c r="Q11" i="50"/>
  <c r="K12" i="50"/>
  <c r="I23" i="57"/>
  <c r="G21" i="57"/>
  <c r="E23" i="57"/>
  <c r="K38" i="59"/>
  <c r="H39" i="59"/>
  <c r="S13" i="51"/>
  <c r="S11" i="51" s="1"/>
  <c r="Q11" i="51"/>
  <c r="K13" i="51"/>
  <c r="L38" i="59"/>
  <c r="I39" i="59"/>
  <c r="K20" i="59"/>
  <c r="H21" i="59"/>
  <c r="I150" i="34"/>
  <c r="D112" i="34"/>
  <c r="G112" i="34" s="1"/>
  <c r="G99" i="34"/>
  <c r="K17" i="59"/>
  <c r="H17" i="59" s="1"/>
  <c r="H18" i="59"/>
  <c r="U14" i="49"/>
  <c r="U11" i="49" s="1"/>
  <c r="Q11" i="49"/>
  <c r="Q10" i="49" s="1"/>
  <c r="J14" i="49"/>
  <c r="L23" i="59"/>
  <c r="I23" i="59" s="1"/>
  <c r="I24" i="59"/>
  <c r="I157" i="34"/>
  <c r="D111" i="34"/>
  <c r="G111" i="34" s="1"/>
  <c r="G98" i="34"/>
  <c r="K13" i="59"/>
  <c r="H14" i="59"/>
  <c r="I15" i="57"/>
  <c r="G13" i="57"/>
  <c r="E15" i="57"/>
  <c r="I156" i="34"/>
  <c r="I148" i="34"/>
  <c r="G127" i="34"/>
  <c r="G125" i="34"/>
  <c r="G123" i="34"/>
  <c r="G121" i="34"/>
  <c r="G119" i="34"/>
  <c r="G97" i="34"/>
  <c r="D110" i="34"/>
  <c r="G110" i="34" s="1"/>
  <c r="L20" i="59"/>
  <c r="I21" i="59"/>
  <c r="I155" i="34"/>
  <c r="I147" i="34"/>
  <c r="M117" i="34"/>
  <c r="D109" i="34"/>
  <c r="G109" i="34" s="1"/>
  <c r="G96" i="34"/>
  <c r="L43" i="59"/>
  <c r="I44" i="59"/>
  <c r="L13" i="59"/>
  <c r="I14" i="59"/>
  <c r="L17" i="59"/>
  <c r="I17" i="59" s="1"/>
  <c r="I18" i="59"/>
  <c r="G11" i="57"/>
  <c r="I12" i="57"/>
  <c r="I154" i="34"/>
  <c r="G129" i="34"/>
  <c r="L117" i="34"/>
  <c r="G103" i="34"/>
  <c r="D116" i="34"/>
  <c r="G116" i="34" s="1"/>
  <c r="G95" i="34"/>
  <c r="D108" i="34"/>
  <c r="G108" i="34" s="1"/>
  <c r="I32" i="57"/>
  <c r="G30" i="57"/>
  <c r="E32" i="57"/>
  <c r="H13" i="57"/>
  <c r="D15" i="57"/>
  <c r="D13" i="57" s="1"/>
  <c r="F13" i="57" s="1"/>
  <c r="I153" i="34"/>
  <c r="K117" i="34"/>
  <c r="G102" i="34"/>
  <c r="D115" i="34"/>
  <c r="G115" i="34" s="1"/>
  <c r="G94" i="34"/>
  <c r="D107" i="34"/>
  <c r="G107" i="34" s="1"/>
  <c r="D12" i="57"/>
  <c r="D11" i="57" s="1"/>
  <c r="H11" i="57"/>
  <c r="K23" i="59"/>
  <c r="H23" i="59" s="1"/>
  <c r="H24" i="59"/>
  <c r="I152" i="34"/>
  <c r="M131" i="34"/>
  <c r="M130" i="34" s="1"/>
  <c r="G126" i="34"/>
  <c r="G124" i="34"/>
  <c r="G122" i="34"/>
  <c r="G118" i="34"/>
  <c r="G101" i="34"/>
  <c r="D114" i="34"/>
  <c r="G114" i="34" s="1"/>
  <c r="D106" i="34"/>
  <c r="G106" i="34" s="1"/>
  <c r="G93" i="34"/>
  <c r="I16" i="57"/>
  <c r="E16" i="57"/>
  <c r="I18" i="57"/>
  <c r="E18" i="57"/>
  <c r="I151" i="34"/>
  <c r="G128" i="34"/>
  <c r="G100" i="34"/>
  <c r="D113" i="34"/>
  <c r="G113" i="34" s="1"/>
  <c r="D105" i="34"/>
  <c r="G105" i="34" s="1"/>
  <c r="G92" i="34"/>
  <c r="I89" i="34"/>
  <c r="I85" i="34"/>
  <c r="I81" i="34"/>
  <c r="I68" i="34"/>
  <c r="I66" i="34"/>
  <c r="G89" i="34"/>
  <c r="G85" i="34"/>
  <c r="G81" i="34"/>
  <c r="I76" i="34"/>
  <c r="H70" i="34"/>
  <c r="H68" i="34"/>
  <c r="H66" i="34"/>
  <c r="G55" i="34"/>
  <c r="I88" i="34"/>
  <c r="I84" i="34"/>
  <c r="I75" i="34"/>
  <c r="M64" i="34"/>
  <c r="G62" i="34"/>
  <c r="G88" i="34"/>
  <c r="G84" i="34"/>
  <c r="I74" i="34"/>
  <c r="J64" i="34"/>
  <c r="G61" i="34"/>
  <c r="G53" i="34"/>
  <c r="H36" i="34"/>
  <c r="I29" i="34"/>
  <c r="I73" i="34"/>
  <c r="I69" i="34"/>
  <c r="I65" i="34"/>
  <c r="H37" i="34"/>
  <c r="I30" i="34"/>
  <c r="H29" i="34"/>
  <c r="M25" i="34"/>
  <c r="G87" i="34"/>
  <c r="G83" i="34"/>
  <c r="G79" i="34"/>
  <c r="I72" i="34"/>
  <c r="H69" i="34"/>
  <c r="H65" i="34"/>
  <c r="G59" i="34"/>
  <c r="I31" i="34"/>
  <c r="H30" i="34"/>
  <c r="L25" i="34"/>
  <c r="I71" i="34"/>
  <c r="I32" i="34"/>
  <c r="H31" i="34"/>
  <c r="K25" i="34"/>
  <c r="H71" i="34"/>
  <c r="I33" i="34"/>
  <c r="H32" i="34"/>
  <c r="J25" i="34"/>
  <c r="I83" i="34"/>
  <c r="G60" i="34"/>
  <c r="I82" i="34"/>
  <c r="G58" i="34"/>
  <c r="G82" i="34"/>
  <c r="G57" i="34"/>
  <c r="I79" i="34"/>
  <c r="G56" i="34"/>
  <c r="I87" i="34"/>
  <c r="G78" i="34"/>
  <c r="I86" i="34"/>
  <c r="I78" i="34"/>
  <c r="G86" i="34"/>
  <c r="G52" i="34"/>
  <c r="J49" i="34"/>
  <c r="T27" i="25"/>
  <c r="T26" i="25" s="1"/>
  <c r="J43" i="34"/>
  <c r="H27" i="25"/>
  <c r="H26" i="25" s="1"/>
  <c r="J41" i="34"/>
  <c r="F27" i="25"/>
  <c r="F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R27" i="25"/>
  <c r="R26" i="25" s="1"/>
  <c r="G27" i="25"/>
  <c r="G26" i="25" s="1"/>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M27" i="25"/>
  <c r="M26" i="25" s="1"/>
  <c r="K27" i="25"/>
  <c r="K26" i="25" s="1"/>
  <c r="K39" i="34"/>
  <c r="K12" i="34"/>
  <c r="M39" i="34"/>
  <c r="M38" i="34" s="1"/>
  <c r="M12" i="34"/>
  <c r="M11" i="34" s="1"/>
  <c r="M10" i="34" s="1"/>
  <c r="U27" i="25"/>
  <c r="U26" i="25" s="1"/>
  <c r="I27" i="25"/>
  <c r="I26" i="25" s="1"/>
  <c r="O27" i="25"/>
  <c r="O26" i="25" s="1"/>
  <c r="D27" i="25"/>
  <c r="D26" i="25"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D43" i="25"/>
  <c r="D39" i="25" s="1"/>
  <c r="D10" i="25"/>
  <c r="O43" i="25"/>
  <c r="O39" i="25" s="1"/>
  <c r="O10" i="25"/>
  <c r="I43" i="25"/>
  <c r="I39" i="25" s="1"/>
  <c r="I10" i="25"/>
  <c r="U43" i="25"/>
  <c r="U39" i="25" s="1"/>
  <c r="U10" i="25"/>
  <c r="K38" i="34"/>
  <c r="K11" i="34" s="1"/>
  <c r="K10" i="34" s="1"/>
  <c r="C27" i="25"/>
  <c r="K10" i="25"/>
  <c r="K43" i="25"/>
  <c r="K39" i="25" s="1"/>
  <c r="M43" i="25"/>
  <c r="M39" i="25" s="1"/>
  <c r="M10" i="25"/>
  <c r="G43" i="25"/>
  <c r="G39" i="25" s="1"/>
  <c r="G10" i="25"/>
  <c r="R43" i="25"/>
  <c r="R39" i="25" s="1"/>
  <c r="R10" i="25"/>
  <c r="F43" i="25"/>
  <c r="F39" i="25" s="1"/>
  <c r="F10" i="25"/>
  <c r="H43" i="25"/>
  <c r="H39" i="25" s="1"/>
  <c r="H10" i="25"/>
  <c r="T43" i="25"/>
  <c r="T39" i="25" s="1"/>
  <c r="T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C17" i="47" s="1"/>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F23" i="73"/>
  <c r="F24" i="73"/>
  <c r="F25" i="73"/>
  <c r="F20" i="57"/>
  <c r="I20" i="57"/>
  <c r="E20" i="57"/>
  <c r="D18" i="47"/>
  <c r="H37" i="59"/>
  <c r="C45" i="109"/>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I18" i="47"/>
  <c r="E17" i="47"/>
  <c r="E45" i="109" s="1"/>
  <c r="E45" i="65" s="1"/>
  <c r="P44" i="70" s="1"/>
  <c r="Q44" i="70" s="1"/>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65"/>
  <c r="D17" i="47"/>
  <c r="K66" i="65"/>
  <c r="D65" i="70"/>
  <c r="E65" i="70" s="1"/>
  <c r="D13" i="124"/>
  <c r="D11" i="124" s="1"/>
  <c r="D10" i="124" s="1"/>
  <c r="F11" i="124"/>
  <c r="F10" i="124" s="1"/>
  <c r="D11" i="1"/>
  <c r="J12" i="1"/>
  <c r="E11" i="126"/>
  <c r="C10" i="126"/>
  <c r="E10" i="126" s="1"/>
  <c r="J11" i="1" l="1"/>
  <c r="D52" i="109"/>
  <c r="F65" i="70"/>
  <c r="D45" i="109"/>
  <c r="I17" i="47"/>
  <c r="D44" i="70"/>
  <c r="E44" i="70" s="1"/>
  <c r="C43" i="65"/>
  <c r="D43" i="109"/>
  <c r="R42" i="70"/>
  <c r="F21" i="73"/>
  <c r="F28" i="109"/>
  <c r="O45" i="22"/>
  <c r="D49" i="70"/>
  <c r="E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F49" i="70"/>
  <c r="H49" i="70"/>
  <c r="O28" i="109"/>
  <c r="F28" i="65"/>
  <c r="K28" i="65" s="1"/>
  <c r="D43" i="65"/>
  <c r="J42" i="70" s="1"/>
  <c r="K42" i="70" s="1"/>
  <c r="O43" i="109"/>
  <c r="D42" i="70"/>
  <c r="E42" i="70" s="1"/>
  <c r="K43" i="65"/>
  <c r="F44" i="70"/>
  <c r="D45" i="65"/>
  <c r="O45" i="109"/>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J44" i="70"/>
  <c r="K44" i="70" s="1"/>
  <c r="K45" i="65"/>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F13" i="33"/>
  <c r="L22" i="132"/>
  <c r="E33" i="132"/>
  <c r="H39" i="132" l="1"/>
  <c r="H36" i="132"/>
  <c r="H35" i="132"/>
  <c r="C24" i="22" s="1"/>
  <c r="H45" i="132"/>
  <c r="H42" i="132" s="1"/>
  <c r="H64" i="132"/>
  <c r="C31" i="22" s="1"/>
  <c r="E64" i="132"/>
  <c r="C13" i="25"/>
  <c r="C12" i="25" s="1"/>
  <c r="C11" i="25" s="1"/>
  <c r="G12" i="33"/>
  <c r="G11" i="33" s="1"/>
  <c r="G10" i="33" s="1"/>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44" i="70"/>
  <c r="L51" i="70"/>
  <c r="J34" i="38"/>
  <c r="E33" i="38"/>
  <c r="C38" i="109"/>
  <c r="J44" i="38"/>
  <c r="C10" i="38"/>
  <c r="J45" i="38"/>
  <c r="C39" i="109"/>
  <c r="L163" i="34"/>
  <c r="L162" i="34" s="1"/>
  <c r="K173" i="34"/>
  <c r="K170" i="34" s="1"/>
  <c r="K165" i="34" s="1"/>
  <c r="F28" i="33"/>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C17" i="19"/>
  <c r="E25" i="19" s="1"/>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E28" i="19"/>
  <c r="E29" i="19" s="1"/>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Z14" i="73"/>
  <c r="Y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1" i="73"/>
  <c r="H11" i="73"/>
  <c r="G11"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H64" i="70"/>
  <c r="G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H21" i="70"/>
  <c r="G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I34" i="73" l="1"/>
  <c r="J34" i="73" s="1"/>
  <c r="G35" i="73"/>
  <c r="H45" i="70"/>
  <c r="H22" i="73"/>
  <c r="H23" i="73"/>
  <c r="H24" i="73"/>
  <c r="H25" i="73"/>
  <c r="T49" i="70"/>
  <c r="H46" i="70"/>
  <c r="H65" i="70"/>
  <c r="T42" i="70"/>
  <c r="H21" i="73"/>
  <c r="T45" i="70"/>
  <c r="T44" i="70"/>
  <c r="T43" i="70"/>
  <c r="H44" i="70"/>
  <c r="H42" i="70"/>
  <c r="N42" i="70"/>
  <c r="N43" i="70"/>
  <c r="T54" i="70"/>
  <c r="H48" i="70"/>
  <c r="N44"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T61" i="70"/>
  <c r="N61" i="70"/>
  <c r="N59" i="70"/>
  <c r="N60" i="70"/>
  <c r="N14" i="70"/>
  <c r="H25" i="70"/>
  <c r="H29" i="70"/>
  <c r="N24" i="70"/>
  <c r="Z10" i="73"/>
  <c r="Z27" i="73"/>
  <c r="T34" i="70"/>
  <c r="T41" i="70"/>
  <c r="T46" i="70"/>
  <c r="H10" i="73"/>
  <c r="H24" i="70"/>
  <c r="N22" i="70"/>
  <c r="N10" i="73"/>
  <c r="N13" i="73"/>
  <c r="H26" i="70"/>
  <c r="T13" i="70"/>
  <c r="H61" i="70"/>
  <c r="H60" i="70"/>
  <c r="N13" i="70"/>
  <c r="N31" i="70"/>
  <c r="N32" i="70"/>
  <c r="T32" i="70"/>
  <c r="H53" i="70"/>
  <c r="H20"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I35" i="73" l="1"/>
  <c r="J35" i="73" s="1"/>
  <c r="G22" i="73"/>
  <c r="G23" i="73"/>
  <c r="G24" i="73"/>
  <c r="G25" i="73"/>
  <c r="G65" i="70"/>
  <c r="G21" i="73"/>
  <c r="S54" i="70"/>
  <c r="M51" i="70"/>
  <c r="S50" i="70"/>
  <c r="S52" i="70"/>
  <c r="Y28" i="73"/>
  <c r="G38" i="70"/>
  <c r="G37" i="70"/>
  <c r="M50" i="70"/>
  <c r="M54" i="70"/>
  <c r="M25" i="70"/>
  <c r="S25" i="70"/>
  <c r="S18" i="70"/>
  <c r="S19" i="70"/>
  <c r="M20" i="70"/>
  <c r="S20" i="70"/>
  <c r="S59" i="70"/>
  <c r="S60" i="70"/>
  <c r="M15" i="70"/>
  <c r="S15" i="70"/>
  <c r="S14" i="70"/>
  <c r="M52" i="70"/>
  <c r="G30" i="70"/>
  <c r="S22" i="70"/>
  <c r="S24" i="70"/>
  <c r="S61" i="70"/>
  <c r="M61" i="70"/>
  <c r="M59" i="70"/>
  <c r="M60" i="70"/>
  <c r="M14" i="70"/>
  <c r="G25" i="70"/>
  <c r="G29" i="70"/>
  <c r="M24" i="70"/>
  <c r="Y10" i="73"/>
  <c r="Y27" i="73"/>
  <c r="S34" i="70"/>
  <c r="G10" i="73"/>
  <c r="G24" i="70"/>
  <c r="M22" i="70"/>
  <c r="M10" i="73"/>
  <c r="M13" i="73"/>
  <c r="G26" i="70"/>
  <c r="S13" i="70"/>
  <c r="G61" i="70"/>
  <c r="G60" i="70"/>
  <c r="M13" i="70"/>
  <c r="M31" i="70"/>
  <c r="M32" i="70"/>
  <c r="S32" i="70"/>
  <c r="G53" i="70"/>
  <c r="G20"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<sst xmlns="http://schemas.openxmlformats.org/spreadsheetml/2006/main" count="19173" uniqueCount="2523">
  <si>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</si>
  <si>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</si>
  <si>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</si>
  <si>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</si>
  <si>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</si>
  <si>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</si>
  <si>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</si>
  <si>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</si>
  <si>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</si>
  <si>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</si>
  <si>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</si>
  <si>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</si>
  <si>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</si>
  <si>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</si>
  <si>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</si>
  <si>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</si>
  <si>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</si>
  <si>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</si>
  <si>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</si>
  <si>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</si>
  <si>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</si>
  <si>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</si>
  <si>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</si>
  <si>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</si>
  <si>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</si>
  <si>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</si>
  <si>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</si>
  <si>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</si>
  <si>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</si>
  <si>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</si>
  <si>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</si>
  <si>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</si>
  <si>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</si>
  <si>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</si>
  <si>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</si>
  <si>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</si>
  <si>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</si>
  <si>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</si>
  <si>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</si>
  <si>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</si>
  <si>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</si>
  <si>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</si>
  <si>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</si>
  <si>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</si>
  <si>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</si>
  <si>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</si>
  <si>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</si>
  <si>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</si>
  <si>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</si>
  <si>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</si>
  <si>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</si>
  <si>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</si>
  <si>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</si>
  <si>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</si>
  <si>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</si>
  <si>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</si>
  <si>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</si>
  <si>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</si>
  <si>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</si>
  <si>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</si>
  <si>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</si>
  <si>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</si>
  <si>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</si>
  <si>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</si>
  <si>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</si>
  <si>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</si>
  <si>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</si>
  <si>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</si>
  <si>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</si>
  <si>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</si>
  <si>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</si>
  <si>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</si>
  <si>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</si>
  <si>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</si>
  <si>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</si>
  <si>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</si>
  <si>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</si>
  <si>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</si>
  <si>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</si>
  <si>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</si>
  <si>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</si>
  <si>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</si>
  <si>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</si>
  <si>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</si>
  <si>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</si>
  <si>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</si>
  <si>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</si>
  <si>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</si>
  <si>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</si>
  <si>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</si>
  <si>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</si>
  <si>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</si>
  <si>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</si>
  <si>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</si>
  <si>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</si>
  <si>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</si>
  <si>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</si>
  <si>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</si>
  <si>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</si>
  <si>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</si>
  <si>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</si>
  <si>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</si>
  <si>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</si>
  <si>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</si>
  <si>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</si>
  <si>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</si>
  <si>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</si>
  <si>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</si>
  <si>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</si>
  <si>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</si>
  <si>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</si>
  <si>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</si>
  <si>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</si>
  <si>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</si>
  <si>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</si>
  <si>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</si>
  <si>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</si>
  <si>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</si>
  <si>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</si>
  <si>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</si>
  <si>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</si>
  <si>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</si>
  <si>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</si>
  <si>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</si>
  <si>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</si>
  <si>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</si>
  <si>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</si>
  <si>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</si>
  <si>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</si>
  <si>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</si>
  <si>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</si>
  <si>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</si>
  <si>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</si>
  <si>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</si>
  <si>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</si>
  <si>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</si>
  <si>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</si>
  <si>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</si>
  <si>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</si>
  <si>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</si>
  <si>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</si>
  <si>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</si>
  <si>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</si>
  <si>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</si>
  <si>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</si>
  <si>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</si>
  <si>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</si>
  <si>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</si>
  <si>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</si>
  <si>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</si>
  <si>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</si>
  <si>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</si>
  <si>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</si>
  <si>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</si>
  <si>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</si>
  <si>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</si>
  <si>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</si>
  <si>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</si>
  <si>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</si>
  <si>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</si>
  <si>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</si>
  <si>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</si>
  <si>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</si>
  <si>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</si>
  <si>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</si>
  <si>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</si>
  <si>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</si>
  <si>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</si>
  <si>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</si>
  <si>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</si>
  <si>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</si>
  <si>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</si>
  <si>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</si>
  <si>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</si>
  <si>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</si>
  <si>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</si>
  <si>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</si>
  <si>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</si>
  <si>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</si>
  <si>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</si>
  <si>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</si>
  <si>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</si>
  <si>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</si>
  <si>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</si>
  <si>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</si>
  <si>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</si>
  <si>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</si>
  <si>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</si>
  <si>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</si>
  <si>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</si>
  <si>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</si>
  <si>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</si>
  <si>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</si>
  <si>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</si>
  <si>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</si>
  <si>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</si>
  <si>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</si>
  <si>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</si>
  <si>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</si>
  <si>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</si>
  <si>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</si>
  <si>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</si>
  <si>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</si>
  <si>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</si>
  <si>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</si>
  <si>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</si>
  <si>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</si>
  <si>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</si>
  <si>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</si>
  <si>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</si>
  <si>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</si>
  <si>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</si>
  <si>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</si>
  <si>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</si>
  <si>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</si>
  <si>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</si>
  <si>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</si>
  <si>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</si>
  <si>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</si>
  <si>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</si>
  <si>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</si>
  <si>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</si>
  <si>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</si>
  <si>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</si>
  <si>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</si>
  <si>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</si>
  <si>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</si>
  <si>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</si>
  <si>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</si>
  <si>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</si>
  <si>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</si>
  <si>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</si>
  <si>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</si>
  <si>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</si>
  <si>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</si>
  <si>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</si>
  <si>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</si>
  <si>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</si>
  <si>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</si>
  <si>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</si>
  <si>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</si>
  <si>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</si>
  <si>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</si>
  <si>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</si>
  <si>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</si>
  <si>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</si>
  <si>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</si>
  <si>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</si>
  <si>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</si>
  <si>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</si>
  <si>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</si>
  <si>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</si>
  <si>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</si>
  <si>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</si>
  <si>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</si>
  <si>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</si>
  <si>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</si>
  <si>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</si>
  <si>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</si>
  <si>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</si>
  <si>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</si>
  <si>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</si>
  <si>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</si>
  <si>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</si>
  <si>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</si>
  <si>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</si>
  <si>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</si>
  <si>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</si>
  <si>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</si>
  <si>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</si>
  <si>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</si>
  <si>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</si>
  <si>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</si>
  <si>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</si>
  <si>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</si>
  <si>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</si>
  <si>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</si>
  <si>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</si>
  <si>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</si>
  <si>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</si>
  <si>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</si>
  <si>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</si>
  <si>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</si>
  <si>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</si>
  <si>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</si>
  <si>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</si>
  <si>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</si>
  <si>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</si>
  <si>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</si>
  <si>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</si>
  <si>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</si>
  <si>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</si>
  <si>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</si>
  <si>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</si>
  <si>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</si>
  <si>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</si>
  <si>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</si>
  <si>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</si>
  <si>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</si>
  <si>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</si>
  <si>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</si>
  <si>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</si>
  <si>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</si>
  <si>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</si>
  <si>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</si>
  <si>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</si>
  <si>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</si>
  <si>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</si>
  <si>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</si>
  <si>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</si>
  <si>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</si>
  <si>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</si>
  <si>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</si>
  <si>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</si>
  <si>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</si>
  <si>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</si>
  <si>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</si>
  <si>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</si>
  <si>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</si>
  <si>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</si>
  <si>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</si>
  <si>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</si>
  <si>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</si>
  <si>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</si>
  <si>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</si>
  <si>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</si>
  <si>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</si>
  <si>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</si>
  <si>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</si>
  <si>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</si>
  <si>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</si>
  <si>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</si>
  <si>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</si>
  <si>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</si>
  <si>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</si>
  <si>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</si>
  <si>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</si>
  <si>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</si>
  <si>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</si>
  <si>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</si>
  <si>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</si>
  <si>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</si>
  <si>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</si>
  <si>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</si>
  <si>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</si>
  <si>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</si>
  <si>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</si>
  <si>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</si>
  <si>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</si>
  <si>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</si>
  <si>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</si>
  <si>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</si>
  <si>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</si>
  <si>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</si>
  <si>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</si>
  <si>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</si>
  <si>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</si>
  <si>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</si>
  <si>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</si>
  <si>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</si>
  <si>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</si>
  <si>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</si>
  <si>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</si>
  <si>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</si>
  <si>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</si>
  <si>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</si>
  <si>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</si>
  <si>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</si>
  <si>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</si>
  <si>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</si>
  <si>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</si>
  <si>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</si>
  <si>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</si>
  <si>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</si>
  <si>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</si>
  <si>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</si>
  <si>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</si>
  <si>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</si>
  <si>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</si>
  <si>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</si>
  <si>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</si>
  <si>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</si>
  <si>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</si>
  <si>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</si>
  <si>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</si>
  <si>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</si>
  <si>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</si>
  <si>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</si>
  <si>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</si>
  <si>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</si>
  <si>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</si>
  <si>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</si>
  <si>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</si>
  <si>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</si>
  <si>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</si>
  <si>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</si>
  <si>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</si>
  <si>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</si>
  <si>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</si>
  <si>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</si>
  <si>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</si>
  <si>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</si>
  <si>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</si>
  <si>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</si>
  <si>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</si>
  <si>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</si>
  <si>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</si>
  <si>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</si>
  <si>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</si>
  <si>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</si>
  <si>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</si>
  <si>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</si>
  <si>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</si>
  <si>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</si>
  <si>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</si>
  <si>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</si>
  <si>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</si>
  <si>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</si>
  <si>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</si>
  <si>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</si>
  <si>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</si>
  <si>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</si>
  <si>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</si>
  <si>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</si>
  <si>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</si>
  <si>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</si>
  <si>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</si>
  <si>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</si>
  <si>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</si>
  <si>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</si>
  <si>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</si>
  <si>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</si>
  <si>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</si>
  <si>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</si>
  <si>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</si>
  <si>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</si>
  <si>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</si>
  <si>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</si>
  <si>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</si>
  <si>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</si>
  <si>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</si>
  <si>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</si>
  <si>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</si>
  <si>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</si>
  <si>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</si>
  <si>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</si>
  <si>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</si>
  <si>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</si>
  <si>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</si>
  <si>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</si>
  <si>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</si>
  <si>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</si>
  <si>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</si>
  <si>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</si>
  <si>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</si>
  <si>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</si>
  <si>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</si>
  <si>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</si>
  <si>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</si>
  <si>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</si>
  <si>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</si>
  <si>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</si>
  <si>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</si>
  <si>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</si>
  <si>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</si>
  <si>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</si>
  <si>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</si>
  <si>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</si>
  <si>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</si>
  <si>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</si>
  <si>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</si>
  <si>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</si>
  <si>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</si>
  <si>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</si>
  <si>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</si>
  <si>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</si>
  <si>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</si>
  <si>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</si>
  <si>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</si>
  <si>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</si>
  <si>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</si>
  <si>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</si>
  <si>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</si>
  <si>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</si>
  <si>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</si>
  <si>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</si>
  <si>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</si>
  <si>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</si>
  <si>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</si>
  <si>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</si>
  <si>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</si>
  <si>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</si>
  <si>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</si>
  <si>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</si>
  <si>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</si>
  <si>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</si>
  <si>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</si>
  <si>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</si>
  <si>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</si>
  <si>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</si>
  <si>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</si>
  <si>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</si>
  <si>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</si>
  <si>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</si>
  <si>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</si>
  <si>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</si>
  <si>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</si>
  <si>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</si>
  <si>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</si>
  <si>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</si>
  <si>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</si>
  <si>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</si>
  <si>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</si>
  <si>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</si>
  <si>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</si>
  <si>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</si>
  <si>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</si>
  <si>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</si>
  <si>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</si>
  <si>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</si>
  <si>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</si>
  <si>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</si>
  <si>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</si>
  <si>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</si>
  <si>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</si>
  <si>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</si>
  <si>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</si>
  <si>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</si>
  <si>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</si>
  <si>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</si>
  <si>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</si>
  <si>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</si>
  <si>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</si>
  <si>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</si>
  <si>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</si>
  <si>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</si>
  <si>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</si>
  <si>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</si>
  <si>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</si>
  <si>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</si>
  <si>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</si>
  <si>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</si>
  <si>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</si>
  <si>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</si>
  <si>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</si>
  <si>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</si>
  <si>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</si>
  <si>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</si>
  <si>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</si>
  <si>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</si>
  <si>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</si>
  <si>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</si>
  <si>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</si>
  <si>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</si>
  <si>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</si>
  <si>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</si>
  <si>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</si>
  <si>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</si>
  <si>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</si>
  <si>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</si>
  <si>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</si>
  <si>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</si>
  <si>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</si>
  <si>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</si>
  <si>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</si>
  <si>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</si>
  <si>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</si>
  <si>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</si>
  <si>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</si>
  <si>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</si>
  <si>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</si>
  <si>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</si>
  <si>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</si>
  <si>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</si>
  <si>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</si>
  <si>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</si>
  <si>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</si>
  <si>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</si>
  <si>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</si>
  <si>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</si>
  <si>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</si>
  <si>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</si>
  <si>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</si>
  <si>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</si>
  <si>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</si>
  <si>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</si>
  <si>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</si>
  <si>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</si>
  <si>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</si>
  <si>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</si>
  <si>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</si>
  <si>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</si>
  <si>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</si>
  <si>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</si>
  <si>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</si>
  <si>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</si>
  <si>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</si>
  <si>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</si>
  <si>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</si>
  <si>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</si>
  <si>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</si>
  <si>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</si>
  <si>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</si>
  <si>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</si>
  <si>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</si>
  <si>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</si>
  <si>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</si>
  <si>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</si>
  <si>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</si>
  <si>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</si>
  <si>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</si>
  <si>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</si>
  <si>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</si>
  <si>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</si>
  <si>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</si>
  <si>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</si>
  <si>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</si>
  <si>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</si>
  <si>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</si>
  <si>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</si>
  <si>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</si>
  <si>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</si>
  <si>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</si>
  <si>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</si>
  <si>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</si>
  <si>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</si>
  <si>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</si>
  <si>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</si>
  <si>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</si>
  <si>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</si>
  <si>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</si>
  <si>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</si>
  <si>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</si>
  <si>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</si>
  <si>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</si>
  <si>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</si>
  <si>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</si>
  <si>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</si>
  <si>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</si>
  <si>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</si>
  <si>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</si>
  <si>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</si>
  <si>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</si>
  <si>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</si>
  <si>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</si>
  <si>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</si>
  <si>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</si>
  <si>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</si>
  <si>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</si>
  <si>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</si>
  <si>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</si>
  <si>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</si>
  <si>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</si>
  <si>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</si>
  <si>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</si>
  <si>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</si>
  <si>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</si>
  <si>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</si>
  <si>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</si>
  <si>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</si>
  <si>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</si>
  <si>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</si>
  <si>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</si>
  <si>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</si>
  <si>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</si>
  <si>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</si>
  <si>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</si>
  <si>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</si>
  <si>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</si>
  <si>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</si>
  <si>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</si>
  <si>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</si>
  <si>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</si>
  <si>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</si>
  <si>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</si>
  <si>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</si>
  <si>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</si>
  <si>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</si>
  <si>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</si>
  <si>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</si>
  <si>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</si>
  <si>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</si>
  <si>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</si>
  <si>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</si>
  <si>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</si>
  <si>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</si>
  <si>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</si>
  <si>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</si>
  <si>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</si>
  <si>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</si>
  <si>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</si>
  <si>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</si>
  <si>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</si>
  <si>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</si>
  <si>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</si>
  <si>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</si>
  <si>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</si>
  <si>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</si>
  <si>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</si>
  <si>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</si>
  <si>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</si>
  <si>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</si>
  <si>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</si>
  <si>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</si>
  <si>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</si>
  <si>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</si>
  <si>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</si>
  <si>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</si>
  <si>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</si>
  <si>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</si>
  <si>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</si>
  <si>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</si>
  <si>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</si>
  <si>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</si>
  <si>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</si>
  <si>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</si>
  <si>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</si>
  <si>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</si>
  <si>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</si>
  <si>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</si>
  <si>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</si>
  <si>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</si>
  <si>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</si>
  <si>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</si>
  <si>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</si>
  <si>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</si>
  <si>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</si>
  <si>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</si>
  <si>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</si>
  <si>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</si>
  <si>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</si>
  <si>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</si>
  <si>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</si>
  <si>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</si>
  <si>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</si>
  <si>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</si>
  <si>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</si>
  <si>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</si>
  <si>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</si>
  <si>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</si>
  <si>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</si>
  <si>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</si>
  <si>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</si>
  <si>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</si>
  <si>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</si>
  <si>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</si>
  <si>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</si>
  <si>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</si>
  <si>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</si>
  <si>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</si>
  <si>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</si>
  <si>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</si>
  <si>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</si>
  <si>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</si>
  <si>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</si>
  <si>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</si>
  <si>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</si>
  <si>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</si>
  <si>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</si>
  <si>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</si>
  <si>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</si>
  <si>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</si>
  <si>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</si>
  <si>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</si>
  <si>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</si>
  <si>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</si>
  <si>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</si>
  <si>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</si>
  <si>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</si>
  <si>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</si>
  <si>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</si>
  <si>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</si>
  <si>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</si>
  <si>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</si>
  <si>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</si>
  <si>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</si>
  <si>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</si>
  <si>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</si>
  <si>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</si>
  <si>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</si>
  <si>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</si>
  <si>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</si>
  <si>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</si>
  <si>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</si>
  <si>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</si>
  <si>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</si>
  <si>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</si>
  <si>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</si>
  <si>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</si>
  <si>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</si>
  <si>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</si>
  <si>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</si>
  <si>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</si>
  <si>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</si>
  <si>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</si>
  <si>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</si>
  <si>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</si>
  <si>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</si>
  <si>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</si>
  <si>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</si>
  <si>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</si>
  <si>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</si>
  <si>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</si>
  <si>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</si>
  <si>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</si>
  <si>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</si>
  <si>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</si>
  <si>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</si>
  <si>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</si>
  <si>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</si>
  <si>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</si>
  <si>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</si>
  <si>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</si>
  <si>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</si>
  <si>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</si>
  <si>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</si>
  <si>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</si>
  <si>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</si>
  <si>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</si>
  <si>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</si>
  <si>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</si>
  <si>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</si>
  <si>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</si>
  <si>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</si>
  <si>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</si>
  <si>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</si>
  <si>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</si>
  <si>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</si>
  <si>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</si>
  <si>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</si>
  <si>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</si>
  <si>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</si>
  <si>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</si>
  <si>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</si>
  <si>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</si>
  <si>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</si>
  <si>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</si>
  <si>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</si>
  <si>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</si>
  <si>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</si>
  <si>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</si>
  <si>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</si>
  <si>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</si>
  <si>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</si>
  <si>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</si>
  <si>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</si>
  <si>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</si>
  <si>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</si>
  <si>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</si>
  <si>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</si>
  <si>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</si>
  <si>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</si>
  <si>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</si>
  <si>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</si>
  <si>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</si>
  <si>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</si>
  <si>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</si>
  <si>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</si>
  <si>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</si>
  <si>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</si>
  <si>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</si>
  <si>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</si>
  <si>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</si>
  <si>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</si>
  <si>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</si>
  <si>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</si>
  <si>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</si>
  <si>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</si>
  <si>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</si>
  <si>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</si>
  <si>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</si>
  <si>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</si>
  <si>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</si>
  <si>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</si>
  <si>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</si>
  <si>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</si>
  <si>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</si>
  <si>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</si>
  <si>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</si>
  <si>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</si>
  <si>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</si>
  <si>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</si>
  <si>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</si>
  <si>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</si>
  <si>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</si>
  <si>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</si>
  <si>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</si>
  <si>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</si>
  <si>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</si>
  <si>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</si>
  <si>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</si>
  <si>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</si>
  <si>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</si>
  <si>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</si>
  <si>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</si>
  <si>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</si>
  <si>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</si>
  <si>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</si>
  <si>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</si>
  <si>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</si>
  <si>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</si>
  <si>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</si>
  <si>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</si>
  <si>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</si>
  <si>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</si>
  <si>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</si>
  <si>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</si>
  <si>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</si>
  <si>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</si>
  <si>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</si>
  <si>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</si>
  <si>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</si>
  <si>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</si>
  <si>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</si>
  <si>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</si>
  <si>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</si>
  <si>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</si>
  <si>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</si>
  <si>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</si>
  <si>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</si>
  <si>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</si>
  <si>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</si>
  <si>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</si>
  <si>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</si>
  <si>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</si>
  <si>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</si>
  <si>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</si>
  <si>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</si>
  <si>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</si>
  <si>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</si>
  <si>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</si>
  <si>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</si>
  <si>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</si>
  <si>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</si>
  <si>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</si>
  <si>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</si>
  <si>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</si>
  <si>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</si>
  <si>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</si>
  <si>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</si>
  <si>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</si>
  <si>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</si>
  <si>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</si>
  <si>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</si>
  <si>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</si>
  <si>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</si>
  <si>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</si>
  <si>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</si>
  <si>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</si>
  <si>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</si>
  <si>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</si>
  <si>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</si>
  <si>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</si>
  <si>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</si>
  <si>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</si>
  <si>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</si>
  <si>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</si>
  <si>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</si>
  <si>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</si>
  <si>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</si>
  <si>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</si>
  <si>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</si>
  <si>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</si>
  <si>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</si>
  <si>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</si>
  <si>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</si>
  <si>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</si>
  <si>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</si>
  <si>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</si>
  <si>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</si>
  <si>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</si>
  <si>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</si>
  <si>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</si>
  <si>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</si>
  <si>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</si>
  <si>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</si>
  <si>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</si>
  <si>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</si>
  <si>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</si>
  <si>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</si>
  <si>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</si>
  <si>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</si>
  <si>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</si>
  <si>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</si>
  <si>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</si>
  <si>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</si>
  <si>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</si>
  <si>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</si>
  <si>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</si>
  <si>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</si>
  <si>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</si>
  <si>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</si>
  <si>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</si>
  <si>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</si>
  <si>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</si>
  <si>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</si>
  <si>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</si>
  <si>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</si>
  <si>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</si>
  <si>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</si>
  <si>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</si>
  <si>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</si>
  <si>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</si>
  <si>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</si>
  <si>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</si>
  <si>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</si>
  <si>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</si>
  <si>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</si>
  <si>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</si>
  <si>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</si>
  <si>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</si>
  <si>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</si>
  <si>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</si>
  <si>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</si>
  <si>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</si>
  <si>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</si>
  <si>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</si>
  <si>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</si>
  <si>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</si>
  <si>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</si>
  <si>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</si>
  <si>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</si>
  <si>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</si>
  <si>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</si>
  <si>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</si>
  <si>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</si>
  <si>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</si>
  <si>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</si>
  <si>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</si>
  <si>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</si>
  <si>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</si>
  <si>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</si>
  <si>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</si>
  <si>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</si>
  <si>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</si>
  <si>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</si>
  <si>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</si>
  <si>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</si>
  <si>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</si>
  <si>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</si>
  <si>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</si>
  <si>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</si>
  <si>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</si>
  <si>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</si>
  <si>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</si>
  <si>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</si>
  <si>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</si>
  <si>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</si>
  <si>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</si>
  <si>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</si>
  <si>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</si>
  <si>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</si>
  <si>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</si>
  <si>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</si>
  <si>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</si>
  <si>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</si>
  <si>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</si>
  <si>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</si>
  <si>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</si>
  <si>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</si>
  <si>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</si>
  <si>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</si>
  <si>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</si>
  <si>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</si>
  <si>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</si>
  <si>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</si>
  <si>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</si>
  <si>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</si>
  <si>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</si>
  <si>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</si>
  <si>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</si>
  <si>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</si>
  <si>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</si>
  <si>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</si>
  <si>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</si>
  <si>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</si>
  <si>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</si>
  <si>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</si>
  <si>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</si>
  <si>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</si>
  <si>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</si>
  <si>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</si>
  <si>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</si>
  <si>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</si>
  <si>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</si>
  <si>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</si>
  <si>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</si>
  <si>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</si>
  <si>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</si>
  <si>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</si>
  <si>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</si>
  <si>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</si>
  <si>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</si>
  <si>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</si>
  <si>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</si>
  <si>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</si>
  <si>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</si>
  <si>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</si>
  <si>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</si>
  <si>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</si>
  <si>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</si>
  <si>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</si>
  <si>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</si>
  <si>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</si>
  <si>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</si>
  <si>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</si>
  <si>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</si>
  <si>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</si>
  <si>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</si>
  <si>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</si>
  <si>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</si>
  <si>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</si>
  <si>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</si>
  <si>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</si>
  <si>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</si>
  <si>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</si>
  <si>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</si>
  <si>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</si>
  <si>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</si>
  <si>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</si>
  <si>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</si>
  <si>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</si>
  <si>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</si>
  <si>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</si>
  <si>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</si>
  <si>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</si>
  <si>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</si>
  <si>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</si>
  <si>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</si>
  <si>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</si>
  <si>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</si>
  <si>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</si>
  <si>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</si>
  <si>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</si>
  <si>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</si>
  <si>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</si>
  <si>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</si>
  <si>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</si>
  <si>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</si>
  <si>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</si>
  <si>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</si>
  <si>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</si>
  <si>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</si>
  <si>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</si>
  <si>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</si>
  <si>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</si>
  <si>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</si>
  <si>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</si>
  <si>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</si>
  <si>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</si>
  <si>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</si>
  <si>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</si>
  <si>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</si>
  <si>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</si>
  <si>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</si>
  <si>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</si>
  <si>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</si>
  <si>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</si>
  <si>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</si>
  <si>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</si>
  <si>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</si>
  <si>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</si>
  <si>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</si>
  <si>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</si>
  <si>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</si>
  <si>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</si>
  <si>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</si>
  <si>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</si>
  <si>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</si>
  <si>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</si>
  <si>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</si>
  <si>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</si>
  <si>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</si>
  <si>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</si>
  <si>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</si>
  <si>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</si>
  <si>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</si>
  <si>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</si>
  <si>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</si>
  <si>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</si>
  <si>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</si>
  <si>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</si>
  <si>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</si>
  <si>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</si>
  <si>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</si>
  <si>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</si>
  <si>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</si>
  <si>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</si>
  <si>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</si>
  <si>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</si>
  <si>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</si>
  <si>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</si>
  <si>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</si>
  <si>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</si>
  <si>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</si>
  <si>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</si>
  <si>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</si>
  <si>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</si>
  <si>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</si>
  <si>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</si>
  <si>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</si>
  <si>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</si>
  <si>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</si>
  <si>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</si>
  <si>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</si>
  <si>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</si>
  <si>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</si>
  <si>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</si>
  <si>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</si>
  <si>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</si>
  <si>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</si>
  <si>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</si>
  <si>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</si>
  <si>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</si>
  <si>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</si>
  <si>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</si>
  <si>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</si>
  <si>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</si>
  <si>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</si>
  <si>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</si>
  <si>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</si>
  <si>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</si>
  <si>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</si>
  <si>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</si>
  <si>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</si>
  <si>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</si>
  <si>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</si>
  <si>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</si>
  <si>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</si>
  <si>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</si>
  <si>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</si>
  <si>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</si>
  <si>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</si>
  <si>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</si>
  <si>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</si>
  <si>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</si>
  <si>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</si>
  <si>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</si>
  <si>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</si>
  <si>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</si>
  <si>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</si>
  <si>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</si>
  <si>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</si>
  <si>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</si>
  <si>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</si>
  <si>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</si>
  <si>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</si>
  <si>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</si>
  <si>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</si>
  <si>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</si>
  <si>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</si>
  <si>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</si>
  <si>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</si>
  <si>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</si>
  <si>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</si>
  <si>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</si>
  <si>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</si>
  <si>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</si>
  <si>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</si>
  <si>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</si>
  <si>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</si>
  <si>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</si>
  <si>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</si>
  <si>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</si>
  <si>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</si>
  <si>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</si>
  <si>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</si>
  <si>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</si>
  <si>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</si>
  <si>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</si>
  <si>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</si>
  <si>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</si>
  <si>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</si>
  <si>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</si>
  <si>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</si>
  <si>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</si>
  <si>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</si>
  <si>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</si>
  <si>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</si>
  <si>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</si>
  <si>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</si>
  <si>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</si>
  <si>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</si>
  <si>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</si>
  <si>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</si>
  <si>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</si>
  <si>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</si>
  <si>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</si>
  <si>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</si>
  <si>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</si>
  <si>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</si>
  <si>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</si>
  <si>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</si>
  <si>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</si>
  <si>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</si>
  <si>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</si>
  <si>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</si>
  <si>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</si>
  <si>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</si>
  <si>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</si>
  <si>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</si>
  <si>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</si>
  <si>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</si>
  <si>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</si>
  <si>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</si>
  <si>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</si>
  <si>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</si>
  <si>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</si>
  <si>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</si>
  <si>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</si>
  <si>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</si>
  <si>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</si>
  <si>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</si>
  <si>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</si>
  <si>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</si>
  <si>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</si>
  <si>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</si>
  <si>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</si>
  <si>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</si>
  <si>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</si>
  <si>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</si>
  <si>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</si>
  <si>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</si>
  <si>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</si>
  <si>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</si>
  <si>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</si>
  <si>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</si>
  <si>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</si>
  <si>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</si>
  <si>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</si>
  <si>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</si>
  <si>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</si>
  <si>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</si>
  <si>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</si>
  <si>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</si>
  <si>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</si>
  <si>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</si>
  <si>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</si>
  <si>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</si>
  <si>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</si>
  <si>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</si>
  <si>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</si>
  <si>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</si>
  <si>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</si>
  <si>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</si>
  <si>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</si>
  <si>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</si>
  <si>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</si>
  <si>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</si>
  <si>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</si>
  <si>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</si>
  <si>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</si>
  <si>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</si>
  <si>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</si>
  <si>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</si>
  <si>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</si>
  <si>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</si>
  <si>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</si>
  <si>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</si>
  <si>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</si>
  <si>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</si>
  <si>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</si>
  <si>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</si>
  <si>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</si>
  <si>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</si>
  <si>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</si>
  <si>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</si>
  <si>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</si>
  <si>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</si>
  <si>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</si>
  <si>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</si>
  <si>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</si>
  <si>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</si>
  <si>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</si>
  <si>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</si>
  <si>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</si>
  <si>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</si>
  <si>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</si>
  <si>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</si>
  <si>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</si>
  <si>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</si>
  <si>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</si>
  <si>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</si>
  <si>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</si>
  <si>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</si>
  <si>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</si>
  <si>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</si>
  <si>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</si>
  <si>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</si>
  <si>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</si>
  <si>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</si>
  <si>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</si>
  <si>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</si>
  <si>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</si>
  <si>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</si>
  <si>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</si>
  <si>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</si>
  <si>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</si>
  <si>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</si>
  <si>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</si>
  <si>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</si>
  <si>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</si>
  <si>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</si>
  <si>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</si>
  <si>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</si>
  <si>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</si>
  <si>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</si>
  <si>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</si>
  <si>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</si>
  <si>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</si>
  <si>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</si>
  <si>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</si>
  <si>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</si>
  <si>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</si>
  <si>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</si>
  <si>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</si>
  <si>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</si>
  <si>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</si>
  <si>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</si>
  <si>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</si>
  <si>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</si>
  <si>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</si>
  <si>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</si>
  <si>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</si>
  <si>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</si>
  <si>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</si>
  <si>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</si>
  <si>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</si>
  <si>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</si>
  <si>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</si>
  <si>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</si>
  <si>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</si>
  <si>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</si>
  <si>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</si>
  <si>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</si>
  <si>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</si>
  <si>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</si>
  <si>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</si>
  <si>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</si>
  <si>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</si>
  <si>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</si>
  <si>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</si>
  <si>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</si>
  <si>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</si>
  <si>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</si>
  <si>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</si>
  <si>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</si>
  <si>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</si>
  <si>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</si>
  <si>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</si>
  <si>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</si>
  <si>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</si>
  <si>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</si>
  <si>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</si>
  <si>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</si>
  <si>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</si>
  <si>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</si>
  <si>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</si>
  <si>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</si>
  <si>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</si>
  <si>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</si>
  <si>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</si>
  <si>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</si>
  <si>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</si>
  <si>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</si>
  <si>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</si>
  <si>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</si>
  <si>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</si>
  <si>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</si>
  <si>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</si>
  <si>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</si>
  <si>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</si>
  <si>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</si>
  <si>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</si>
  <si>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</si>
  <si>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</si>
  <si>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</si>
  <si>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</si>
  <si>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</si>
  <si>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</si>
  <si>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</si>
  <si>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</si>
  <si>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</si>
  <si>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</si>
  <si>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</si>
  <si>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</si>
  <si>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</si>
  <si>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</si>
  <si>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</si>
  <si>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</si>
  <si>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</si>
  <si>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</si>
  <si>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</si>
  <si>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</si>
  <si>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</si>
  <si>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</si>
  <si>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</si>
  <si>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</si>
  <si>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</si>
  <si>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</si>
  <si>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</si>
  <si>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</si>
  <si>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</si>
  <si>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</si>
  <si>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</si>
  <si>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</si>
  <si>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</si>
  <si>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</si>
  <si>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</si>
  <si>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</si>
  <si>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</si>
  <si>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</si>
  <si>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</si>
  <si>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</si>
  <si>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</si>
  <si>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</si>
  <si>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</si>
  <si>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</si>
  <si>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</si>
  <si>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</si>
  <si>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</si>
  <si>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</si>
  <si>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</si>
  <si>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</si>
  <si>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</si>
  <si>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</si>
  <si>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</si>
  <si>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</si>
  <si>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</si>
  <si>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</si>
  <si>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</si>
  <si>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</si>
  <si>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</si>
  <si>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</si>
  <si>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</si>
  <si>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</si>
  <si>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</si>
  <si>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</si>
  <si>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</si>
  <si>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</si>
  <si>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</si>
  <si>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</si>
  <si>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</si>
  <si>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</si>
  <si>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</si>
  <si>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</si>
  <si>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</si>
  <si>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</si>
  <si>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</si>
  <si>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</si>
  <si>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</si>
  <si>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</si>
  <si>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</si>
  <si>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</si>
  <si>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</si>
  <si>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</si>
  <si>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</si>
  <si>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</si>
  <si>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</si>
  <si>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</si>
  <si>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</si>
  <si>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</si>
  <si>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</si>
  <si>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</si>
  <si>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</si>
  <si>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</si>
  <si>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</si>
  <si>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</si>
  <si>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</si>
  <si>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</si>
  <si>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</si>
  <si>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</si>
  <si>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</si>
  <si>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</si>
  <si>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</si>
  <si>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</si>
  <si>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</si>
  <si>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</si>
  <si>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</si>
  <si>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</si>
  <si>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</si>
  <si>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</si>
  <si>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</si>
  <si>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</si>
  <si>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</si>
  <si>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</si>
  <si>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</si>
  <si>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</si>
  <si>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</si>
  <si>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</si>
  <si>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</si>
  <si>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</si>
  <si>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</si>
  <si>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</si>
  <si>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</si>
  <si>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</si>
  <si>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</si>
  <si>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</si>
  <si>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</si>
  <si>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</si>
  <si>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</si>
  <si>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</si>
  <si>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</si>
  <si>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</si>
  <si>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</si>
  <si>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</si>
  <si>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</si>
  <si>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</si>
  <si>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</si>
  <si>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</si>
  <si>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</si>
  <si>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</si>
  <si>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</si>
  <si>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</si>
  <si>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</si>
  <si>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</si>
  <si>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</si>
  <si>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</si>
  <si>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</si>
  <si>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</si>
  <si>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</si>
  <si>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</si>
  <si>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</si>
  <si>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</si>
  <si>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</si>
  <si>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</si>
  <si>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</si>
  <si>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</si>
  <si>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</si>
  <si>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</si>
  <si>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</si>
  <si>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</si>
  <si>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</si>
  <si>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</si>
  <si>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</si>
  <si>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</si>
  <si>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</si>
  <si>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</si>
  <si>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</si>
  <si>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</si>
  <si>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</si>
  <si>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</si>
  <si>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</si>
  <si>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</si>
  <si>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</si>
  <si>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</si>
  <si>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</si>
  <si>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</si>
  <si>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</si>
  <si>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</si>
  <si>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</si>
  <si>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</si>
  <si>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</si>
  <si>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</si>
  <si>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</si>
  <si>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</si>
  <si>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</si>
  <si>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</si>
  <si>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</si>
  <si>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</si>
  <si>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</si>
  <si>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</si>
  <si>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</si>
  <si>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</si>
  <si>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</si>
  <si>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</si>
  <si>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</si>
  <si>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</si>
  <si>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</si>
  <si>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</si>
  <si>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</si>
  <si>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</si>
  <si>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</si>
  <si>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</si>
  <si>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</si>
  <si>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</si>
  <si>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</si>
  <si>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</si>
  <si>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</si>
  <si>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</si>
  <si>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</si>
  <si>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</si>
  <si>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</si>
  <si>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</si>
  <si>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</si>
  <si>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</si>
  <si>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</si>
  <si>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</si>
  <si>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</si>
  <si>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</si>
  <si>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</si>
  <si>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</si>
  <si>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</si>
  <si>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</si>
  <si>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</si>
  <si>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</si>
  <si>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</si>
  <si>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</si>
  <si>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</si>
  <si>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</si>
  <si>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</si>
  <si>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</si>
  <si>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</si>
  <si>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</si>
  <si>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</si>
  <si>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</si>
  <si>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</si>
  <si>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</si>
  <si>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</si>
  <si>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</si>
  <si>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</si>
  <si>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</si>
  <si>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</si>
  <si>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</si>
  <si>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</si>
  <si>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</si>
  <si>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</si>
  <si>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</si>
  <si>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</si>
  <si>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</si>
  <si>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</si>
  <si>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</si>
  <si>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</si>
  <si>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</si>
  <si>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</si>
  <si>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</si>
  <si>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</si>
  <si>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</si>
  <si>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</si>
  <si>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</si>
  <si>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</si>
  <si>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</si>
  <si>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</si>
  <si>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</si>
  <si>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</si>
  <si>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</si>
  <si>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</si>
  <si>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</si>
  <si>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</si>
  <si>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</si>
  <si>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</si>
  <si>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</si>
  <si>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</si>
  <si>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</si>
  <si>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</si>
  <si>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</si>
  <si>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</si>
  <si>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</si>
  <si>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</si>
  <si>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</si>
  <si>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</si>
  <si>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</si>
  <si>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</si>
  <si>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</si>
  <si>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</si>
  <si>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</si>
  <si>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</si>
  <si>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</si>
  <si>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</si>
  <si>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</si>
  <si>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</si>
  <si>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</si>
  <si>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</si>
  <si>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</si>
  <si>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</si>
  <si>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</si>
  <si>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</si>
  <si>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</si>
  <si>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</si>
  <si>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</si>
  <si>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</si>
  <si>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</si>
  <si>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</si>
  <si>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</si>
  <si>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</si>
  <si>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</si>
  <si>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</si>
  <si>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</si>
  <si>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</si>
  <si>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</si>
  <si>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</si>
  <si>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</si>
  <si>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</si>
  <si>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</si>
  <si>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</si>
  <si>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</si>
  <si>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</si>
  <si>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</si>
  <si>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</si>
  <si>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</si>
  <si>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</si>
  <si>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</si>
  <si>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</si>
  <si>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</si>
  <si>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</si>
  <si>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</si>
  <si>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</si>
  <si>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</si>
  <si>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</si>
  <si>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</si>
  <si>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</si>
  <si>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</si>
  <si>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</si>
  <si>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</si>
  <si>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</si>
  <si>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</si>
  <si>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</si>
  <si>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</si>
  <si>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</si>
  <si>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</si>
  <si>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</si>
  <si>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</si>
  <si>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</si>
  <si>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</si>
  <si>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</si>
  <si>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</si>
  <si>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</si>
  <si>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</si>
  <si>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</si>
  <si>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</si>
  <si>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</si>
  <si>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</si>
  <si>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</si>
  <si>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</si>
  <si>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</si>
  <si>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</si>
  <si>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</si>
  <si>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</si>
  <si>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</si>
  <si>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</si>
  <si>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</si>
  <si>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</si>
  <si>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</si>
  <si>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</si>
  <si>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</si>
  <si>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</si>
  <si>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</si>
  <si>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</si>
  <si>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</si>
  <si>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</si>
  <si>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</si>
  <si>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</si>
  <si>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</si>
  <si>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</si>
  <si>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</si>
  <si>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</si>
  <si>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</si>
  <si>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</si>
  <si>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</si>
  <si>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</si>
  <si>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</si>
  <si>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</si>
  <si>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</si>
  <si>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</si>
  <si>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</si>
  <si>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</si>
  <si>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</si>
  <si>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</si>
  <si>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</si>
  <si>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</si>
  <si>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</si>
  <si>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</si>
  <si>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</si>
  <si>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</si>
  <si>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</si>
  <si>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</si>
  <si>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</si>
  <si>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</si>
  <si>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</si>
  <si>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</si>
  <si>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</si>
  <si>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</si>
  <si>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</si>
  <si>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</si>
  <si>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</si>
  <si>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</si>
  <si>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</si>
  <si>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</si>
  <si>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</si>
  <si>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</si>
  <si>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</si>
  <si>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</si>
  <si>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</si>
  <si>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</si>
  <si>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</si>
  <si>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</si>
  <si>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</si>
  <si>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</si>
  <si>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</si>
  <si>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</si>
  <si>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</si>
  <si>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</si>
  <si>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</si>
  <si>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</si>
  <si>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</si>
  <si>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</si>
  <si>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</si>
  <si>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</si>
  <si>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</si>
  <si>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</si>
  <si>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</si>
  <si>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</si>
  <si>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</si>
  <si>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</si>
  <si>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</si>
  <si>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</si>
  <si>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</si>
  <si>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</si>
  <si>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</si>
  <si>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</si>
  <si>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</si>
  <si>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</si>
  <si>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</si>
  <si>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</si>
  <si>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</si>
  <si>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</si>
  <si>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</si>
  <si>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</si>
  <si>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</si>
  <si>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</si>
  <si>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</si>
  <si>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</si>
  <si>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</si>
  <si>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</si>
  <si>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</si>
  <si>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</si>
  <si>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</si>
  <si>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</si>
  <si>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</si>
  <si>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</si>
  <si>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</si>
  <si>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</si>
  <si>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</si>
  <si>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</si>
  <si>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</si>
  <si>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</si>
  <si>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</si>
  <si>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</si>
  <si>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</si>
  <si>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</si>
  <si>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</si>
  <si>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</si>
  <si>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</si>
  <si>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</si>
  <si>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</si>
  <si>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</si>
  <si>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</si>
  <si>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</si>
  <si>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</si>
  <si>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</si>
  <si>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</si>
  <si>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</si>
  <si>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</si>
  <si>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</si>
  <si>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</si>
  <si>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</si>
  <si>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</si>
  <si>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</si>
  <si>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</si>
  <si>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</si>
  <si>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</si>
  <si>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</si>
  <si>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</si>
  <si>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</si>
  <si>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</si>
  <si>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</si>
  <si>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</si>
  <si>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</si>
  <si>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</si>
  <si>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</si>
  <si>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</si>
  <si>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</si>
  <si>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</si>
  <si>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</si>
  <si>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</si>
  <si>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</si>
  <si>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</si>
  <si>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</si>
  <si>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</si>
  <si>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</si>
  <si>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</si>
  <si>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</si>
  <si>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</si>
  <si>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</si>
  <si>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</si>
  <si>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</si>
  <si>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</si>
  <si>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</si>
  <si>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</si>
  <si>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</si>
  <si>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</si>
  <si>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</si>
  <si>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</si>
  <si>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</si>
  <si>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</si>
  <si>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</si>
  <si>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</si>
  <si>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</si>
  <si>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</si>
  <si>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</si>
  <si>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</si>
  <si>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</si>
  <si>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</si>
  <si>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</si>
  <si>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</si>
  <si>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</si>
  <si>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</si>
  <si>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</si>
  <si>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</si>
  <si>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</si>
  <si>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</si>
  <si>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</si>
  <si>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</si>
  <si>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</si>
  <si>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</si>
  <si>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</si>
  <si>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</si>
  <si>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</si>
  <si>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</si>
  <si>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</si>
  <si>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</si>
  <si>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</si>
  <si>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</si>
  <si>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</si>
  <si>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</si>
  <si>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</si>
  <si>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</si>
  <si>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</si>
  <si>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</si>
  <si>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</si>
  <si>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</si>
  <si>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</si>
  <si>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</si>
  <si>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</si>
  <si>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</si>
  <si>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</si>
  <si>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</si>
  <si>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</si>
  <si>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</si>
  <si>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</si>
  <si>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</si>
  <si>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</si>
  <si>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</si>
  <si>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</si>
  <si>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</si>
  <si>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</si>
  <si>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</si>
  <si>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</si>
  <si>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</si>
  <si>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</si>
  <si>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</si>
  <si>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</si>
  <si>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</si>
  <si>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</si>
  <si>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</si>
  <si>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</si>
  <si>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</si>
  <si>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</si>
  <si>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</si>
  <si>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</si>
  <si>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</si>
  <si>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</si>
  <si>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</si>
  <si>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</si>
  <si>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</si>
  <si>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</si>
  <si>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</si>
  <si>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</si>
  <si>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</si>
  <si>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</si>
  <si>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</si>
  <si>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</si>
  <si>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</si>
  <si>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</si>
  <si>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</si>
  <si>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</si>
  <si>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</si>
  <si>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</si>
  <si>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</si>
  <si>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</si>
  <si>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</si>
  <si>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</si>
  <si>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</si>
  <si>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</si>
  <si>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</si>
  <si>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</si>
  <si>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</si>
  <si>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</si>
  <si>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</si>
  <si>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</si>
  <si>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</si>
  <si>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</si>
  <si>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</si>
  <si>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</si>
  <si>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</si>
  <si>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</si>
  <si>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</si>
  <si>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</si>
  <si>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</si>
  <si>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</si>
  <si>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</si>
  <si>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</si>
  <si>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</si>
  <si>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</si>
  <si>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</si>
  <si>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</si>
  <si>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</si>
  <si>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</si>
  <si>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</si>
  <si>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</si>
  <si>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</si>
  <si>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</si>
  <si>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</si>
  <si>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</si>
  <si>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</si>
  <si>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</si>
  <si>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</si>
  <si>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</si>
  <si>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</si>
  <si>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</si>
  <si>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</si>
  <si>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</si>
  <si>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</si>
  <si>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</si>
  <si>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</si>
  <si>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</si>
  <si>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</si>
  <si>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</si>
  <si>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</si>
  <si>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</si>
  <si>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</si>
  <si>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</si>
  <si>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</si>
  <si>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</si>
  <si>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</si>
  <si>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</si>
  <si>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</si>
  <si>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</si>
  <si>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</si>
  <si>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</si>
  <si>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</si>
  <si>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</si>
  <si>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</si>
  <si>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</si>
  <si>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</si>
  <si>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</si>
  <si>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</si>
  <si>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</si>
  <si>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</si>
  <si>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</si>
  <si>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</si>
  <si>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</si>
  <si>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</si>
  <si>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</si>
  <si>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</si>
  <si>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</si>
  <si>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</si>
  <si>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</si>
  <si>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</si>
  <si>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</si>
  <si>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</si>
  <si>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</si>
  <si>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</si>
  <si>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</si>
  <si>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</si>
  <si>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</si>
  <si>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</si>
  <si>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</si>
  <si>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</si>
  <si>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</si>
  <si>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</si>
  <si>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</si>
  <si>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</si>
  <si>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</si>
  <si>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</si>
  <si>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</si>
  <si>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</si>
  <si>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</si>
  <si>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</si>
  <si>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</si>
  <si>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</si>
  <si>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</si>
  <si>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</si>
  <si>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</si>
  <si>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</si>
  <si>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</si>
  <si>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</si>
  <si>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</si>
  <si>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</si>
  <si>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</si>
  <si>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</si>
  <si>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</si>
  <si>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</si>
  <si>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</si>
  <si>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</si>
  <si>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</si>
  <si>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</si>
  <si>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</si>
  <si>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</si>
  <si>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</si>
  <si>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</si>
  <si>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</si>
  <si>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</si>
  <si>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</si>
  <si>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</si>
  <si>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</si>
  <si>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</si>
  <si>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</si>
  <si>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</si>
  <si>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</si>
  <si>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</si>
  <si>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</si>
  <si>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</si>
  <si>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</si>
  <si>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</si>
  <si>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</si>
  <si>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</si>
  <si>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</si>
  <si>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</si>
  <si>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</si>
  <si>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</si>
  <si>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</si>
  <si>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</si>
  <si>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</si>
  <si>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</si>
  <si>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</si>
  <si>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</si>
  <si>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</si>
  <si>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</si>
  <si>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</si>
  <si>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</si>
  <si>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</si>
  <si>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</si>
  <si>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</si>
  <si>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</si>
  <si>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</si>
  <si>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</si>
  <si>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</si>
  <si>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</si>
  <si>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</si>
  <si>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</si>
  <si>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</si>
  <si>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</si>
  <si>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</si>
  <si>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</si>
  <si>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</si>
  <si>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</si>
  <si>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</si>
  <si>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</si>
  <si>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</si>
  <si>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</si>
  <si>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</si>
  <si>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</si>
  <si>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</si>
  <si>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</si>
  <si>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</si>
  <si>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</si>
  <si>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</si>
  <si>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</si>
  <si>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</si>
  <si>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</si>
  <si>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</si>
  <si>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</si>
  <si>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</si>
  <si>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</si>
  <si>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</si>
  <si>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</si>
  <si>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</si>
  <si>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</si>
  <si>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</si>
  <si>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</si>
  <si>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</si>
  <si>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</si>
  <si>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</si>
  <si>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</si>
  <si>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</si>
  <si>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</si>
  <si>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</si>
  <si>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</si>
  <si>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</si>
  <si>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</si>
  <si>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</si>
  <si>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</si>
  <si>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</si>
  <si>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</si>
  <si>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</si>
  <si>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</si>
  <si>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</si>
  <si>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</si>
  <si>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</si>
  <si>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</si>
  <si>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</si>
  <si>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</si>
  <si>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</si>
  <si>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</si>
  <si>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</si>
  <si>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</si>
  <si>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</si>
  <si>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</si>
  <si>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</si>
  <si>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</si>
  <si>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</si>
  <si>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</si>
  <si>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</si>
  <si>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</si>
  <si>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</si>
  <si>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</si>
  <si>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</si>
  <si>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</si>
  <si>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</si>
  <si>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</si>
  <si>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</si>
  <si>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</si>
  <si>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</si>
  <si>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</si>
  <si>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</si>
  <si>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</si>
  <si>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</si>
  <si>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</si>
  <si>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</si>
  <si>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</si>
  <si>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</si>
  <si>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</si>
  <si>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</si>
  <si>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</si>
  <si>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</si>
  <si>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</si>
  <si>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</si>
  <si>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</si>
  <si>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</si>
  <si>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</si>
  <si>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</si>
  <si>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</si>
  <si>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</si>
  <si>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</si>
  <si>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</si>
  <si>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</si>
  <si>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</si>
  <si>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</si>
  <si>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</si>
  <si>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</si>
  <si>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</si>
  <si>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</si>
  <si>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</si>
  <si>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</si>
  <si>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</si>
  <si>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</si>
  <si>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</si>
  <si>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</si>
  <si>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</si>
  <si>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</si>
  <si>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</si>
  <si>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</si>
  <si>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</si>
  <si>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</si>
  <si>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</si>
  <si>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</si>
  <si>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</si>
  <si>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</si>
  <si>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</si>
  <si>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</si>
  <si>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</si>
  <si>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</si>
  <si>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</si>
  <si>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</si>
  <si>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</si>
  <si>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</si>
  <si>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</si>
  <si>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</si>
  <si>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</si>
  <si>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</si>
  <si>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</si>
  <si>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</si>
  <si>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</si>
  <si>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</si>
  <si>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</si>
  <si>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</si>
  <si>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</si>
  <si>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</si>
  <si>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</si>
  <si>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</si>
  <si>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</si>
  <si>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</si>
  <si>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</si>
  <si>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</si>
  <si>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</si>
  <si>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</si>
  <si>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</si>
  <si>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</si>
  <si>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</si>
  <si>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</si>
  <si>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</si>
  <si>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</si>
  <si>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</si>
  <si>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</si>
  <si>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</si>
  <si>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</si>
  <si>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</si>
  <si>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</si>
  <si>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</si>
  <si>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</si>
  <si>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</si>
  <si>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</si>
  <si>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</si>
  <si>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</si>
  <si>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</si>
  <si>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</si>
  <si>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</si>
  <si>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</si>
  <si>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</si>
  <si>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</si>
  <si>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</si>
  <si>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</si>
  <si>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</si>
  <si>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</si>
  <si>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</si>
  <si>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</si>
  <si>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</si>
  <si>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</si>
  <si>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</si>
  <si>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</si>
  <si>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</si>
  <si>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</si>
  <si>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</si>
  <si>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</si>
  <si>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</si>
  <si>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</si>
  <si>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</si>
  <si>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</si>
  <si>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</si>
  <si>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</si>
  <si>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</si>
  <si>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</si>
  <si>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</si>
  <si>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</si>
  <si>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</si>
  <si>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</si>
  <si>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</si>
  <si>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</si>
  <si>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</si>
  <si>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</si>
  <si>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</si>
  <si>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</si>
  <si>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</si>
  <si>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</si>
  <si>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</si>
  <si>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</si>
  <si>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</si>
  <si>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</si>
  <si>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</si>
  <si>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</si>
  <si>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</si>
  <si>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</si>
  <si>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</si>
  <si>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</si>
  <si>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</si>
  <si>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</si>
  <si>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</si>
  <si>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</si>
  <si>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</si>
  <si>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</si>
  <si>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</si>
  <si>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</si>
  <si>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</si>
  <si>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</si>
  <si>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</si>
  <si>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</si>
  <si>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</si>
  <si>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</si>
  <si>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</si>
  <si>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</si>
  <si>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</si>
  <si>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</si>
  <si>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</si>
  <si>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</si>
  <si>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</si>
  <si>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</si>
  <si>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</si>
  <si>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</si>
  <si>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</si>
  <si>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</si>
  <si>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</si>
  <si>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</si>
  <si>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</si>
  <si>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</si>
  <si>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</si>
  <si>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</si>
  <si>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</si>
  <si>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</si>
  <si>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</si>
  <si>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</si>
  <si>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</si>
  <si>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</si>
  <si>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</si>
  <si>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</si>
  <si>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</si>
  <si>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</si>
  <si>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</si>
  <si>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</si>
  <si>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</si>
  <si>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</si>
  <si>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</si>
  <si>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</si>
  <si>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</si>
  <si>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</si>
  <si>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</si>
  <si>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</si>
  <si>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</si>
  <si>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</si>
  <si>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</si>
  <si>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</si>
  <si>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</si>
  <si>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</si>
  <si>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</si>
  <si>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</si>
  <si>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</si>
  <si>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</si>
  <si>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</si>
  <si>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</si>
  <si>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</si>
  <si>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</si>
  <si>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2016</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</si>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</sst>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43">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8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6" t="s">
        <v>1853</v>
      </c>
      <c r="C2" t="s">
        <v>1853</v>
      </c>
    </row>
    <row r="3" spans="2:3" x14ac:dyDescent="0.2">
      <c r="B3" s="2446" t="s">
        <v>1</v>
      </c>
      <c r="C3" t="s">
        <v>2468</v>
      </c>
    </row>
    <row r="4" spans="2:3" x14ac:dyDescent="0.2">
      <c r="B4" s="2446" t="s">
        <v>2</v>
      </c>
      <c r="C4" t="s">
        <v>2464</v>
      </c>
    </row>
    <row r="5" spans="2:3" x14ac:dyDescent="0.2">
      <c r="B5" s="2446" t="s">
        <v>3</v>
      </c>
      <c r="C5" t="s">
        <v>2464</v>
      </c>
    </row>
    <row r="6" spans="2:3" x14ac:dyDescent="0.2">
      <c r="B6" s="2446" t="s">
        <v>4</v>
      </c>
      <c r="C6" t="s">
        <v>2464</v>
      </c>
    </row>
    <row r="7" spans="2:3" x14ac:dyDescent="0.2">
      <c r="B7" s="2446" t="s">
        <v>5</v>
      </c>
      <c r="C7" t="s">
        <v>2464</v>
      </c>
    </row>
    <row r="8" spans="2:3" x14ac:dyDescent="0.2">
      <c r="B8" s="2446" t="s">
        <v>6</v>
      </c>
      <c r="C8" t="s">
        <v>2465</v>
      </c>
    </row>
    <row r="9" spans="2:3" x14ac:dyDescent="0.2">
      <c r="B9" s="2446" t="s">
        <v>7</v>
      </c>
      <c r="C9" t="s">
        <v>2466</v>
      </c>
    </row>
    <row r="10" spans="2:3" x14ac:dyDescent="0.2">
      <c r="B10" s="2446" t="s">
        <v>8</v>
      </c>
      <c r="C10" t="s">
        <v>2467</v>
      </c>
    </row>
    <row r="11" spans="2:3" x14ac:dyDescent="0.2">
      <c r="B11" s="2446" t="s">
        <v>9</v>
      </c>
      <c r="C11" t="s">
        <v>2469</v>
      </c>
    </row>
    <row r="12" spans="2:3" x14ac:dyDescent="0.2">
      <c r="B12" s="2446" t="s">
        <v>10</v>
      </c>
      <c r="C12" t="s">
        <v>2470</v>
      </c>
    </row>
    <row r="13" spans="2:3" x14ac:dyDescent="0.2">
      <c r="B13" s="2446" t="s">
        <v>11</v>
      </c>
      <c r="C13" t="s">
        <v>2471</v>
      </c>
    </row>
    <row r="14" spans="2:3" x14ac:dyDescent="0.2">
      <c r="B14" s="2446" t="s">
        <v>12</v>
      </c>
      <c r="C14" t="s">
        <v>416</v>
      </c>
    </row>
    <row r="15" spans="2:3" x14ac:dyDescent="0.2">
      <c r="B15" s="2446" t="s">
        <v>13</v>
      </c>
      <c r="C15" t="s">
        <v>2472</v>
      </c>
    </row>
    <row r="16" spans="2:3" x14ac:dyDescent="0.2">
      <c r="B16" s="2446" t="s">
        <v>15</v>
      </c>
      <c r="C16" t="s">
        <v>2473</v>
      </c>
    </row>
    <row r="17" spans="2:3" x14ac:dyDescent="0.2">
      <c r="B17" s="2446" t="s">
        <v>14</v>
      </c>
      <c r="C17" t="s">
        <v>2474</v>
      </c>
    </row>
    <row r="18" spans="2:3" x14ac:dyDescent="0.2">
      <c r="B18" s="2446" t="s">
        <v>16</v>
      </c>
      <c r="C18" t="s">
        <v>2475</v>
      </c>
    </row>
    <row r="19" spans="2:3" x14ac:dyDescent="0.2">
      <c r="B19" s="2446" t="s">
        <v>17</v>
      </c>
      <c r="C19" t="s">
        <v>2476</v>
      </c>
    </row>
    <row r="20" spans="2:3" x14ac:dyDescent="0.2">
      <c r="B20" s="2446" t="s">
        <v>18</v>
      </c>
      <c r="C20" t="s">
        <v>2477</v>
      </c>
    </row>
    <row r="21" spans="2:3" x14ac:dyDescent="0.2">
      <c r="B21" s="2446" t="s">
        <v>19</v>
      </c>
      <c r="C21" t="s">
        <v>2478</v>
      </c>
    </row>
    <row r="22" spans="2:3" x14ac:dyDescent="0.2">
      <c r="B22" s="2446" t="s">
        <v>20</v>
      </c>
      <c r="C22" t="s">
        <v>2479</v>
      </c>
    </row>
    <row r="23" spans="2:3" x14ac:dyDescent="0.2">
      <c r="B23" s="2446" t="s">
        <v>21</v>
      </c>
      <c r="C23" t="s">
        <v>2480</v>
      </c>
    </row>
    <row r="24" spans="2:3" x14ac:dyDescent="0.2">
      <c r="B24" s="2446" t="s">
        <v>22</v>
      </c>
      <c r="C24" t="s">
        <v>2482</v>
      </c>
    </row>
    <row r="25" spans="2:3" x14ac:dyDescent="0.2">
      <c r="B25" s="2446" t="s">
        <v>23</v>
      </c>
      <c r="C25" t="s">
        <v>2483</v>
      </c>
    </row>
    <row r="26" spans="2:3" x14ac:dyDescent="0.2">
      <c r="B26" s="2446" t="s">
        <v>24</v>
      </c>
      <c r="C26" t="s">
        <v>2484</v>
      </c>
    </row>
    <row r="27" spans="2:3" x14ac:dyDescent="0.2">
      <c r="B27" s="2446" t="s">
        <v>25</v>
      </c>
      <c r="C27" t="s">
        <v>2485</v>
      </c>
    </row>
    <row r="28" spans="2:3" x14ac:dyDescent="0.2">
      <c r="B28" s="2446" t="s">
        <v>1936</v>
      </c>
      <c r="C28" t="s">
        <v>2486</v>
      </c>
    </row>
    <row r="29" spans="2:3" x14ac:dyDescent="0.2">
      <c r="B29" s="2446" t="s">
        <v>26</v>
      </c>
      <c r="C29" t="s">
        <v>2487</v>
      </c>
    </row>
    <row r="30" spans="2:3" x14ac:dyDescent="0.2">
      <c r="B30" s="2446" t="s">
        <v>27</v>
      </c>
      <c r="C30" t="s">
        <v>2488</v>
      </c>
    </row>
    <row r="31" spans="2:3" x14ac:dyDescent="0.2">
      <c r="B31" s="2446" t="s">
        <v>28</v>
      </c>
      <c r="C31" t="s">
        <v>2489</v>
      </c>
    </row>
    <row r="32" spans="2:3" x14ac:dyDescent="0.2">
      <c r="B32" s="2446" t="s">
        <v>29</v>
      </c>
      <c r="C32" t="s">
        <v>2490</v>
      </c>
    </row>
    <row r="33" spans="2:3" x14ac:dyDescent="0.2">
      <c r="B33" s="2446" t="s">
        <v>30</v>
      </c>
      <c r="C33" t="s">
        <v>2491</v>
      </c>
    </row>
    <row r="34" spans="2:3" x14ac:dyDescent="0.2">
      <c r="B34" s="2446" t="s">
        <v>31</v>
      </c>
      <c r="C34" t="s">
        <v>2492</v>
      </c>
    </row>
    <row r="35" spans="2:3" x14ac:dyDescent="0.2">
      <c r="B35" s="2446" t="s">
        <v>32</v>
      </c>
      <c r="C35" t="s">
        <v>2493</v>
      </c>
    </row>
    <row r="36" spans="2:3" x14ac:dyDescent="0.2">
      <c r="B36" s="2446" t="s">
        <v>33</v>
      </c>
      <c r="C36" t="s">
        <v>2494</v>
      </c>
    </row>
    <row r="37" spans="2:3" x14ac:dyDescent="0.2">
      <c r="B37" s="2446" t="s">
        <v>34</v>
      </c>
      <c r="C37" t="s">
        <v>2495</v>
      </c>
    </row>
    <row r="38" spans="2:3" x14ac:dyDescent="0.2">
      <c r="B38" s="2446" t="s">
        <v>35</v>
      </c>
      <c r="C38" t="s">
        <v>2496</v>
      </c>
    </row>
    <row r="39" spans="2:3" x14ac:dyDescent="0.2">
      <c r="B39" s="2446" t="s">
        <v>36</v>
      </c>
      <c r="C39" t="s">
        <v>2497</v>
      </c>
    </row>
    <row r="40" spans="2:3" x14ac:dyDescent="0.2">
      <c r="B40" s="2446" t="s">
        <v>37</v>
      </c>
      <c r="C40" t="s">
        <v>2498</v>
      </c>
    </row>
    <row r="41" spans="2:3" x14ac:dyDescent="0.2">
      <c r="B41" s="2446" t="s">
        <v>38</v>
      </c>
      <c r="C41" t="s">
        <v>2499</v>
      </c>
    </row>
    <row r="42" spans="2:3" x14ac:dyDescent="0.2">
      <c r="B42" s="2446" t="s">
        <v>39</v>
      </c>
      <c r="C42" t="s">
        <v>2500</v>
      </c>
    </row>
    <row r="43" spans="2:3" x14ac:dyDescent="0.2">
      <c r="B43" s="2446" t="s">
        <v>40</v>
      </c>
      <c r="C43" t="s">
        <v>2502</v>
      </c>
    </row>
    <row r="44" spans="2:3" x14ac:dyDescent="0.2">
      <c r="B44" s="2446" t="s">
        <v>41</v>
      </c>
      <c r="C44" t="s">
        <v>2501</v>
      </c>
    </row>
    <row r="45" spans="2:3" x14ac:dyDescent="0.2">
      <c r="B45" s="2446" t="s">
        <v>42</v>
      </c>
      <c r="C45" t="s">
        <v>2503</v>
      </c>
    </row>
    <row r="46" spans="2:3" x14ac:dyDescent="0.2">
      <c r="B46" s="2446" t="s">
        <v>43</v>
      </c>
      <c r="C46" t="s">
        <v>2504</v>
      </c>
    </row>
    <row r="47" spans="2:3" x14ac:dyDescent="0.2">
      <c r="B47" s="2446" t="s">
        <v>44</v>
      </c>
      <c r="C47" t="s">
        <v>2505</v>
      </c>
    </row>
    <row r="48" spans="2:3" x14ac:dyDescent="0.2">
      <c r="B48" s="2446" t="s">
        <v>45</v>
      </c>
      <c r="C48" t="s">
        <v>2506</v>
      </c>
    </row>
    <row r="49" spans="2:3" x14ac:dyDescent="0.2">
      <c r="B49" s="2446" t="s">
        <v>46</v>
      </c>
      <c r="C49" t="s">
        <v>2507</v>
      </c>
    </row>
    <row r="50" spans="2:3" x14ac:dyDescent="0.2">
      <c r="B50" s="2446" t="s">
        <v>47</v>
      </c>
      <c r="C50" t="s">
        <v>2508</v>
      </c>
    </row>
    <row r="51" spans="2:3" x14ac:dyDescent="0.2">
      <c r="B51" s="2446" t="s">
        <v>48</v>
      </c>
      <c r="C51" t="s">
        <v>2510</v>
      </c>
    </row>
    <row r="52" spans="2:3" x14ac:dyDescent="0.2">
      <c r="B52" s="2446" t="s">
        <v>49</v>
      </c>
      <c r="C52" t="s">
        <v>2509</v>
      </c>
    </row>
    <row r="53" spans="2:3" x14ac:dyDescent="0.2">
      <c r="B53" s="2446" t="s">
        <v>50</v>
      </c>
      <c r="C53" t="s">
        <v>2511</v>
      </c>
    </row>
    <row r="54" spans="2:3" x14ac:dyDescent="0.2">
      <c r="B54" s="2446" t="s">
        <v>51</v>
      </c>
      <c r="C54" t="s">
        <v>2512</v>
      </c>
    </row>
    <row r="55" spans="2:3" x14ac:dyDescent="0.2">
      <c r="B55" s="2446" t="s">
        <v>52</v>
      </c>
      <c r="C55" t="s">
        <v>2513</v>
      </c>
    </row>
    <row r="56" spans="2:3" x14ac:dyDescent="0.2">
      <c r="B56" s="2446" t="s">
        <v>53</v>
      </c>
      <c r="C56" t="s">
        <v>2514</v>
      </c>
    </row>
    <row r="57" spans="2:3" x14ac:dyDescent="0.2">
      <c r="B57" s="2446" t="s">
        <v>54</v>
      </c>
      <c r="C57" t="s">
        <v>2515</v>
      </c>
    </row>
    <row r="58" spans="2:3" x14ac:dyDescent="0.2">
      <c r="B58" s="2446" t="s">
        <v>55</v>
      </c>
      <c r="C58" t="s">
        <v>2516</v>
      </c>
    </row>
    <row r="59" spans="2:3" x14ac:dyDescent="0.2">
      <c r="B59" s="2446" t="s">
        <v>56</v>
      </c>
      <c r="C59" t="s">
        <v>2517</v>
      </c>
    </row>
    <row r="60" spans="2:3" x14ac:dyDescent="0.2">
      <c r="B60" s="2446" t="s">
        <v>57</v>
      </c>
      <c r="C60" t="s">
        <v>2518</v>
      </c>
    </row>
    <row r="61" spans="2:3" x14ac:dyDescent="0.2">
      <c r="B61" s="2446" t="s">
        <v>58</v>
      </c>
      <c r="C61" t="s">
        <v>2519</v>
      </c>
    </row>
    <row r="62" spans="2:3" x14ac:dyDescent="0.2">
      <c r="B62" s="2446" t="s">
        <v>59</v>
      </c>
      <c r="C62" t="s">
        <v>2520</v>
      </c>
    </row>
    <row r="63" spans="2:3" x14ac:dyDescent="0.2">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6"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5"/>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6" t="s">
        <v>200</v>
      </c>
      <c r="E10" s="2357"/>
      <c r="F10" s="2358"/>
      <c r="G10" s="2358"/>
      <c r="H10" s="2358"/>
      <c r="I10" s="2358"/>
      <c r="J10" s="2359"/>
      <c r="M10" s="125"/>
    </row>
    <row r="11" spans="2:13" ht="18" customHeight="1" x14ac:dyDescent="0.2">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
      <c r="B14" s="1434"/>
      <c r="C14" s="1562" t="s">
        <v>317</v>
      </c>
      <c r="D14" s="2360" t="s">
        <v>200</v>
      </c>
      <c r="E14" s="2349"/>
      <c r="F14" s="3420"/>
      <c r="G14" s="2336"/>
      <c r="H14" s="3370"/>
      <c r="I14" s="2336"/>
      <c r="J14" s="2584"/>
      <c r="M14" s="125"/>
    </row>
    <row r="15" spans="2:13" ht="18" customHeight="1" x14ac:dyDescent="0.2">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
      <c r="B22" s="165"/>
      <c r="C22" s="1563"/>
      <c r="D22" s="1452" t="s">
        <v>1787</v>
      </c>
      <c r="E22" s="3414">
        <v>19019.286</v>
      </c>
      <c r="F22" s="3419" t="str">
        <f t="shared" si="0"/>
        <v>NA</v>
      </c>
      <c r="G22" s="3395">
        <v>293.069907</v>
      </c>
      <c r="H22" s="3374">
        <f t="shared" si="1"/>
        <v>1074.589659</v>
      </c>
      <c r="I22" s="2579" t="s">
        <v>2147</v>
      </c>
      <c r="J22" s="2580"/>
      <c r="M22" s="125"/>
    </row>
    <row r="23" spans="2:13" ht="18" customHeight="1" x14ac:dyDescent="0.2">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
      <c r="B24" s="165"/>
      <c r="C24" s="1563"/>
      <c r="D24" s="1452" t="s">
        <v>251</v>
      </c>
      <c r="E24" s="3414">
        <v>31492</v>
      </c>
      <c r="F24" s="3419" t="str">
        <f t="shared" si="0"/>
        <v>NA</v>
      </c>
      <c r="G24" s="3395">
        <v>693.11029090909096</v>
      </c>
      <c r="H24" s="3374">
        <f t="shared" si="1"/>
        <v>2541.4043999999999</v>
      </c>
      <c r="I24" s="2579" t="s">
        <v>2147</v>
      </c>
      <c r="J24" s="2580"/>
      <c r="M24" s="125"/>
    </row>
    <row r="25" spans="2:13" ht="18" customHeight="1" x14ac:dyDescent="0.2">
      <c r="B25" s="165"/>
      <c r="C25" s="1563"/>
      <c r="D25" s="1452" t="s">
        <v>1789</v>
      </c>
      <c r="E25" s="3414">
        <v>12438</v>
      </c>
      <c r="F25" s="3419" t="str">
        <f t="shared" si="0"/>
        <v>NA</v>
      </c>
      <c r="G25" s="3395">
        <v>236.21458090909101</v>
      </c>
      <c r="H25" s="3374">
        <f t="shared" si="1"/>
        <v>866.12013000000036</v>
      </c>
      <c r="I25" s="2579" t="s">
        <v>2147</v>
      </c>
      <c r="J25" s="2580"/>
      <c r="M25" s="125"/>
    </row>
    <row r="26" spans="2:13" ht="18" customHeight="1" x14ac:dyDescent="0.2">
      <c r="B26" s="165"/>
      <c r="C26" s="1563"/>
      <c r="D26" s="1452" t="s">
        <v>1790</v>
      </c>
      <c r="E26" s="3418">
        <v>21760.923846599999</v>
      </c>
      <c r="F26" s="3419">
        <f t="shared" si="0"/>
        <v>25.261363636363704</v>
      </c>
      <c r="G26" s="3395">
        <v>549.71061035217997</v>
      </c>
      <c r="H26" s="3374">
        <f t="shared" si="1"/>
        <v>2015.6055712913267</v>
      </c>
      <c r="I26" s="3395">
        <v>2015.6055712913301</v>
      </c>
      <c r="J26" s="3416" t="s">
        <v>2274</v>
      </c>
      <c r="M26" s="125"/>
    </row>
    <row r="27" spans="2:13" ht="18" customHeight="1" x14ac:dyDescent="0.2">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
      <c r="B28" s="165"/>
      <c r="C28" s="1564"/>
      <c r="D28" s="40" t="s">
        <v>1791</v>
      </c>
      <c r="E28" s="3417">
        <v>41726.509034389797</v>
      </c>
      <c r="F28" s="3419">
        <f>IF(I28="NA","NA",I28/(44/12)*1000/E28)</f>
        <v>0.2910749662210918</v>
      </c>
      <c r="G28" s="3395">
        <v>776.25110584407298</v>
      </c>
      <c r="H28" s="3374">
        <f>IF(G28="NA","NA",IF(G28="NO","NO",G28*44/12))</f>
        <v>2846.2540547616009</v>
      </c>
      <c r="I28" s="3395">
        <v>44.533654761599998</v>
      </c>
      <c r="J28" s="3416" t="s">
        <v>2151</v>
      </c>
      <c r="M28" s="125"/>
    </row>
    <row r="29" spans="2:13" ht="18" customHeight="1" x14ac:dyDescent="0.2">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25">
      <c r="B31" s="1251" t="s">
        <v>257</v>
      </c>
      <c r="C31" s="2343"/>
      <c r="D31" s="80"/>
      <c r="E31" s="3423">
        <f>SUM(E11:E29)</f>
        <v>126436.71888098979</v>
      </c>
      <c r="F31" s="3359">
        <f t="shared" ref="F31" si="3">IF(I31="NA","NA",I31/(44/12)*1000/E31)</f>
        <v>4.4437735930868669</v>
      </c>
      <c r="G31" s="3423">
        <f>SUM(G11:G29)</f>
        <v>2548.3564950144346</v>
      </c>
      <c r="H31" s="3371">
        <f t="shared" ref="H31" si="4">IF(G31="NA","NA",IF(G31="NO","NO",G31*44/12))</f>
        <v>9343.9738150529265</v>
      </c>
      <c r="I31" s="3423">
        <f>SUM(I11:I29)</f>
        <v>2060.1392260529301</v>
      </c>
      <c r="J31" s="2365"/>
      <c r="M31" s="125"/>
    </row>
    <row r="32" spans="2:13" ht="18" customHeight="1" x14ac:dyDescent="0.2">
      <c r="B32" s="1434" t="s">
        <v>318</v>
      </c>
      <c r="C32" s="1563" t="s">
        <v>239</v>
      </c>
      <c r="D32" s="2356" t="s">
        <v>200</v>
      </c>
      <c r="E32" s="2346"/>
      <c r="F32" s="3365"/>
      <c r="G32" s="2347"/>
      <c r="H32" s="3372"/>
      <c r="I32" s="2347"/>
      <c r="J32" s="2585"/>
      <c r="M32" s="125"/>
    </row>
    <row r="33" spans="2:13" ht="18" customHeight="1" x14ac:dyDescent="0.2">
      <c r="B33" s="1434" t="s">
        <v>240</v>
      </c>
      <c r="C33" s="1563" t="s">
        <v>241</v>
      </c>
      <c r="D33" s="1454" t="s">
        <v>319</v>
      </c>
      <c r="E33" s="2362" t="s">
        <v>2153</v>
      </c>
      <c r="F33" s="3419" t="s">
        <v>2147</v>
      </c>
      <c r="G33" s="2363" t="s">
        <v>2153</v>
      </c>
      <c r="H33" s="3374" t="s">
        <v>2147</v>
      </c>
      <c r="I33" s="2363" t="s">
        <v>2153</v>
      </c>
      <c r="J33" s="2586"/>
      <c r="M33" s="125"/>
    </row>
    <row r="34" spans="2:13" ht="18" customHeight="1" x14ac:dyDescent="0.2">
      <c r="B34" s="1434"/>
      <c r="C34" s="1563"/>
      <c r="D34" s="1452" t="s">
        <v>260</v>
      </c>
      <c r="E34" s="1450" t="s">
        <v>2153</v>
      </c>
      <c r="F34" s="3419" t="s">
        <v>2147</v>
      </c>
      <c r="G34" s="3399">
        <v>20.697632397015099</v>
      </c>
      <c r="H34" s="3396">
        <f t="shared" ref="H34:H42" si="5">IF(G34="NA","NA",IF(G34="NO","NO",G34*44/12))</f>
        <v>75.891318789055362</v>
      </c>
      <c r="I34" s="2363" t="s">
        <v>2153</v>
      </c>
      <c r="J34" s="2580"/>
      <c r="M34" s="125"/>
    </row>
    <row r="35" spans="2:13" ht="18" customHeight="1" x14ac:dyDescent="0.2">
      <c r="B35" s="1434"/>
      <c r="C35" s="1563"/>
      <c r="D35" s="1452" t="s">
        <v>261</v>
      </c>
      <c r="E35" s="3414">
        <v>17396.695512528699</v>
      </c>
      <c r="F35" s="3419">
        <f>IF(I35="NA","NA",I35/(44/12)*1000/E35)</f>
        <v>27.143224219282637</v>
      </c>
      <c r="G35" s="3399">
        <v>472.20240697115401</v>
      </c>
      <c r="H35" s="3396">
        <f t="shared" si="5"/>
        <v>1731.4088255608979</v>
      </c>
      <c r="I35" s="3395">
        <v>1731.4088255608999</v>
      </c>
      <c r="J35" s="3416" t="s">
        <v>2274</v>
      </c>
      <c r="M35" s="125"/>
    </row>
    <row r="36" spans="2:13" ht="18" customHeight="1" x14ac:dyDescent="0.2">
      <c r="B36" s="1434"/>
      <c r="C36" s="1563"/>
      <c r="D36" s="1452" t="s">
        <v>320</v>
      </c>
      <c r="E36" s="1450" t="s">
        <v>2153</v>
      </c>
      <c r="F36" s="3419" t="s">
        <v>2147</v>
      </c>
      <c r="G36" s="131" t="s">
        <v>2153</v>
      </c>
      <c r="H36" s="3374" t="s">
        <v>2147</v>
      </c>
      <c r="I36" s="2363" t="s">
        <v>2153</v>
      </c>
      <c r="J36" s="2580"/>
      <c r="M36" s="125"/>
    </row>
    <row r="37" spans="2:13" ht="18" customHeight="1" x14ac:dyDescent="0.2">
      <c r="B37" s="1434"/>
      <c r="C37" s="1563"/>
      <c r="D37" s="1452" t="s">
        <v>263</v>
      </c>
      <c r="E37" s="1451" t="s">
        <v>2146</v>
      </c>
      <c r="F37" s="3419" t="str">
        <f t="shared" ref="F37" si="6">IF(I37="NA","NA",I37/(44/12)*1000/E37)</f>
        <v>NA</v>
      </c>
      <c r="G37" s="133" t="s">
        <v>2146</v>
      </c>
      <c r="H37" s="3374" t="str">
        <f t="shared" si="5"/>
        <v>NO</v>
      </c>
      <c r="I37" s="2579" t="s">
        <v>2147</v>
      </c>
      <c r="J37" s="2580"/>
      <c r="M37" s="125"/>
    </row>
    <row r="38" spans="2:13" ht="18" customHeight="1" thickBot="1" x14ac:dyDescent="0.25">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
      <c r="B39" s="1434"/>
      <c r="C39" s="1562" t="s">
        <v>317</v>
      </c>
      <c r="D39" s="2338" t="s">
        <v>200</v>
      </c>
      <c r="E39" s="2346"/>
      <c r="F39" s="3421"/>
      <c r="G39" s="2347"/>
      <c r="H39" s="3372"/>
      <c r="I39" s="2347"/>
      <c r="J39" s="2585"/>
      <c r="M39" s="125"/>
    </row>
    <row r="40" spans="2:13" ht="18" customHeight="1" x14ac:dyDescent="0.2">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
      <c r="B41" s="1434"/>
      <c r="C41" s="1563"/>
      <c r="D41" s="1452" t="s">
        <v>266</v>
      </c>
      <c r="E41" s="3414">
        <v>61431.481177200003</v>
      </c>
      <c r="F41" s="3419">
        <f t="shared" ref="F41" si="8">IF(I41="NA","NA",I41/(44/12)*1000/E41)</f>
        <v>29.506996306092788</v>
      </c>
      <c r="G41" s="3395">
        <v>1812.65848817345</v>
      </c>
      <c r="H41" s="3396">
        <f t="shared" si="5"/>
        <v>6646.4144566359828</v>
      </c>
      <c r="I41" s="3395">
        <v>6646.4144566359801</v>
      </c>
      <c r="J41" s="3416" t="s">
        <v>2274</v>
      </c>
      <c r="M41" s="125"/>
    </row>
    <row r="42" spans="2:13" ht="18" customHeight="1" x14ac:dyDescent="0.2">
      <c r="B42" s="1434"/>
      <c r="C42" s="1564"/>
      <c r="D42" s="1452" t="s">
        <v>1792</v>
      </c>
      <c r="E42" s="3414">
        <v>9987.9666249999991</v>
      </c>
      <c r="F42" s="3419">
        <f>IF(I42="NA","NA",I42/(44/12)*1000/E42)</f>
        <v>7.0348040560257701</v>
      </c>
      <c r="G42" s="3395">
        <v>200.44215216136399</v>
      </c>
      <c r="H42" s="3396">
        <f t="shared" si="5"/>
        <v>734.95455792500127</v>
      </c>
      <c r="I42" s="3395">
        <v>257.632423125</v>
      </c>
      <c r="J42" s="3416" t="s">
        <v>2151</v>
      </c>
      <c r="M42" s="125"/>
    </row>
    <row r="43" spans="2:13" ht="18" customHeight="1" x14ac:dyDescent="0.2">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25">
      <c r="B45" s="1251" t="s">
        <v>269</v>
      </c>
      <c r="C45" s="2343"/>
      <c r="D45" s="80"/>
      <c r="E45" s="3423">
        <f>SUM(E33:E43)</f>
        <v>88816.143314728703</v>
      </c>
      <c r="F45" s="3343">
        <f>IF(I45="NA","NA",I45/(44/12)*1000/E45)</f>
        <v>26.516849250298897</v>
      </c>
      <c r="G45" s="3423">
        <f>SUM(G33:G43)</f>
        <v>2506.0006797029832</v>
      </c>
      <c r="H45" s="3371">
        <f t="shared" ref="H45" si="9">IF(G45="NA","NA",IF(G45="NO","NO",G45*44/12))</f>
        <v>9188.6691589109378</v>
      </c>
      <c r="I45" s="3423">
        <f>SUM(I33:I43)</f>
        <v>8635.4557053218796</v>
      </c>
      <c r="J45" s="2365"/>
      <c r="M45" s="125"/>
    </row>
    <row r="46" spans="2:13" ht="18" customHeight="1" x14ac:dyDescent="0.2">
      <c r="B46" s="1024" t="s">
        <v>322</v>
      </c>
      <c r="C46" s="95"/>
      <c r="D46" s="2338" t="s">
        <v>200</v>
      </c>
      <c r="E46" s="2346"/>
      <c r="F46" s="3421"/>
      <c r="G46" s="2347"/>
      <c r="H46" s="3372"/>
      <c r="I46" s="2347"/>
      <c r="J46" s="2585"/>
      <c r="M46" s="125"/>
    </row>
    <row r="47" spans="2:13" ht="18" customHeight="1" x14ac:dyDescent="0.2">
      <c r="B47" s="1025"/>
      <c r="C47" s="2240"/>
      <c r="D47" s="40" t="s">
        <v>1793</v>
      </c>
      <c r="E47" s="3414">
        <v>54869.371330000002</v>
      </c>
      <c r="F47" s="3419">
        <f t="shared" ref="F47" si="10">IF(I47="NA","NA",I47/(44/12)*1000/E47)</f>
        <v>13.968291848448715</v>
      </c>
      <c r="G47" s="3395">
        <v>766.43139227834502</v>
      </c>
      <c r="H47" s="3374">
        <f t="shared" ref="H47" si="11">IF(G47="NA","NA",IF(G47="NO","NO",G47*44/12))</f>
        <v>2810.2484383539318</v>
      </c>
      <c r="I47" s="3395">
        <v>2810.2484383539299</v>
      </c>
      <c r="J47" s="3416" t="s">
        <v>2152</v>
      </c>
      <c r="M47" s="125"/>
    </row>
    <row r="48" spans="2:13" ht="18" customHeight="1" x14ac:dyDescent="0.2">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25">
      <c r="B50" s="68" t="s">
        <v>273</v>
      </c>
      <c r="C50" s="79"/>
      <c r="D50" s="80"/>
      <c r="E50" s="3423">
        <f>SUM(E47:E48)</f>
        <v>54869.371330000002</v>
      </c>
      <c r="F50" s="3343">
        <f>IF(I50="NA","NA",I50/(44/12)*1000/E50)</f>
        <v>13.968291848448715</v>
      </c>
      <c r="G50" s="3423">
        <f>SUM(G47:G48)</f>
        <v>766.43139227834502</v>
      </c>
      <c r="H50" s="3397">
        <f t="shared" ref="H50" si="13">IF(G50="NA","NA",IF(G50="NO","NO",G50*44/12))</f>
        <v>2810.2484383539318</v>
      </c>
      <c r="I50" s="3423">
        <f>SUM(I47:I48)</f>
        <v>2810.2484383539299</v>
      </c>
      <c r="J50" s="2365"/>
      <c r="M50" s="125"/>
    </row>
    <row r="51" spans="2:13" ht="18" customHeight="1" x14ac:dyDescent="0.2">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25">
      <c r="B54" s="2369" t="s">
        <v>277</v>
      </c>
      <c r="C54" s="2240"/>
      <c r="D54" s="96"/>
      <c r="E54" s="112" t="s">
        <v>2147</v>
      </c>
      <c r="F54" s="3343" t="s">
        <v>2147</v>
      </c>
      <c r="G54" s="112" t="s">
        <v>2147</v>
      </c>
      <c r="H54" s="3371" t="str">
        <f t="shared" si="15"/>
        <v>NA</v>
      </c>
      <c r="I54" s="112" t="s">
        <v>2147</v>
      </c>
      <c r="J54" s="1028"/>
      <c r="M54" s="125"/>
    </row>
    <row r="55" spans="2:13" ht="18" customHeight="1" thickBot="1" x14ac:dyDescent="0.25">
      <c r="B55" s="2375" t="s">
        <v>278</v>
      </c>
      <c r="C55" s="2378"/>
      <c r="D55" s="2376"/>
      <c r="E55" s="3423">
        <f>SUM(E31,E45,E50,E54)</f>
        <v>270122.2335257185</v>
      </c>
      <c r="F55" s="3354">
        <f t="shared" si="14"/>
        <v>13.636092742277501</v>
      </c>
      <c r="G55" s="3423">
        <f>SUM(G31,G45,G50,G54)</f>
        <v>5820.7885669957623</v>
      </c>
      <c r="H55" s="3398">
        <f t="shared" si="15"/>
        <v>21342.891412317793</v>
      </c>
      <c r="I55" s="3423">
        <f>SUM(I31,I45,I50,I54)</f>
        <v>13505.84336972874</v>
      </c>
      <c r="J55" s="2377"/>
      <c r="M55" s="125"/>
    </row>
    <row r="56" spans="2:13" ht="18" customHeight="1" x14ac:dyDescent="0.2">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25">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6"/>
      <c r="D80" s="2366"/>
      <c r="E80" s="2366"/>
      <c r="F80" s="2366"/>
      <c r="G80" s="2366"/>
      <c r="H80" s="2366"/>
      <c r="I80" s="2366"/>
      <c r="J80" s="2367"/>
    </row>
    <row r="81" spans="2:10" ht="12" customHeight="1" x14ac:dyDescent="0.2">
      <c r="B81" s="1248"/>
      <c r="C81" s="2366"/>
      <c r="D81" s="2366"/>
      <c r="E81" s="2366"/>
      <c r="F81" s="2366"/>
      <c r="G81" s="2366"/>
      <c r="H81" s="2366"/>
      <c r="I81" s="2366"/>
      <c r="J81" s="2367"/>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6" t="s">
        <v>64</v>
      </c>
    </row>
    <row r="7" spans="2:12" ht="12" customHeight="1" x14ac:dyDescent="0.2">
      <c r="B7" s="45" t="s">
        <v>326</v>
      </c>
      <c r="C7" s="2155"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9"/>
      <c r="C9" s="1773" t="s">
        <v>331</v>
      </c>
      <c r="D9" s="1748" t="s">
        <v>332</v>
      </c>
      <c r="E9" s="1772"/>
      <c r="F9" s="1748" t="s">
        <v>73</v>
      </c>
      <c r="G9" s="344"/>
      <c r="H9" s="1748" t="s">
        <v>73</v>
      </c>
      <c r="I9" s="345"/>
    </row>
    <row r="10" spans="2:12" ht="18" customHeight="1" thickTop="1" x14ac:dyDescent="0.2">
      <c r="B10" s="2180" t="s">
        <v>333</v>
      </c>
      <c r="C10" s="3078">
        <f>SUM(C11,C18)</f>
        <v>628.88042274544296</v>
      </c>
      <c r="D10" s="3127"/>
      <c r="E10" s="3127"/>
      <c r="F10" s="3078">
        <f>SUM(F11,F18)</f>
        <v>1343.4225984132704</v>
      </c>
      <c r="G10" s="3078">
        <f>SUM(G11,G18)</f>
        <v>2063.8682509928403</v>
      </c>
      <c r="H10" s="3078">
        <f>H11</f>
        <v>-254.035324</v>
      </c>
      <c r="I10" s="3128" t="s">
        <v>2146</v>
      </c>
      <c r="L10" s="3750"/>
    </row>
    <row r="11" spans="2:12" ht="18" customHeight="1" x14ac:dyDescent="0.2">
      <c r="B11" s="1252" t="s">
        <v>334</v>
      </c>
      <c r="C11" s="3033">
        <v>120.49642</v>
      </c>
      <c r="D11" s="3078">
        <f>IFERROR(SUM(F11,H11)/$C$11,"NA")</f>
        <v>6.3983875948005133</v>
      </c>
      <c r="E11" s="3078">
        <f>IFERROR(SUM(G11,I11)/$C$11,"NA")</f>
        <v>16.126702604828051</v>
      </c>
      <c r="F11" s="3078">
        <f>SUM(F12:F16)</f>
        <v>1025.0181229458724</v>
      </c>
      <c r="G11" s="3078">
        <f>SUM(G12:G16)</f>
        <v>1943.2099302864549</v>
      </c>
      <c r="H11" s="3078">
        <f>H12</f>
        <v>-254.035324</v>
      </c>
      <c r="I11" s="3128" t="s">
        <v>2146</v>
      </c>
    </row>
    <row r="12" spans="2:12" ht="18" customHeight="1" x14ac:dyDescent="0.2">
      <c r="B12" s="160" t="s">
        <v>335</v>
      </c>
      <c r="C12" s="3046"/>
      <c r="D12" s="3078">
        <f t="shared" ref="D12:D14" si="0">IFERROR(SUM(F12,H12)/$C$11,"NA")</f>
        <v>5.7988450429333209</v>
      </c>
      <c r="E12" s="3078">
        <f>IFERROR(SUM(G12,I12)/$C$11,"NA")</f>
        <v>10.403968848203126</v>
      </c>
      <c r="F12" s="3126">
        <v>952.77539180821145</v>
      </c>
      <c r="G12" s="3126">
        <v>1253.6410000000001</v>
      </c>
      <c r="H12" s="3126">
        <v>-254.035324</v>
      </c>
      <c r="I12" s="3034" t="s">
        <v>2146</v>
      </c>
    </row>
    <row r="13" spans="2:12" ht="18" customHeight="1" x14ac:dyDescent="0.2">
      <c r="B13" s="160" t="s">
        <v>336</v>
      </c>
      <c r="C13" s="3046"/>
      <c r="D13" s="3078">
        <f t="shared" si="0"/>
        <v>0.37778801701808656</v>
      </c>
      <c r="E13" s="3078" t="s">
        <v>2147</v>
      </c>
      <c r="F13" s="3126">
        <v>45.522103569578505</v>
      </c>
      <c r="G13" s="3126" t="s">
        <v>2154</v>
      </c>
      <c r="H13" s="3126" t="s">
        <v>2146</v>
      </c>
      <c r="I13" s="3034" t="s">
        <v>2146</v>
      </c>
    </row>
    <row r="14" spans="2:12" ht="18" customHeight="1" x14ac:dyDescent="0.2">
      <c r="B14" s="160" t="s">
        <v>337</v>
      </c>
      <c r="C14" s="3046"/>
      <c r="D14" s="3078">
        <f t="shared" si="0"/>
        <v>0.20276963185575478</v>
      </c>
      <c r="E14" s="3078" t="s">
        <v>2147</v>
      </c>
      <c r="F14" s="3126">
        <v>24.433014723336406</v>
      </c>
      <c r="G14" s="3126" t="s">
        <v>2147</v>
      </c>
      <c r="H14" s="3126" t="s">
        <v>2146</v>
      </c>
      <c r="I14" s="3034" t="s">
        <v>2146</v>
      </c>
    </row>
    <row r="15" spans="2:12" ht="18" customHeight="1" x14ac:dyDescent="0.2">
      <c r="B15" s="160" t="s">
        <v>338</v>
      </c>
      <c r="C15" s="3033">
        <v>0.25403532400000001</v>
      </c>
      <c r="D15" s="3078">
        <f>IFERROR(SUM(F15,H15)/$C15,"NA")</f>
        <v>9.0050974357645188</v>
      </c>
      <c r="E15" s="3078">
        <f>IFERROR(SUM(G15,I15)/$C15,"NA")</f>
        <v>2714.4608057990181</v>
      </c>
      <c r="F15" s="3126">
        <v>2.2876128447460089</v>
      </c>
      <c r="G15" s="3126">
        <v>689.5689302864547</v>
      </c>
      <c r="H15" s="3129"/>
      <c r="I15" s="3130"/>
    </row>
    <row r="16" spans="2:12" ht="18" customHeight="1" x14ac:dyDescent="0.2">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
      <c r="B17" s="3124" t="s">
        <v>2147</v>
      </c>
      <c r="C17" s="3046"/>
      <c r="D17" s="3078" t="s">
        <v>2147</v>
      </c>
      <c r="E17" s="3078" t="s">
        <v>2147</v>
      </c>
      <c r="F17" s="3126" t="s">
        <v>2147</v>
      </c>
      <c r="G17" s="3126" t="s">
        <v>2147</v>
      </c>
      <c r="H17" s="3126" t="s">
        <v>2147</v>
      </c>
      <c r="I17" s="3034" t="s">
        <v>2147</v>
      </c>
    </row>
    <row r="18" spans="2:9" ht="18" customHeight="1" x14ac:dyDescent="0.2">
      <c r="B18" s="1252" t="s">
        <v>340</v>
      </c>
      <c r="C18" s="3033">
        <v>508.38400274544301</v>
      </c>
      <c r="D18" s="3078">
        <f>IFERROR(SUM(F18,H18)/$C$18,"NA")</f>
        <v>0.62630703119670916</v>
      </c>
      <c r="E18" s="3078">
        <f>IFERROR(SUM(G18,I18)/$C$18,"NA")</f>
        <v>0.23733697373400905</v>
      </c>
      <c r="F18" s="3078">
        <f>SUM(F19:F21)</f>
        <v>318.40447546739807</v>
      </c>
      <c r="G18" s="3131">
        <f t="shared" ref="G18" si="2">SUM(G19:G21)</f>
        <v>120.6583207063856</v>
      </c>
      <c r="H18" s="3078" t="s">
        <v>2146</v>
      </c>
      <c r="I18" s="3128" t="s">
        <v>2146</v>
      </c>
    </row>
    <row r="19" spans="2:9" ht="18" customHeight="1" x14ac:dyDescent="0.2">
      <c r="B19" s="160" t="s">
        <v>341</v>
      </c>
      <c r="C19" s="3046"/>
      <c r="D19" s="3078">
        <f>IFERROR(SUM(F19,H19)/$C$18,"NA")</f>
        <v>0.62630703119670916</v>
      </c>
      <c r="E19" s="3078">
        <f>IFERROR(SUM(G19,I19)/$C$18,"NA")</f>
        <v>0.23733697373400905</v>
      </c>
      <c r="F19" s="3126">
        <v>318.40447546739807</v>
      </c>
      <c r="G19" s="3126">
        <v>120.6583207063856</v>
      </c>
      <c r="H19" s="3126" t="s">
        <v>2146</v>
      </c>
      <c r="I19" s="3034" t="s">
        <v>2146</v>
      </c>
    </row>
    <row r="20" spans="2:9" ht="18" customHeight="1" x14ac:dyDescent="0.2">
      <c r="B20" s="1253" t="s">
        <v>342</v>
      </c>
      <c r="C20" s="3132"/>
      <c r="D20" s="3133" t="s">
        <v>2147</v>
      </c>
      <c r="E20" s="3133" t="s">
        <v>2147</v>
      </c>
      <c r="F20" s="3134" t="s">
        <v>2153</v>
      </c>
      <c r="G20" s="3134" t="s">
        <v>2154</v>
      </c>
      <c r="H20" s="3134" t="s">
        <v>2146</v>
      </c>
      <c r="I20" s="3038" t="s">
        <v>2146</v>
      </c>
    </row>
    <row r="21" spans="2:9" ht="18" customHeight="1" x14ac:dyDescent="0.2">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
      <c r="B22" s="3124" t="s">
        <v>2147</v>
      </c>
      <c r="C22" s="3046"/>
      <c r="D22" s="3078" t="s">
        <v>2147</v>
      </c>
      <c r="E22" s="3078" t="s">
        <v>2147</v>
      </c>
      <c r="F22" s="3126" t="s">
        <v>2147</v>
      </c>
      <c r="G22" s="3126" t="s">
        <v>2147</v>
      </c>
      <c r="H22" s="3126" t="s">
        <v>2147</v>
      </c>
      <c r="I22" s="3034" t="s">
        <v>2147</v>
      </c>
    </row>
    <row r="23" spans="2:9" ht="18" customHeight="1" x14ac:dyDescent="0.2">
      <c r="B23" s="2181" t="s">
        <v>344</v>
      </c>
      <c r="C23" s="3046"/>
      <c r="D23" s="3046"/>
      <c r="E23" s="3046"/>
      <c r="F23" s="3131" t="s">
        <v>2157</v>
      </c>
      <c r="G23" s="3131" t="s">
        <v>2157</v>
      </c>
      <c r="H23" s="3131" t="s">
        <v>2157</v>
      </c>
      <c r="I23" s="3128" t="s">
        <v>2147</v>
      </c>
    </row>
    <row r="24" spans="2:9" ht="18" customHeight="1" x14ac:dyDescent="0.2">
      <c r="B24" s="1275" t="s">
        <v>345</v>
      </c>
      <c r="C24" s="3129"/>
      <c r="D24" s="3135"/>
      <c r="E24" s="3135"/>
      <c r="F24" s="3135"/>
      <c r="G24" s="3135"/>
      <c r="H24" s="3135"/>
      <c r="I24" s="3136"/>
    </row>
    <row r="25" spans="2:9" ht="18" customHeight="1" x14ac:dyDescent="0.2">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
      <c r="B26" s="1252" t="s">
        <v>347</v>
      </c>
      <c r="C26" s="3033" t="s">
        <v>2153</v>
      </c>
      <c r="D26" s="3078" t="s">
        <v>2147</v>
      </c>
      <c r="E26" s="3078" t="s">
        <v>2147</v>
      </c>
      <c r="F26" s="3033" t="s">
        <v>2153</v>
      </c>
      <c r="G26" s="3126" t="s">
        <v>2153</v>
      </c>
      <c r="H26" s="3033" t="s">
        <v>2153</v>
      </c>
      <c r="I26" s="3034" t="s">
        <v>2146</v>
      </c>
    </row>
    <row r="27" spans="2:9" ht="18" customHeight="1" x14ac:dyDescent="0.2">
      <c r="B27" s="1252" t="s">
        <v>348</v>
      </c>
      <c r="C27" s="3033" t="s">
        <v>2146</v>
      </c>
      <c r="D27" s="3078" t="s">
        <v>2147</v>
      </c>
      <c r="E27" s="3078" t="s">
        <v>2147</v>
      </c>
      <c r="F27" s="3033" t="s">
        <v>2146</v>
      </c>
      <c r="G27" s="3033" t="s">
        <v>2146</v>
      </c>
      <c r="H27" s="3033" t="s">
        <v>2146</v>
      </c>
      <c r="I27" s="3034" t="s">
        <v>2146</v>
      </c>
    </row>
    <row r="28" spans="2:9" ht="18" customHeight="1" x14ac:dyDescent="0.2">
      <c r="B28" s="1252" t="s">
        <v>349</v>
      </c>
      <c r="C28" s="3033" t="s">
        <v>2146</v>
      </c>
      <c r="D28" s="3078" t="s">
        <v>2147</v>
      </c>
      <c r="E28" s="3078" t="s">
        <v>2147</v>
      </c>
      <c r="F28" s="3033" t="s">
        <v>2146</v>
      </c>
      <c r="G28" s="3033" t="s">
        <v>2146</v>
      </c>
      <c r="H28" s="3033" t="s">
        <v>2146</v>
      </c>
      <c r="I28" s="3034" t="s">
        <v>2146</v>
      </c>
    </row>
    <row r="29" spans="2:9" ht="18" customHeight="1" x14ac:dyDescent="0.2">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
      <c r="B30" s="3125" t="s">
        <v>2147</v>
      </c>
      <c r="C30" s="3033" t="s">
        <v>2147</v>
      </c>
      <c r="D30" s="3078" t="s">
        <v>2147</v>
      </c>
      <c r="E30" s="3078" t="s">
        <v>2147</v>
      </c>
      <c r="F30" s="3033" t="s">
        <v>2147</v>
      </c>
      <c r="G30" s="3126" t="s">
        <v>2147</v>
      </c>
      <c r="H30" s="3033" t="s">
        <v>2147</v>
      </c>
      <c r="I30" s="3034" t="s">
        <v>2147</v>
      </c>
    </row>
    <row r="31" spans="2:9" ht="18" customHeight="1" x14ac:dyDescent="0.2">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25">
      <c r="B32" s="2126" t="s">
        <v>2147</v>
      </c>
      <c r="C32" s="3137" t="s">
        <v>2147</v>
      </c>
      <c r="D32" s="3138" t="s">
        <v>2147</v>
      </c>
      <c r="E32" s="3138" t="s">
        <v>2147</v>
      </c>
      <c r="F32" s="3137" t="s">
        <v>2147</v>
      </c>
      <c r="G32" s="3139" t="s">
        <v>2147</v>
      </c>
      <c r="H32" s="3137" t="s">
        <v>2147</v>
      </c>
      <c r="I32" s="3140"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2"/>
      <c r="C35" s="2182"/>
      <c r="D35" s="2182"/>
      <c r="E35" s="2182"/>
    </row>
    <row r="36" spans="2:9" ht="12" customHeight="1" x14ac:dyDescent="0.2">
      <c r="B36" s="2182"/>
      <c r="C36" s="2182"/>
      <c r="D36" s="2182"/>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2"/>
      <c r="C39" s="2182"/>
      <c r="D39" s="2182"/>
      <c r="E39" s="2182"/>
    </row>
    <row r="47" spans="2:9" ht="12" customHeight="1" x14ac:dyDescent="0.2">
      <c r="B47" s="2172"/>
      <c r="C47" s="2172"/>
      <c r="D47" s="2172"/>
      <c r="E47" s="2172"/>
      <c r="F47" s="2172"/>
      <c r="G47" s="2172"/>
      <c r="H47" s="2172"/>
      <c r="I47" s="2172"/>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3"/>
      <c r="C51" s="2174"/>
      <c r="D51" s="2174"/>
      <c r="E51" s="2174"/>
      <c r="F51" s="2174"/>
      <c r="G51" s="2174"/>
      <c r="H51" s="2174"/>
      <c r="I51" s="2175"/>
    </row>
    <row r="52" spans="2:9" ht="12" customHeight="1" x14ac:dyDescent="0.2">
      <c r="B52" s="2173"/>
      <c r="C52" s="2174"/>
      <c r="D52" s="2174"/>
      <c r="E52" s="2174"/>
      <c r="F52" s="2174"/>
      <c r="G52" s="2174"/>
      <c r="H52" s="2174"/>
      <c r="I52" s="2175"/>
    </row>
    <row r="53" spans="2:9" ht="12" customHeight="1" x14ac:dyDescent="0.2">
      <c r="B53" s="2173"/>
      <c r="C53" s="2174"/>
      <c r="D53" s="2174"/>
      <c r="E53" s="2174"/>
      <c r="F53" s="2174"/>
      <c r="G53" s="2174"/>
      <c r="H53" s="2174"/>
      <c r="I53" s="2175"/>
    </row>
    <row r="54" spans="2:9" ht="12" customHeight="1" x14ac:dyDescent="0.2">
      <c r="B54" s="2173"/>
      <c r="C54" s="2174"/>
      <c r="D54" s="2174"/>
      <c r="E54" s="2174"/>
      <c r="F54" s="2174"/>
      <c r="G54" s="2174"/>
      <c r="H54" s="2174"/>
      <c r="I54" s="2175"/>
    </row>
    <row r="55" spans="2:9" ht="12" customHeight="1" x14ac:dyDescent="0.2">
      <c r="B55" s="2173"/>
      <c r="C55" s="2174"/>
      <c r="D55" s="2174"/>
      <c r="E55" s="2174"/>
      <c r="F55" s="2174"/>
      <c r="G55" s="2174"/>
      <c r="H55" s="2174"/>
      <c r="I55" s="2175"/>
    </row>
    <row r="56" spans="2:9" ht="12" customHeight="1" x14ac:dyDescent="0.2">
      <c r="B56" s="1315"/>
      <c r="C56" s="1321"/>
      <c r="D56" s="1321"/>
      <c r="E56" s="1321"/>
      <c r="F56" s="1321"/>
      <c r="G56" s="1321"/>
      <c r="H56" s="1321"/>
      <c r="I56" s="1322"/>
    </row>
    <row r="57" spans="2:9" ht="27" customHeight="1" thickBot="1" x14ac:dyDescent="0.25">
      <c r="B57" s="4477" t="s">
        <v>2158</v>
      </c>
      <c r="C57" s="4478"/>
      <c r="D57" s="4478"/>
      <c r="E57" s="4478"/>
      <c r="F57" s="4478"/>
      <c r="G57" s="4478"/>
      <c r="H57" s="4478"/>
      <c r="I57" s="4479"/>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9"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3"/>
      <c r="C9" s="268"/>
      <c r="D9" s="268"/>
      <c r="E9" s="268"/>
      <c r="F9" s="1864" t="s">
        <v>2013</v>
      </c>
      <c r="G9" s="1032"/>
      <c r="H9" s="1033"/>
      <c r="I9" s="1748" t="s">
        <v>73</v>
      </c>
      <c r="J9" s="344"/>
      <c r="K9" s="1772"/>
      <c r="L9" s="345" t="s">
        <v>73</v>
      </c>
    </row>
    <row r="10" spans="2:12" ht="18" customHeight="1" thickTop="1" x14ac:dyDescent="0.2">
      <c r="B10" s="1254" t="s">
        <v>362</v>
      </c>
      <c r="C10" s="2164"/>
      <c r="D10" s="2164"/>
      <c r="E10" s="3143"/>
      <c r="F10" s="3144"/>
      <c r="G10" s="3144"/>
      <c r="H10" s="3144"/>
      <c r="I10" s="3145">
        <f>IF(SUM(I11:I16)=0,"NO",SUM(I11:I16))</f>
        <v>155.05035237607962</v>
      </c>
      <c r="J10" s="3145">
        <f>IF(SUM(J11:J16)=0,"NO",SUM(J11:J16))</f>
        <v>3.2858491396692995</v>
      </c>
      <c r="K10" s="1913">
        <f>IF(SUM(K11:K16)=0,"NO",SUM(K11:K16))</f>
        <v>5.5711049897443632E-3</v>
      </c>
      <c r="L10" s="3146" t="s">
        <v>2146</v>
      </c>
    </row>
    <row r="11" spans="2:12" ht="18" customHeight="1" x14ac:dyDescent="0.2">
      <c r="B11" s="1252" t="s">
        <v>363</v>
      </c>
      <c r="C11" s="2165" t="s">
        <v>2159</v>
      </c>
      <c r="D11" s="2165" t="s">
        <v>2275</v>
      </c>
      <c r="E11" s="691">
        <v>3710.1135897471054</v>
      </c>
      <c r="F11" s="1913">
        <f>I11*1000000/$E11</f>
        <v>3200.0000000000005</v>
      </c>
      <c r="G11" s="1913">
        <f>J11*1000000/$E11</f>
        <v>0.33000000000000007</v>
      </c>
      <c r="H11" s="1913">
        <f>K11*1000000/$E11</f>
        <v>0.22000000000000003</v>
      </c>
      <c r="I11" s="3141">
        <v>11.872363487190738</v>
      </c>
      <c r="J11" s="691">
        <v>1.2243374846165451E-3</v>
      </c>
      <c r="K11" s="3142">
        <v>8.1622498974436323E-4</v>
      </c>
      <c r="L11" s="3093" t="s">
        <v>2146</v>
      </c>
    </row>
    <row r="12" spans="2:12" ht="18" customHeight="1" x14ac:dyDescent="0.2">
      <c r="B12" s="1252" t="s">
        <v>364</v>
      </c>
      <c r="C12" s="2165" t="s">
        <v>2160</v>
      </c>
      <c r="D12" s="2165" t="s">
        <v>2161</v>
      </c>
      <c r="E12" s="691">
        <v>973.15668143970004</v>
      </c>
      <c r="F12" s="1913" t="s">
        <v>2147</v>
      </c>
      <c r="G12" s="1913">
        <f>J12*1000000/$E12</f>
        <v>1979.8791627920116</v>
      </c>
      <c r="H12" s="3096"/>
      <c r="I12" s="3147" t="s">
        <v>2147</v>
      </c>
      <c r="J12" s="691">
        <v>1.9267326357142855</v>
      </c>
      <c r="K12" s="3046"/>
      <c r="L12" s="3093" t="s">
        <v>2146</v>
      </c>
    </row>
    <row r="13" spans="2:12" ht="18" customHeight="1" x14ac:dyDescent="0.2">
      <c r="B13" s="1252" t="s">
        <v>365</v>
      </c>
      <c r="C13" s="2165" t="s">
        <v>2162</v>
      </c>
      <c r="D13" s="2165" t="s">
        <v>2161</v>
      </c>
      <c r="E13" s="691">
        <v>591.15925300000004</v>
      </c>
      <c r="F13" s="1913" t="s">
        <v>2147</v>
      </c>
      <c r="G13" s="1913">
        <f>J13*1000000/$E13</f>
        <v>97.267831287756295</v>
      </c>
      <c r="H13" s="3096"/>
      <c r="I13" s="3147" t="s">
        <v>2147</v>
      </c>
      <c r="J13" s="691">
        <v>5.7500778485000049E-2</v>
      </c>
      <c r="K13" s="3046"/>
      <c r="L13" s="3093" t="s">
        <v>2146</v>
      </c>
    </row>
    <row r="14" spans="2:12" ht="18" customHeight="1" x14ac:dyDescent="0.2">
      <c r="B14" s="1252" t="s">
        <v>366</v>
      </c>
      <c r="C14" s="2165" t="s">
        <v>2163</v>
      </c>
      <c r="D14" s="2165" t="s">
        <v>2161</v>
      </c>
      <c r="E14" s="691">
        <v>817.28047086544802</v>
      </c>
      <c r="F14" s="1913">
        <f>I14*1000000/$E14</f>
        <v>175188.31538611522</v>
      </c>
      <c r="G14" s="1913">
        <f>J14*1000000/$E14</f>
        <v>1475.3931054519398</v>
      </c>
      <c r="H14" s="1913">
        <f>K14*1000000/$E14</f>
        <v>5.817929302733595</v>
      </c>
      <c r="I14" s="3147">
        <v>143.17798888888888</v>
      </c>
      <c r="J14" s="691">
        <v>1.205809971935397</v>
      </c>
      <c r="K14" s="3142">
        <v>4.7548800000000004E-3</v>
      </c>
      <c r="L14" s="3093" t="s">
        <v>2146</v>
      </c>
    </row>
    <row r="15" spans="2:12" ht="18" customHeight="1" x14ac:dyDescent="0.2">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
      <c r="B16" s="2414" t="s">
        <v>368</v>
      </c>
      <c r="C16" s="621"/>
      <c r="D16" s="621"/>
      <c r="E16" s="628"/>
      <c r="F16" s="628"/>
      <c r="G16" s="628"/>
      <c r="H16" s="3148"/>
      <c r="I16" s="1913" t="str">
        <f>IF(I18=0,"NO",I18)</f>
        <v>NA</v>
      </c>
      <c r="J16" s="1913">
        <f>IF(J18=0,"NO",J18)</f>
        <v>9.4581416049999992E-2</v>
      </c>
      <c r="K16" s="3132"/>
      <c r="L16" s="3149" t="str">
        <f>IF(L18=0,"NO",L18)</f>
        <v>NO</v>
      </c>
    </row>
    <row r="17" spans="2:12" ht="18" customHeight="1" x14ac:dyDescent="0.2">
      <c r="B17" s="2383" t="s">
        <v>345</v>
      </c>
      <c r="C17" s="2103"/>
      <c r="D17" s="2285"/>
      <c r="E17" s="3097"/>
      <c r="F17" s="3097"/>
      <c r="G17" s="3097"/>
      <c r="H17" s="3097"/>
      <c r="I17" s="3097"/>
      <c r="J17" s="3097"/>
      <c r="K17" s="3097"/>
      <c r="L17" s="3111"/>
    </row>
    <row r="18" spans="2:12" ht="18" customHeight="1" x14ac:dyDescent="0.2">
      <c r="B18" s="2415" t="s">
        <v>369</v>
      </c>
      <c r="C18" s="2165" t="s">
        <v>2156</v>
      </c>
      <c r="D18" s="2165" t="s">
        <v>2155</v>
      </c>
      <c r="E18" s="691">
        <v>3217</v>
      </c>
      <c r="F18" s="1913" t="s">
        <v>2147</v>
      </c>
      <c r="G18" s="1913">
        <f>J18*1000000/$E18</f>
        <v>29.40050234690705</v>
      </c>
      <c r="H18" s="3148"/>
      <c r="I18" s="3150" t="s">
        <v>2147</v>
      </c>
      <c r="J18" s="2190">
        <v>9.4581416049999992E-2</v>
      </c>
      <c r="K18" s="3132"/>
      <c r="L18" s="3102" t="s">
        <v>2146</v>
      </c>
    </row>
    <row r="19" spans="2:12" ht="18" customHeight="1" x14ac:dyDescent="0.2">
      <c r="B19" s="1242" t="s">
        <v>370</v>
      </c>
      <c r="C19" s="2103"/>
      <c r="D19" s="2285"/>
      <c r="E19" s="3097"/>
      <c r="F19" s="3097"/>
      <c r="G19" s="3097"/>
      <c r="H19" s="3097"/>
      <c r="I19" s="1913" t="str">
        <f>I20</f>
        <v>NA</v>
      </c>
      <c r="J19" s="1913" t="str">
        <f>J20</f>
        <v>NA</v>
      </c>
      <c r="K19" s="3046"/>
      <c r="L19" s="3065" t="str">
        <f>L20</f>
        <v>NA</v>
      </c>
    </row>
    <row r="20" spans="2:12" ht="18" customHeight="1" thickBot="1" x14ac:dyDescent="0.25">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
      <c r="B21" s="1255" t="s">
        <v>104</v>
      </c>
      <c r="C21" s="2167"/>
      <c r="D21" s="2167"/>
      <c r="E21" s="3154"/>
      <c r="F21" s="1930"/>
      <c r="G21" s="1930"/>
      <c r="H21" s="1930"/>
      <c r="I21" s="3155">
        <f>IF(SUM(I22:I27)=0,"NO",SUM(I22:I27))</f>
        <v>80.669958269296771</v>
      </c>
      <c r="J21" s="3155">
        <f>IF(SUM(J22:J27)=0,"NO",SUM(J22:J27))</f>
        <v>162.10526662105954</v>
      </c>
      <c r="K21" s="3067">
        <f>IF(SUM(K22:K27)=0,"NO",SUM(K22:K27))</f>
        <v>2.1267137176363641E-3</v>
      </c>
      <c r="L21" s="3068" t="str">
        <f>IF(SUM(L22:L27)=0,"NO",SUM(L22:L27))</f>
        <v>NO</v>
      </c>
    </row>
    <row r="22" spans="2:12" ht="18" customHeight="1" x14ac:dyDescent="0.2">
      <c r="B22" s="1469" t="s">
        <v>371</v>
      </c>
      <c r="C22" s="2165" t="s">
        <v>2164</v>
      </c>
      <c r="D22" s="2165" t="s">
        <v>2147</v>
      </c>
      <c r="E22" s="691">
        <v>1223.681722454417</v>
      </c>
      <c r="F22" s="1913">
        <f>I22*1000000/$E22</f>
        <v>59020.480154336612</v>
      </c>
      <c r="G22" s="1913">
        <f>J22*1000000/$E22</f>
        <v>3206.4427317255136</v>
      </c>
      <c r="H22" s="1913">
        <f>K22*1000000/$E22</f>
        <v>1.7379631309444401</v>
      </c>
      <c r="I22" s="3141">
        <v>72.222282815345366</v>
      </c>
      <c r="J22" s="692">
        <v>3.9236653649093225</v>
      </c>
      <c r="K22" s="4141">
        <v>2.1267137176363641E-3</v>
      </c>
      <c r="L22" s="3156" t="s">
        <v>2146</v>
      </c>
    </row>
    <row r="23" spans="2:12" ht="18" customHeight="1" x14ac:dyDescent="0.2">
      <c r="B23" s="1252" t="s">
        <v>372</v>
      </c>
      <c r="C23" s="2165" t="s">
        <v>2165</v>
      </c>
      <c r="D23" s="2165" t="s">
        <v>2161</v>
      </c>
      <c r="E23" s="691">
        <v>5082.5840382146098</v>
      </c>
      <c r="F23" s="1913">
        <f>I23*1000000/$E23</f>
        <v>122.89787122575893</v>
      </c>
      <c r="G23" s="1913">
        <f>J23*1000000/$E23</f>
        <v>7246.244016825859</v>
      </c>
      <c r="H23" s="3096"/>
      <c r="I23" s="3147">
        <v>0.62463875862259699</v>
      </c>
      <c r="J23" s="691">
        <v>36.829644176927232</v>
      </c>
      <c r="K23" s="3046"/>
      <c r="L23" s="3156" t="s">
        <v>2146</v>
      </c>
    </row>
    <row r="24" spans="2:12" ht="18" customHeight="1" x14ac:dyDescent="0.2">
      <c r="B24" s="1252" t="s">
        <v>373</v>
      </c>
      <c r="C24" s="2165" t="s">
        <v>2165</v>
      </c>
      <c r="D24" s="2165" t="s">
        <v>2161</v>
      </c>
      <c r="E24" s="691">
        <v>5082.5840382146098</v>
      </c>
      <c r="F24" s="1913">
        <f t="shared" ref="F24:F26" si="0">I24*1000000/$E24</f>
        <v>801.16864022987056</v>
      </c>
      <c r="G24" s="1913">
        <f t="shared" ref="G24:G26" si="1">J24*1000000/$E24</f>
        <v>5838.3128403445216</v>
      </c>
      <c r="H24" s="1879"/>
      <c r="I24" s="691">
        <v>4.0720069427504431</v>
      </c>
      <c r="J24" s="691">
        <v>29.673715652438467</v>
      </c>
      <c r="K24" s="1914"/>
      <c r="L24" s="3093" t="str">
        <f>IF(Table1.C!E21="NO","NO",-Table1.C!E21)</f>
        <v>NO</v>
      </c>
    </row>
    <row r="25" spans="2:12" ht="18" customHeight="1" x14ac:dyDescent="0.2">
      <c r="B25" s="1252" t="s">
        <v>374</v>
      </c>
      <c r="C25" s="2165" t="s">
        <v>2276</v>
      </c>
      <c r="D25" s="2165" t="s">
        <v>2171</v>
      </c>
      <c r="E25" s="691">
        <v>29774.41</v>
      </c>
      <c r="F25" s="1913">
        <f t="shared" si="0"/>
        <v>20</v>
      </c>
      <c r="G25" s="1913">
        <f t="shared" si="1"/>
        <v>414.28571428571428</v>
      </c>
      <c r="H25" s="3096"/>
      <c r="I25" s="3147">
        <v>0.59548819999999991</v>
      </c>
      <c r="J25" s="691">
        <v>12.335112714285714</v>
      </c>
      <c r="K25" s="3046"/>
      <c r="L25" s="3093" t="s">
        <v>2146</v>
      </c>
    </row>
    <row r="26" spans="2:12" ht="18" customHeight="1" x14ac:dyDescent="0.2">
      <c r="B26" s="1252" t="s">
        <v>375</v>
      </c>
      <c r="C26" s="2165" t="s">
        <v>2166</v>
      </c>
      <c r="D26" s="2165" t="s">
        <v>2161</v>
      </c>
      <c r="E26" s="691">
        <v>340.12357300000002</v>
      </c>
      <c r="F26" s="1913">
        <f t="shared" si="0"/>
        <v>7612.0275262426458</v>
      </c>
      <c r="G26" s="1913">
        <f t="shared" si="1"/>
        <v>134472.80233058118</v>
      </c>
      <c r="H26" s="3096"/>
      <c r="I26" s="3147">
        <v>2.5890300000000002</v>
      </c>
      <c r="J26" s="691">
        <v>45.737369999999999</v>
      </c>
      <c r="K26" s="3046"/>
      <c r="L26" s="3093" t="s">
        <v>2146</v>
      </c>
    </row>
    <row r="27" spans="2:12" ht="18" customHeight="1" x14ac:dyDescent="0.2">
      <c r="B27" s="2414" t="s">
        <v>376</v>
      </c>
      <c r="C27" s="621"/>
      <c r="D27" s="621"/>
      <c r="E27" s="628"/>
      <c r="F27" s="628"/>
      <c r="G27" s="628"/>
      <c r="H27" s="3148"/>
      <c r="I27" s="1913">
        <f>IF(SUM(I29:I31)=0,"NO",SUM(I29:I31))</f>
        <v>0.5665115525783655</v>
      </c>
      <c r="J27" s="1913">
        <f>IF(SUM(J29:J31)=0,"NO",SUM(J29:J31))</f>
        <v>33.605758712498805</v>
      </c>
      <c r="K27" s="3132"/>
      <c r="L27" s="3149" t="str">
        <f>IF(SUM(L29:L31)=0,"NO",SUM(L29:L31))</f>
        <v>NO</v>
      </c>
    </row>
    <row r="28" spans="2:12" ht="18" customHeight="1" x14ac:dyDescent="0.2">
      <c r="B28" s="2383" t="s">
        <v>345</v>
      </c>
      <c r="C28" s="2103"/>
      <c r="D28" s="2285"/>
      <c r="E28" s="3097"/>
      <c r="F28" s="3097"/>
      <c r="G28" s="3097"/>
      <c r="H28" s="3097"/>
      <c r="I28" s="3097"/>
      <c r="J28" s="3097"/>
      <c r="K28" s="3097"/>
      <c r="L28" s="3111"/>
    </row>
    <row r="29" spans="2:12" ht="18" customHeight="1" x14ac:dyDescent="0.2">
      <c r="B29" s="2415" t="s">
        <v>377</v>
      </c>
      <c r="C29" s="2165" t="s">
        <v>2167</v>
      </c>
      <c r="D29" s="2165" t="s">
        <v>2147</v>
      </c>
      <c r="E29" s="691" t="s">
        <v>2147</v>
      </c>
      <c r="F29" s="1913" t="s">
        <v>2147</v>
      </c>
      <c r="G29" s="1913" t="s">
        <v>2147</v>
      </c>
      <c r="H29" s="3148"/>
      <c r="I29" s="3150">
        <v>0.5665115525783655</v>
      </c>
      <c r="J29" s="3150">
        <v>14.731392468248803</v>
      </c>
      <c r="K29" s="3132"/>
      <c r="L29" s="3102" t="s">
        <v>2146</v>
      </c>
    </row>
    <row r="30" spans="2:12" ht="18" customHeight="1" x14ac:dyDescent="0.2">
      <c r="B30" s="2415" t="s">
        <v>378</v>
      </c>
      <c r="C30" s="2165" t="s">
        <v>2156</v>
      </c>
      <c r="D30" s="2165" t="s">
        <v>2155</v>
      </c>
      <c r="E30" s="691">
        <v>17212</v>
      </c>
      <c r="F30" s="1913" t="s">
        <v>2147</v>
      </c>
      <c r="G30" s="1913">
        <f t="shared" ref="G30" si="2">J30*1000000/$E30</f>
        <v>18.758206149779223</v>
      </c>
      <c r="H30" s="3148"/>
      <c r="I30" s="3150" t="s">
        <v>2147</v>
      </c>
      <c r="J30" s="3150">
        <v>0.32286624424999999</v>
      </c>
      <c r="K30" s="3132"/>
      <c r="L30" s="3102" t="s">
        <v>2146</v>
      </c>
    </row>
    <row r="31" spans="2:12" ht="18" customHeight="1" x14ac:dyDescent="0.2">
      <c r="B31" s="1242" t="s">
        <v>379</v>
      </c>
      <c r="C31" s="621"/>
      <c r="D31" s="621"/>
      <c r="E31" s="628"/>
      <c r="F31" s="628"/>
      <c r="G31" s="628"/>
      <c r="H31" s="3148"/>
      <c r="I31" s="1913" t="s">
        <v>2147</v>
      </c>
      <c r="J31" s="1913">
        <f>IF(SUM(J32:J34)=0,"NO",SUM(J32:J34))</f>
        <v>18.551500000000001</v>
      </c>
      <c r="K31" s="3132"/>
      <c r="L31" s="3149" t="str">
        <f>IF(SUM(L32:L34)=0,"NO",SUM(L32:L34))</f>
        <v>NO</v>
      </c>
    </row>
    <row r="32" spans="2:12" ht="18" customHeight="1" x14ac:dyDescent="0.2">
      <c r="B32" s="2592" t="s">
        <v>2173</v>
      </c>
      <c r="C32" s="310" t="s">
        <v>2172</v>
      </c>
      <c r="D32" s="310" t="s">
        <v>2172</v>
      </c>
      <c r="E32" s="2190">
        <v>8</v>
      </c>
      <c r="F32" s="3095" t="s">
        <v>2147</v>
      </c>
      <c r="G32" s="3095">
        <f t="shared" ref="G32:G33" si="3">J32*1000000/$E32</f>
        <v>970375</v>
      </c>
      <c r="H32" s="3148"/>
      <c r="I32" s="3150" t="s">
        <v>2147</v>
      </c>
      <c r="J32" s="3150">
        <v>7.7629999999999999</v>
      </c>
      <c r="K32" s="3132"/>
      <c r="L32" s="3102" t="s">
        <v>2146</v>
      </c>
    </row>
    <row r="33" spans="2:12" ht="18" customHeight="1" x14ac:dyDescent="0.2">
      <c r="B33" s="2592" t="s">
        <v>2174</v>
      </c>
      <c r="C33" s="277" t="s">
        <v>2172</v>
      </c>
      <c r="D33" s="277" t="s">
        <v>2172</v>
      </c>
      <c r="E33" s="691">
        <v>8.5</v>
      </c>
      <c r="F33" s="1913" t="s">
        <v>2147</v>
      </c>
      <c r="G33" s="1913">
        <f t="shared" si="3"/>
        <v>921000.00000000012</v>
      </c>
      <c r="H33" s="3096"/>
      <c r="I33" s="3147" t="s">
        <v>2147</v>
      </c>
      <c r="J33" s="3147">
        <v>7.8285000000000009</v>
      </c>
      <c r="K33" s="3046"/>
      <c r="L33" s="3093" t="s">
        <v>2146</v>
      </c>
    </row>
    <row r="34" spans="2:12" ht="18" customHeight="1" thickBot="1" x14ac:dyDescent="0.25">
      <c r="B34" s="2590" t="s">
        <v>2175</v>
      </c>
      <c r="C34" s="2591" t="s">
        <v>2172</v>
      </c>
      <c r="D34" s="2591" t="s">
        <v>2172</v>
      </c>
      <c r="E34" s="2912">
        <v>7</v>
      </c>
      <c r="F34" s="3157" t="s">
        <v>2147</v>
      </c>
      <c r="G34" s="3157">
        <f t="shared" ref="G34" si="4">J34*1000000/$E34</f>
        <v>422857.14285714284</v>
      </c>
      <c r="H34" s="3158"/>
      <c r="I34" s="3159" t="s">
        <v>2147</v>
      </c>
      <c r="J34" s="3159">
        <v>2.96</v>
      </c>
      <c r="K34" s="3160"/>
      <c r="L34" s="3161" t="s">
        <v>2146</v>
      </c>
    </row>
    <row r="35" spans="2:12" ht="18" customHeight="1" x14ac:dyDescent="0.2">
      <c r="B35" s="1255" t="s">
        <v>380</v>
      </c>
      <c r="C35" s="2167"/>
      <c r="D35" s="2167"/>
      <c r="E35" s="3216"/>
      <c r="F35" s="3216"/>
      <c r="G35" s="3216"/>
      <c r="H35" s="3216"/>
      <c r="I35" s="3155">
        <f>IF(SUM(I36,I40)=0,"NO",SUM(I36,I40))</f>
        <v>10140.322423482521</v>
      </c>
      <c r="J35" s="3067">
        <f>IF(SUM(J36,J40)=0,"NO",SUM(J36,J40))</f>
        <v>68.083629184855212</v>
      </c>
      <c r="K35" s="3067">
        <f>IF(SUM(K36,K40)=0,"NO",SUM(K36,K40))</f>
        <v>0.19645645047686736</v>
      </c>
      <c r="L35" s="3068" t="str">
        <f>IF(SUM(L36,L40)=0,"NO",SUM(L36,L40))</f>
        <v>NO</v>
      </c>
    </row>
    <row r="36" spans="2:12" ht="18" customHeight="1" x14ac:dyDescent="0.2">
      <c r="B36" s="1468" t="s">
        <v>381</v>
      </c>
      <c r="C36" s="2170"/>
      <c r="D36" s="2170"/>
      <c r="E36" s="3025"/>
      <c r="F36" s="3025"/>
      <c r="G36" s="3025"/>
      <c r="H36" s="3025"/>
      <c r="I36" s="3162">
        <f>IF(SUM(I37:I39)=0,"NO",SUM(I37:I39))</f>
        <v>4471.0963731022393</v>
      </c>
      <c r="J36" s="1913">
        <f>IF(SUM(J37:J39)=0,"NO",SUM(J37:J39))</f>
        <v>47.971451379526819</v>
      </c>
      <c r="K36" s="3132"/>
      <c r="L36" s="3065"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
      <c r="B39" s="1470" t="s">
        <v>384</v>
      </c>
      <c r="C39" s="277" t="s">
        <v>2168</v>
      </c>
      <c r="D39" s="277" t="s">
        <v>2161</v>
      </c>
      <c r="E39" s="691">
        <f>SUM(E24,E12)</f>
        <v>6055.7407196543099</v>
      </c>
      <c r="F39" s="1913">
        <f t="shared" ref="F39" si="5">SUM(I39,L39)*1000000/$E39</f>
        <v>738323.61392075429</v>
      </c>
      <c r="G39" s="1913">
        <f t="shared" ref="G39" si="6">J39*1000000/$E39</f>
        <v>7921.6488288265509</v>
      </c>
      <c r="H39" s="1913">
        <f t="shared" ref="H39" si="7">K39*1000000/$E39</f>
        <v>0</v>
      </c>
      <c r="I39" s="691">
        <v>4471.0963731022393</v>
      </c>
      <c r="J39" s="691">
        <v>47.971451379526819</v>
      </c>
      <c r="K39" s="3132"/>
      <c r="L39" s="3093" t="s">
        <v>2146</v>
      </c>
    </row>
    <row r="40" spans="2:12" ht="18" customHeight="1" x14ac:dyDescent="0.2">
      <c r="B40" s="1468" t="s">
        <v>385</v>
      </c>
      <c r="C40" s="2170"/>
      <c r="D40" s="2170"/>
      <c r="E40" s="3025"/>
      <c r="F40" s="3025"/>
      <c r="G40" s="3025"/>
      <c r="H40" s="3025"/>
      <c r="I40" s="3162">
        <f>IF(SUM(I41:I43)=0,"NO",SUM(I41:I43))</f>
        <v>5669.2260503802827</v>
      </c>
      <c r="J40" s="3162">
        <f>IF(SUM(J41:J43)=0,"NO",SUM(J41:J43))</f>
        <v>20.112177805328397</v>
      </c>
      <c r="K40" s="1913">
        <f>IF(SUM(K41:K43)=0,"NO",SUM(K41:K43))</f>
        <v>0.19645645047686736</v>
      </c>
      <c r="L40" s="3065" t="str">
        <f>IF(SUM(L41:L43)=0,"NO",SUM(L41:L43))</f>
        <v>NO</v>
      </c>
    </row>
    <row r="41" spans="2:12" ht="18" customHeight="1" x14ac:dyDescent="0.2">
      <c r="B41" s="1470" t="s">
        <v>386</v>
      </c>
      <c r="C41" s="277" t="s">
        <v>2169</v>
      </c>
      <c r="D41" s="277" t="s">
        <v>2170</v>
      </c>
      <c r="E41" s="691">
        <v>429.05097719999998</v>
      </c>
      <c r="F41" s="1913">
        <f t="shared" ref="F41:F42" si="8">SUM(I41,L41)*1000000/$E41</f>
        <v>2366487.8192940289</v>
      </c>
      <c r="G41" s="1913">
        <f t="shared" ref="G41:H42" si="9">J41*1000000/$E41</f>
        <v>27739.411109771503</v>
      </c>
      <c r="H41" s="1913">
        <f t="shared" si="9"/>
        <v>68.981911816515023</v>
      </c>
      <c r="I41" s="692">
        <v>1015.3439114000001</v>
      </c>
      <c r="J41" s="692">
        <v>11.9016214436</v>
      </c>
      <c r="K41" s="692">
        <v>2.9596756673999997E-2</v>
      </c>
      <c r="L41" s="3156" t="s">
        <v>2146</v>
      </c>
    </row>
    <row r="42" spans="2:12" ht="18" customHeight="1" x14ac:dyDescent="0.2">
      <c r="B42" s="1470" t="s">
        <v>387</v>
      </c>
      <c r="C42" s="277" t="s">
        <v>2169</v>
      </c>
      <c r="D42" s="277" t="s">
        <v>2170</v>
      </c>
      <c r="E42" s="691">
        <v>99884.613286179898</v>
      </c>
      <c r="F42" s="1913">
        <f t="shared" si="8"/>
        <v>46592.583040256883</v>
      </c>
      <c r="G42" s="1913">
        <f t="shared" si="9"/>
        <v>82.200411971404364</v>
      </c>
      <c r="H42" s="1913">
        <f t="shared" si="9"/>
        <v>1.6705245013543459</v>
      </c>
      <c r="I42" s="691">
        <v>4653.8821389802824</v>
      </c>
      <c r="J42" s="691">
        <v>8.210556361728397</v>
      </c>
      <c r="K42" s="691">
        <v>0.16685969380286736</v>
      </c>
      <c r="L42" s="3093" t="s">
        <v>2146</v>
      </c>
    </row>
    <row r="43" spans="2:12" ht="18" customHeight="1" thickBot="1" x14ac:dyDescent="0.25">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25">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2"/>
    </row>
    <row r="58" spans="2:12" ht="12" customHeight="1" x14ac:dyDescent="0.2">
      <c r="B58" s="994"/>
      <c r="C58" s="994"/>
      <c r="D58" s="994"/>
      <c r="L58" s="2172"/>
    </row>
    <row r="59" spans="2:12" ht="12" customHeight="1" x14ac:dyDescent="0.2">
      <c r="B59" s="994"/>
      <c r="C59" s="994"/>
      <c r="D59" s="994"/>
      <c r="L59" s="2172"/>
    </row>
    <row r="60" spans="2:12" ht="12" customHeight="1" x14ac:dyDescent="0.2">
      <c r="B60" s="994"/>
      <c r="C60" s="994"/>
      <c r="D60" s="994"/>
      <c r="L60" s="2172"/>
    </row>
    <row r="61" spans="2:12" ht="12" customHeight="1" thickBot="1" x14ac:dyDescent="0.25">
      <c r="B61" s="994"/>
      <c r="C61" s="994"/>
      <c r="D61" s="994"/>
      <c r="L61" s="2172"/>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3"/>
      <c r="C64" s="2174"/>
      <c r="D64" s="2174"/>
      <c r="E64" s="2174"/>
      <c r="F64" s="2174"/>
      <c r="G64" s="2174"/>
      <c r="H64" s="2174"/>
      <c r="I64" s="2174"/>
      <c r="J64" s="2174"/>
      <c r="K64" s="2174"/>
      <c r="L64" s="2175"/>
    </row>
    <row r="65" spans="2:12" ht="12" customHeight="1" x14ac:dyDescent="0.2">
      <c r="B65" s="2173"/>
      <c r="C65" s="2174"/>
      <c r="D65" s="2174"/>
      <c r="E65" s="2174"/>
      <c r="F65" s="2174"/>
      <c r="G65" s="2174"/>
      <c r="H65" s="2174"/>
      <c r="I65" s="2174"/>
      <c r="J65" s="2174"/>
      <c r="K65" s="2174"/>
      <c r="L65" s="2175"/>
    </row>
    <row r="66" spans="2:12" ht="12" customHeight="1" x14ac:dyDescent="0.2">
      <c r="B66" s="2173"/>
      <c r="C66" s="2174"/>
      <c r="D66" s="2174"/>
      <c r="E66" s="2174"/>
      <c r="F66" s="2174"/>
      <c r="G66" s="2174"/>
      <c r="H66" s="2174"/>
      <c r="I66" s="2174"/>
      <c r="J66" s="2174"/>
      <c r="K66" s="2174"/>
      <c r="L66" s="2175"/>
    </row>
    <row r="67" spans="2:12" ht="12" customHeight="1" x14ac:dyDescent="0.2">
      <c r="B67" s="2173"/>
      <c r="C67" s="2174"/>
      <c r="D67" s="2174"/>
      <c r="E67" s="2174"/>
      <c r="F67" s="2174"/>
      <c r="G67" s="2174"/>
      <c r="H67" s="2174"/>
      <c r="I67" s="2174"/>
      <c r="J67" s="2174"/>
      <c r="K67" s="2174"/>
      <c r="L67" s="2175"/>
    </row>
    <row r="68" spans="2:12" ht="12" customHeight="1" x14ac:dyDescent="0.2">
      <c r="B68" s="2173"/>
      <c r="C68" s="2174"/>
      <c r="D68" s="2174"/>
      <c r="E68" s="2174"/>
      <c r="F68" s="2174"/>
      <c r="G68" s="2174"/>
      <c r="H68" s="2174"/>
      <c r="I68" s="2174"/>
      <c r="J68" s="2174"/>
      <c r="K68" s="2174"/>
      <c r="L68" s="2175"/>
    </row>
    <row r="69" spans="2:12" ht="12" customHeight="1" thickBot="1" x14ac:dyDescent="0.25">
      <c r="B69" s="2176"/>
      <c r="C69" s="2177"/>
      <c r="D69" s="2177"/>
      <c r="E69" s="2177"/>
      <c r="F69" s="2177"/>
      <c r="G69" s="2177"/>
      <c r="H69" s="2177"/>
      <c r="I69" s="2177"/>
      <c r="J69" s="2177"/>
      <c r="K69" s="2177"/>
      <c r="L69" s="2178"/>
    </row>
    <row r="70" spans="2:12" ht="50.25" customHeight="1" thickBot="1" x14ac:dyDescent="0.25">
      <c r="B70" s="4480" t="s">
        <v>2176</v>
      </c>
      <c r="C70" s="4481"/>
      <c r="D70" s="4481"/>
      <c r="E70" s="4481"/>
      <c r="F70" s="4481"/>
      <c r="G70" s="4481"/>
      <c r="H70" s="4481"/>
      <c r="I70" s="4481"/>
      <c r="J70" s="4481"/>
      <c r="K70" s="4481"/>
      <c r="L70" s="4482"/>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6" t="s">
        <v>64</v>
      </c>
    </row>
    <row r="7" spans="1:10" x14ac:dyDescent="0.2">
      <c r="B7" s="223" t="s">
        <v>326</v>
      </c>
      <c r="C7" s="2155" t="s">
        <v>327</v>
      </c>
      <c r="D7" s="2156" t="s">
        <v>356</v>
      </c>
      <c r="E7" s="2157" t="s">
        <v>124</v>
      </c>
    </row>
    <row r="8" spans="1:10" ht="14.25" x14ac:dyDescent="0.2">
      <c r="B8" s="1318" t="s">
        <v>328</v>
      </c>
      <c r="C8" s="1827" t="s">
        <v>393</v>
      </c>
      <c r="D8" s="1856" t="s">
        <v>66</v>
      </c>
      <c r="E8" s="2158" t="s">
        <v>360</v>
      </c>
    </row>
    <row r="9" spans="1:10" ht="12" customHeight="1" thickBot="1" x14ac:dyDescent="0.25">
      <c r="A9"/>
      <c r="B9" s="2094"/>
      <c r="C9" s="268" t="s">
        <v>73</v>
      </c>
      <c r="D9" s="1747" t="s">
        <v>394</v>
      </c>
      <c r="E9" s="2159" t="s">
        <v>73</v>
      </c>
    </row>
    <row r="10" spans="1:10" ht="18" customHeight="1" thickTop="1" x14ac:dyDescent="0.2">
      <c r="B10" s="1256" t="s">
        <v>395</v>
      </c>
      <c r="C10" s="3025"/>
      <c r="D10" s="3025"/>
      <c r="E10" s="420" t="s">
        <v>2146</v>
      </c>
    </row>
    <row r="11" spans="1:10" ht="18" customHeight="1" x14ac:dyDescent="0.2">
      <c r="B11" s="1239" t="s">
        <v>396</v>
      </c>
      <c r="C11" s="3045" t="str">
        <f>IF(E21=0,"NO",E21)</f>
        <v>NO</v>
      </c>
      <c r="D11" s="1913" t="s">
        <v>2147</v>
      </c>
      <c r="E11" s="3061" t="s">
        <v>2146</v>
      </c>
    </row>
    <row r="12" spans="1:10" ht="18" customHeight="1" x14ac:dyDescent="0.2">
      <c r="B12" s="1239" t="s">
        <v>397</v>
      </c>
      <c r="C12" s="3045" t="s">
        <v>2146</v>
      </c>
      <c r="D12" s="1913" t="s">
        <v>2147</v>
      </c>
      <c r="E12" s="3061" t="s">
        <v>2146</v>
      </c>
    </row>
    <row r="13" spans="1:10" ht="18" customHeight="1" x14ac:dyDescent="0.2">
      <c r="B13" s="1239" t="s">
        <v>398</v>
      </c>
      <c r="C13" s="1913" t="str">
        <f>C14</f>
        <v>NA</v>
      </c>
      <c r="D13" s="1913" t="str">
        <f>D14</f>
        <v>NA</v>
      </c>
      <c r="E13" s="3085" t="str">
        <f>E14</f>
        <v>NA</v>
      </c>
    </row>
    <row r="14" spans="1:10" ht="18" customHeight="1" x14ac:dyDescent="0.2">
      <c r="B14" s="2238" t="s">
        <v>2147</v>
      </c>
      <c r="C14" s="3045" t="s">
        <v>2147</v>
      </c>
      <c r="D14" s="1913" t="s">
        <v>2147</v>
      </c>
      <c r="E14" s="3061" t="s">
        <v>2147</v>
      </c>
    </row>
    <row r="15" spans="1:10" ht="18" customHeight="1" x14ac:dyDescent="0.2">
      <c r="B15" s="1257" t="s">
        <v>399</v>
      </c>
      <c r="C15" s="1914"/>
      <c r="D15" s="1914"/>
      <c r="E15" s="3085" t="str">
        <f>E16</f>
        <v>NO</v>
      </c>
      <c r="J15" s="125"/>
    </row>
    <row r="16" spans="1:10" ht="18" customHeight="1" x14ac:dyDescent="0.2">
      <c r="B16" s="1239" t="s">
        <v>400</v>
      </c>
      <c r="C16" s="3045" t="str">
        <f>IF(E21=0,"NO",E21)</f>
        <v>NO</v>
      </c>
      <c r="D16" s="1913" t="str">
        <f>IFERROR(IF(E16=0,"NA",E16*1000000/C16),"NA")</f>
        <v>NA</v>
      </c>
      <c r="E16" s="3061" t="s">
        <v>2146</v>
      </c>
    </row>
    <row r="17" spans="2:5" ht="18" customHeight="1" x14ac:dyDescent="0.2">
      <c r="B17" s="1239" t="s">
        <v>401</v>
      </c>
      <c r="C17" s="3166" t="str">
        <f>IF(SUM(E21)=0,"NO",E21-E16)</f>
        <v>NO</v>
      </c>
      <c r="D17" s="1913" t="s">
        <v>2147</v>
      </c>
      <c r="E17" s="3165" t="s">
        <v>2146</v>
      </c>
    </row>
    <row r="18" spans="2:5" ht="18" customHeight="1" x14ac:dyDescent="0.2">
      <c r="B18" s="2298" t="s">
        <v>402</v>
      </c>
      <c r="C18" s="1913" t="str">
        <f>C19</f>
        <v>NA</v>
      </c>
      <c r="D18" s="1913" t="str">
        <f>D19</f>
        <v>NA</v>
      </c>
      <c r="E18" s="3085" t="str">
        <f>E19</f>
        <v>NA</v>
      </c>
    </row>
    <row r="19" spans="2:5" ht="18" customHeight="1" thickBot="1" x14ac:dyDescent="0.25">
      <c r="B19" s="2593" t="s">
        <v>2147</v>
      </c>
      <c r="C19" s="3167" t="s">
        <v>2147</v>
      </c>
      <c r="D19" s="3168" t="s">
        <v>2147</v>
      </c>
      <c r="E19" s="3169" t="s">
        <v>2147</v>
      </c>
    </row>
    <row r="20" spans="2:5" ht="18" customHeight="1" thickBot="1" x14ac:dyDescent="0.25">
      <c r="B20" s="2381" t="s">
        <v>403</v>
      </c>
      <c r="C20" s="3170"/>
      <c r="D20" s="3170"/>
      <c r="E20" s="3171"/>
    </row>
    <row r="21" spans="2:5" ht="18" customHeight="1" x14ac:dyDescent="0.2">
      <c r="B21" s="2382" t="s">
        <v>404</v>
      </c>
      <c r="C21" s="3172"/>
      <c r="D21" s="3172"/>
      <c r="E21" s="3061" t="s">
        <v>2146</v>
      </c>
    </row>
    <row r="22" spans="2:5" ht="18" customHeight="1" x14ac:dyDescent="0.2">
      <c r="B22" s="1257" t="s">
        <v>405</v>
      </c>
      <c r="C22" s="3173"/>
      <c r="D22" s="3173"/>
      <c r="E22" s="3061" t="s">
        <v>2146</v>
      </c>
    </row>
    <row r="23" spans="2:5" ht="18" customHeight="1" x14ac:dyDescent="0.2">
      <c r="B23" s="2160"/>
      <c r="C23" s="3174"/>
      <c r="D23" s="3175" t="s">
        <v>406</v>
      </c>
      <c r="E23" s="3085" t="str">
        <f>IF(SUM(E21:E22)=0,"NO",SUM(E21:E22))</f>
        <v>NO</v>
      </c>
    </row>
    <row r="24" spans="2:5" ht="18" customHeight="1" x14ac:dyDescent="0.2">
      <c r="B24" s="1257" t="s">
        <v>407</v>
      </c>
      <c r="C24" s="3173"/>
      <c r="D24" s="3173"/>
      <c r="E24" s="3061" t="s">
        <v>2146</v>
      </c>
    </row>
    <row r="25" spans="2:5" ht="18" customHeight="1" x14ac:dyDescent="0.2">
      <c r="B25" s="1257" t="s">
        <v>408</v>
      </c>
      <c r="C25" s="3173"/>
      <c r="D25" s="3173"/>
      <c r="E25" s="3061" t="str">
        <f>C17</f>
        <v>NO</v>
      </c>
    </row>
    <row r="26" spans="2:5" ht="18" customHeight="1" x14ac:dyDescent="0.2">
      <c r="B26" s="1257" t="s">
        <v>409</v>
      </c>
      <c r="C26" s="3173"/>
      <c r="D26" s="3173"/>
      <c r="E26" s="3061" t="s">
        <v>2146</v>
      </c>
    </row>
    <row r="27" spans="2:5" ht="18" customHeight="1" x14ac:dyDescent="0.2">
      <c r="B27" s="1051" t="s">
        <v>410</v>
      </c>
      <c r="C27" s="3173"/>
      <c r="D27" s="3173"/>
      <c r="E27" s="3061" t="str">
        <f>E16</f>
        <v>NO</v>
      </c>
    </row>
    <row r="28" spans="2:5" ht="18" customHeight="1" x14ac:dyDescent="0.2">
      <c r="B28" s="2161"/>
      <c r="C28" s="3176"/>
      <c r="D28" s="3177" t="s">
        <v>411</v>
      </c>
      <c r="E28" s="3085" t="str">
        <f>IF(SUM(E24:E27)=0,"NO",SUM(E24:E27))</f>
        <v>NO</v>
      </c>
    </row>
    <row r="29" spans="2:5" ht="18" customHeight="1" thickBot="1" x14ac:dyDescent="0.25">
      <c r="B29" s="2162"/>
      <c r="C29" s="3178"/>
      <c r="D29" s="3179" t="s">
        <v>412</v>
      </c>
      <c r="E29" s="1173" t="str">
        <f>IF(E23="NO","NA",E23-E28)</f>
        <v>NA</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6"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4">
        <f>100-M9</f>
        <v>40.4265215294377</v>
      </c>
      <c r="M9" s="3358">
        <f>100*C10/SUM(C10,'Table1.A(a)s3'!C16)</f>
        <v>59.5734784705623</v>
      </c>
    </row>
    <row r="10" spans="1:13" ht="18" customHeight="1" thickTop="1" thickBot="1" x14ac:dyDescent="0.25">
      <c r="B10" s="223" t="s">
        <v>430</v>
      </c>
      <c r="C10" s="3338">
        <f>IF(SUM(C11:C13)=0,"NO",SUM(C11:C13))</f>
        <v>181431.200507514</v>
      </c>
      <c r="D10" s="3339"/>
      <c r="E10" s="3340"/>
      <c r="F10" s="3340"/>
      <c r="G10" s="3338">
        <f>IF(SUM(G11:G13)=0,"NO",SUM(G11:G13))</f>
        <v>12627.611555322994</v>
      </c>
      <c r="H10" s="3338">
        <f>IF(SUM(H11:H13)=0,"NO",SUM(H11:H13))</f>
        <v>2.8602901315789478E-2</v>
      </c>
      <c r="I10" s="1154">
        <f>IF(SUM(I11:I13)=0,"NO",SUM(I11:I13))</f>
        <v>6.3199603112108274E-2</v>
      </c>
      <c r="J10" s="4"/>
      <c r="K10" s="68" t="s">
        <v>431</v>
      </c>
      <c r="L10" s="3359">
        <f>100-M10</f>
        <v>40.05964248859415</v>
      </c>
      <c r="M10" s="3360">
        <f>100*C14/SUM(C14,'Table1.A(a)s3'!C88)</f>
        <v>59.94035751140585</v>
      </c>
    </row>
    <row r="11" spans="1:13" ht="18" customHeight="1" x14ac:dyDescent="0.2">
      <c r="B11" s="1258" t="s">
        <v>178</v>
      </c>
      <c r="C11" s="3341">
        <v>181431.200507514</v>
      </c>
      <c r="D11" s="116">
        <f>IF(G11="NO","NA",G11*1000/$C11)</f>
        <v>69.600000000000108</v>
      </c>
      <c r="E11" s="116">
        <f t="shared" ref="E11:F13" si="0">IF(H11="NO","NA",H11*1000000/$C11)</f>
        <v>0.15765150225418303</v>
      </c>
      <c r="F11" s="116">
        <f t="shared" si="0"/>
        <v>0.34833922134297318</v>
      </c>
      <c r="G11" s="3062">
        <v>12627.611555322994</v>
      </c>
      <c r="H11" s="3062">
        <v>2.8602901315789478E-2</v>
      </c>
      <c r="I11" s="3063">
        <v>6.3199603112108274E-2</v>
      </c>
      <c r="J11" s="4"/>
      <c r="K11" s="4"/>
      <c r="L11" s="4"/>
      <c r="M11" s="4"/>
    </row>
    <row r="12" spans="1:13" ht="18" customHeight="1" x14ac:dyDescent="0.2">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25">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
      <c r="B14" s="223" t="s">
        <v>432</v>
      </c>
      <c r="C14" s="3347">
        <f>IF(SUM(C15:C18,C20:C22)=0,"NO",SUM(C15:C18,C20:C22))</f>
        <v>32493.679607031041</v>
      </c>
      <c r="D14" s="3348"/>
      <c r="E14" s="3349"/>
      <c r="F14" s="3350"/>
      <c r="G14" s="3347">
        <f>IF(SUM(G15:G18,G20:G22)=0,"NO",SUM(G15:G18,G20:G22))</f>
        <v>2383.7149079650771</v>
      </c>
      <c r="H14" s="3347">
        <f>IF(SUM(H15:H18,H20:H22)=0,"NO",SUM(H15:H18,H20:H22))</f>
        <v>0.22745575724921721</v>
      </c>
      <c r="I14" s="1155">
        <f>IF(SUM(I15:I18,I20:I22)=0,"NO",SUM(I15:I18,I20:I22))</f>
        <v>6.4987359214062054E-2</v>
      </c>
      <c r="J14" s="4"/>
      <c r="K14" s="1047"/>
      <c r="L14" s="1047"/>
      <c r="M14" s="1047"/>
    </row>
    <row r="15" spans="1:13" ht="18" customHeight="1" x14ac:dyDescent="0.2">
      <c r="B15" s="1260" t="s">
        <v>190</v>
      </c>
      <c r="C15" s="143">
        <v>30380.190117191501</v>
      </c>
      <c r="D15" s="116">
        <f>IF(G15="NO","NA",G15*1000/$C15)</f>
        <v>73.599999999999966</v>
      </c>
      <c r="E15" s="116">
        <f t="shared" ref="E15:F17" si="1">IF(H15="NO","NA",H15*1000000/$C15)</f>
        <v>6.9999999999999973</v>
      </c>
      <c r="F15" s="116">
        <f t="shared" si="1"/>
        <v>1.9999999999999993</v>
      </c>
      <c r="G15" s="3064">
        <v>2235.9819926252935</v>
      </c>
      <c r="H15" s="3064">
        <v>0.21266133082034044</v>
      </c>
      <c r="I15" s="135">
        <v>6.0760380234382981E-2</v>
      </c>
      <c r="J15" s="4"/>
      <c r="K15" s="1047"/>
      <c r="L15" s="1047"/>
      <c r="M15" s="1047"/>
    </row>
    <row r="16" spans="1:13" ht="18" customHeight="1" x14ac:dyDescent="0.2">
      <c r="B16" s="1260" t="s">
        <v>191</v>
      </c>
      <c r="C16" s="3351">
        <v>2113.4894898395401</v>
      </c>
      <c r="D16" s="116">
        <f>IF(G16="NO","NA",G16*1000/$C16)</f>
        <v>69.899999999999892</v>
      </c>
      <c r="E16" s="116">
        <f t="shared" si="1"/>
        <v>6.9999999999999893</v>
      </c>
      <c r="F16" s="116">
        <f t="shared" si="1"/>
        <v>1.9999999999999964</v>
      </c>
      <c r="G16" s="3064">
        <v>147.73291533978363</v>
      </c>
      <c r="H16" s="3064">
        <v>1.4794426428876756E-2</v>
      </c>
      <c r="I16" s="135">
        <v>4.2269789796790733E-3</v>
      </c>
      <c r="J16" s="4"/>
      <c r="K16" s="1047"/>
      <c r="L16" s="1047"/>
      <c r="M16" s="1047"/>
    </row>
    <row r="17" spans="2:13" ht="18" customHeight="1" x14ac:dyDescent="0.2">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25">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25">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74" t="s">
        <v>2177</v>
      </c>
      <c r="C43" s="4475"/>
      <c r="D43" s="4475"/>
      <c r="E43" s="4475"/>
      <c r="F43" s="4475"/>
      <c r="G43" s="4475"/>
      <c r="H43" s="4475"/>
      <c r="I43" s="4476"/>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6" t="s">
        <v>64</v>
      </c>
      <c r="N7" s="137"/>
    </row>
    <row r="8" spans="1:15" ht="49.5" x14ac:dyDescent="0.2">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4.25" thickBot="1" x14ac:dyDescent="0.25">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25">
      <c r="B10" s="1262" t="s">
        <v>443</v>
      </c>
      <c r="C10" s="3019">
        <f>IF(SUM(C11,C16,C27,C35,C39,C45,C52,C57)=0,"NO",SUM(C11,C16,C27,C35,C39,C45,C52,C57))</f>
        <v>19179.871818340896</v>
      </c>
      <c r="D10" s="2913">
        <f t="shared" ref="D10:N10" si="0">IF(SUM(D11,D16,D27,D35,D39,D45,D52,D57)=0,"NO",SUM(D11,D16,D27,D35,D39,D45,D52,D57))</f>
        <v>2.7870911391122748</v>
      </c>
      <c r="E10" s="2913">
        <f t="shared" si="0"/>
        <v>4.7944999637249897</v>
      </c>
      <c r="F10" s="2913">
        <f t="shared" si="0"/>
        <v>9705.2434129086068</v>
      </c>
      <c r="G10" s="2913">
        <f t="shared" si="0"/>
        <v>202.24755821344587</v>
      </c>
      <c r="H10" s="2913" t="str">
        <f t="shared" si="0"/>
        <v>NO</v>
      </c>
      <c r="I10" s="2913">
        <f t="shared" si="0"/>
        <v>5.1370678230775032E-3</v>
      </c>
      <c r="J10" s="2913" t="str">
        <f t="shared" si="0"/>
        <v>NO</v>
      </c>
      <c r="K10" s="2913">
        <f t="shared" si="0"/>
        <v>6.7562154829764678</v>
      </c>
      <c r="L10" s="2914">
        <f t="shared" si="0"/>
        <v>16.176381696900314</v>
      </c>
      <c r="M10" s="2915">
        <f t="shared" si="0"/>
        <v>239.50317016076968</v>
      </c>
      <c r="N10" s="2916">
        <f t="shared" si="0"/>
        <v>1820.7083497486303</v>
      </c>
      <c r="O10" s="3020">
        <f t="shared" ref="O10:O58" si="1">IF(SUM(C10:J10)=0,"NO",SUM(C10,F10:H10)+28*SUM(D10)+265*SUM(E10)+23500*SUM(I10)+16100*SUM(J10))</f>
        <v>30556.664925587535</v>
      </c>
    </row>
    <row r="11" spans="1:15" ht="18" customHeight="1" x14ac:dyDescent="0.2">
      <c r="B11" s="1263" t="s">
        <v>444</v>
      </c>
      <c r="C11" s="2137">
        <f>IF(SUM(C12:C15)=0,"NO",SUM(C12:C15))</f>
        <v>5691.6739853939707</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5691.6739853939707</v>
      </c>
    </row>
    <row r="12" spans="1:15" ht="18" customHeight="1" x14ac:dyDescent="0.2">
      <c r="B12" s="1264" t="s">
        <v>445</v>
      </c>
      <c r="C12" s="2920">
        <f>'Table2(I).A-H'!H11</f>
        <v>2930.8547079661002</v>
      </c>
      <c r="D12" s="2136"/>
      <c r="E12" s="2136"/>
      <c r="F12" s="628"/>
      <c r="G12" s="628"/>
      <c r="H12" s="2135"/>
      <c r="I12" s="628"/>
      <c r="J12" s="2135"/>
      <c r="K12" s="2135"/>
      <c r="L12" s="2135"/>
      <c r="M12" s="2135"/>
      <c r="N12" s="2919" t="s">
        <v>2146</v>
      </c>
      <c r="O12" s="2934">
        <f t="shared" si="1"/>
        <v>2930.8547079661002</v>
      </c>
    </row>
    <row r="13" spans="1:15" ht="18" customHeight="1" x14ac:dyDescent="0.2">
      <c r="B13" s="1264" t="s">
        <v>446</v>
      </c>
      <c r="C13" s="1878">
        <f>'Table2(I).A-H'!H12</f>
        <v>1050.7862432792228</v>
      </c>
      <c r="D13" s="2108"/>
      <c r="E13" s="2108"/>
      <c r="F13" s="628"/>
      <c r="G13" s="628"/>
      <c r="H13" s="2135"/>
      <c r="I13" s="628"/>
      <c r="J13" s="2135"/>
      <c r="K13" s="628"/>
      <c r="L13" s="628"/>
      <c r="M13" s="628"/>
      <c r="N13" s="1838"/>
      <c r="O13" s="1880">
        <f t="shared" si="1"/>
        <v>1050.7862432792228</v>
      </c>
    </row>
    <row r="14" spans="1:15" ht="18" customHeight="1" x14ac:dyDescent="0.2">
      <c r="B14" s="1264" t="s">
        <v>447</v>
      </c>
      <c r="C14" s="1878">
        <f>'Table2(I).A-H'!H13</f>
        <v>75.722066232123012</v>
      </c>
      <c r="D14" s="2108"/>
      <c r="E14" s="2108"/>
      <c r="F14" s="628"/>
      <c r="G14" s="628"/>
      <c r="H14" s="2135"/>
      <c r="I14" s="628"/>
      <c r="J14" s="2135"/>
      <c r="K14" s="628"/>
      <c r="L14" s="628"/>
      <c r="M14" s="628"/>
      <c r="N14" s="1838"/>
      <c r="O14" s="1880">
        <f t="shared" si="1"/>
        <v>75.722066232123012</v>
      </c>
    </row>
    <row r="15" spans="1:15" ht="18" customHeight="1" thickBot="1" x14ac:dyDescent="0.25">
      <c r="B15" s="1264" t="s">
        <v>448</v>
      </c>
      <c r="C15" s="1878">
        <f>'Table2(I).A-H'!H14</f>
        <v>1634.3109679165245</v>
      </c>
      <c r="D15" s="1879"/>
      <c r="E15" s="1879"/>
      <c r="F15" s="3021"/>
      <c r="G15" s="3021"/>
      <c r="H15" s="3021"/>
      <c r="I15" s="3021"/>
      <c r="J15" s="3021"/>
      <c r="K15" s="2606" t="s">
        <v>2146</v>
      </c>
      <c r="L15" s="2606" t="s">
        <v>2146</v>
      </c>
      <c r="M15" s="2606" t="s">
        <v>2146</v>
      </c>
      <c r="N15" s="2607" t="s">
        <v>2146</v>
      </c>
      <c r="O15" s="1880">
        <f t="shared" si="1"/>
        <v>1634.3109679165245</v>
      </c>
    </row>
    <row r="16" spans="1:15" ht="18" customHeight="1" x14ac:dyDescent="0.2">
      <c r="B16" s="1265" t="s">
        <v>449</v>
      </c>
      <c r="C16" s="2137">
        <f>IF(SUM(C17:C26)=0,"NO",SUM(C17:C26))</f>
        <v>3099.2192149103885</v>
      </c>
      <c r="D16" s="2137">
        <f t="shared" ref="D16:N16" si="3">IF(SUM(D17:D26)=0,"NO",SUM(D17:D26))</f>
        <v>0.5417227</v>
      </c>
      <c r="E16" s="2137">
        <f t="shared" si="3"/>
        <v>4.7422822444604087</v>
      </c>
      <c r="F16" s="2138" t="str">
        <f t="shared" si="3"/>
        <v>NO</v>
      </c>
      <c r="G16" s="2138" t="str">
        <f t="shared" si="3"/>
        <v>NO</v>
      </c>
      <c r="H16" s="2138" t="str">
        <f t="shared" si="3"/>
        <v>NO</v>
      </c>
      <c r="I16" s="2138" t="str">
        <f t="shared" si="3"/>
        <v>NO</v>
      </c>
      <c r="J16" s="2138" t="str">
        <f t="shared" si="3"/>
        <v>NO</v>
      </c>
      <c r="K16" s="2920" t="str">
        <f t="shared" si="3"/>
        <v>NO</v>
      </c>
      <c r="L16" s="2137" t="str">
        <f t="shared" si="3"/>
        <v>NO</v>
      </c>
      <c r="M16" s="2137">
        <f t="shared" si="3"/>
        <v>2.8425606806999988</v>
      </c>
      <c r="N16" s="2918" t="str">
        <f t="shared" si="3"/>
        <v>NO</v>
      </c>
      <c r="O16" s="2941">
        <f t="shared" si="1"/>
        <v>4371.0922452923969</v>
      </c>
    </row>
    <row r="17" spans="2:15" ht="18" customHeight="1" x14ac:dyDescent="0.2">
      <c r="B17" s="1266" t="s">
        <v>450</v>
      </c>
      <c r="C17" s="2920">
        <f>SUM('Table2(I).A-H'!H23,'Table2(I).A-H'!K23:L23)</f>
        <v>2370.0796681739298</v>
      </c>
      <c r="D17" s="2139" t="str">
        <f>'Table2(I).A-H'!I23</f>
        <v>NO</v>
      </c>
      <c r="E17" s="2139" t="str">
        <f>'Table2(I).A-H'!J23</f>
        <v>NO</v>
      </c>
      <c r="F17" s="2135"/>
      <c r="G17" s="2135"/>
      <c r="H17" s="2135"/>
      <c r="I17" s="2135"/>
      <c r="J17" s="2135"/>
      <c r="K17" s="692" t="s">
        <v>2146</v>
      </c>
      <c r="L17" s="692" t="s">
        <v>2146</v>
      </c>
      <c r="M17" s="692" t="s">
        <v>2146</v>
      </c>
      <c r="N17" s="692" t="s">
        <v>2146</v>
      </c>
      <c r="O17" s="2934">
        <f t="shared" si="1"/>
        <v>2370.0796681739298</v>
      </c>
    </row>
    <row r="18" spans="2:15" ht="18" customHeight="1" x14ac:dyDescent="0.2">
      <c r="B18" s="1264" t="s">
        <v>451</v>
      </c>
      <c r="C18" s="1910"/>
      <c r="D18" s="2136"/>
      <c r="E18" s="2139">
        <f>'Table2(I).A-H'!J24</f>
        <v>4.7422822444604087</v>
      </c>
      <c r="F18" s="628"/>
      <c r="G18" s="628"/>
      <c r="H18" s="2135"/>
      <c r="I18" s="628"/>
      <c r="J18" s="2135"/>
      <c r="K18" s="692" t="s">
        <v>2146</v>
      </c>
      <c r="L18" s="628"/>
      <c r="M18" s="628"/>
      <c r="N18" s="1838"/>
      <c r="O18" s="2934">
        <f t="shared" si="1"/>
        <v>1256.7047947820083</v>
      </c>
    </row>
    <row r="19" spans="2:15" ht="18" customHeight="1" x14ac:dyDescent="0.2">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
      <c r="B22" s="1264" t="s">
        <v>455</v>
      </c>
      <c r="C22" s="1878">
        <f>'Table2(I).A-H'!H33</f>
        <v>675.32049151875003</v>
      </c>
      <c r="D22" s="1914"/>
      <c r="E22" s="628"/>
      <c r="F22" s="628"/>
      <c r="G22" s="628"/>
      <c r="H22" s="2135"/>
      <c r="I22" s="628"/>
      <c r="J22" s="2135"/>
      <c r="K22" s="1914"/>
      <c r="L22" s="1914"/>
      <c r="M22" s="1914"/>
      <c r="N22" s="2921"/>
      <c r="O22" s="1880">
        <f t="shared" si="1"/>
        <v>675.32049151875003</v>
      </c>
    </row>
    <row r="23" spans="2:15" ht="18" customHeight="1" x14ac:dyDescent="0.2">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
      <c r="B24" s="1264" t="s">
        <v>457</v>
      </c>
      <c r="C24" s="1878">
        <f>'Table2(I).A-H'!H35</f>
        <v>36.22110450000001</v>
      </c>
      <c r="D24" s="1878">
        <f>'Table2(I).A-H'!I35</f>
        <v>0.5417227</v>
      </c>
      <c r="E24" s="628"/>
      <c r="F24" s="628"/>
      <c r="G24" s="628"/>
      <c r="H24" s="2135"/>
      <c r="I24" s="628"/>
      <c r="J24" s="2135"/>
      <c r="K24" s="692" t="s">
        <v>2146</v>
      </c>
      <c r="L24" s="692" t="s">
        <v>2146</v>
      </c>
      <c r="M24" s="691">
        <v>2.8425606806999988</v>
      </c>
      <c r="N24" s="692" t="s">
        <v>2146</v>
      </c>
      <c r="O24" s="1880">
        <f t="shared" si="1"/>
        <v>51.389340100000013</v>
      </c>
    </row>
    <row r="25" spans="2:15" ht="18" customHeight="1" x14ac:dyDescent="0.2">
      <c r="B25" s="1264" t="s">
        <v>458</v>
      </c>
      <c r="C25" s="1914"/>
      <c r="D25" s="1914"/>
      <c r="E25" s="628"/>
      <c r="F25" s="2140" t="str">
        <f>'Table2(II)'!W40</f>
        <v>NO</v>
      </c>
      <c r="G25" s="2140" t="str">
        <f>'Table2(II)'!AH40</f>
        <v>NO</v>
      </c>
      <c r="H25" s="2139" t="str">
        <f>'Table2(II)'!AI40</f>
        <v>NO</v>
      </c>
      <c r="I25" s="2140" t="str">
        <f>'Table2(II)'!AJ40</f>
        <v>NO</v>
      </c>
      <c r="J25" s="2139" t="str">
        <f>'Table2(II)'!AK40</f>
        <v>NO</v>
      </c>
      <c r="K25" s="1914"/>
      <c r="L25" s="1914"/>
      <c r="M25" s="1914"/>
      <c r="N25" s="2921"/>
      <c r="O25" s="1880" t="str">
        <f t="shared" si="1"/>
        <v>NO</v>
      </c>
    </row>
    <row r="26" spans="2:15" ht="18" customHeight="1" thickBot="1" x14ac:dyDescent="0.25">
      <c r="B26" s="1264" t="s">
        <v>2110</v>
      </c>
      <c r="C26" s="1878">
        <f>'Table2(I).A-H'!H47</f>
        <v>17.597950717708464</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17.597950717708464</v>
      </c>
    </row>
    <row r="27" spans="2:15" ht="18" customHeight="1" x14ac:dyDescent="0.2">
      <c r="B27" s="1263" t="s">
        <v>459</v>
      </c>
      <c r="C27" s="2137">
        <f>IF(SUM(C28:C34)=0,"NO",SUM(C28:C34))</f>
        <v>9904.9580408883448</v>
      </c>
      <c r="D27" s="2137">
        <f t="shared" ref="D27:N27" si="4">IF(SUM(D28:D34)=0,"NO",SUM(D28:D34))</f>
        <v>2.2453684391122746</v>
      </c>
      <c r="E27" s="2137">
        <f t="shared" si="4"/>
        <v>5.2217719264580575E-2</v>
      </c>
      <c r="F27" s="2138" t="str">
        <f t="shared" si="4"/>
        <v>NO</v>
      </c>
      <c r="G27" s="2138">
        <f t="shared" si="4"/>
        <v>202.24755821344587</v>
      </c>
      <c r="H27" s="2138" t="str">
        <f t="shared" si="4"/>
        <v>NO</v>
      </c>
      <c r="I27" s="2138" t="str">
        <f t="shared" si="4"/>
        <v>NO</v>
      </c>
      <c r="J27" s="2138" t="str">
        <f t="shared" si="4"/>
        <v>NO</v>
      </c>
      <c r="K27" s="2137">
        <f t="shared" si="4"/>
        <v>6.7562154829764678</v>
      </c>
      <c r="L27" s="2137">
        <f t="shared" si="4"/>
        <v>16.176381696900314</v>
      </c>
      <c r="M27" s="2917">
        <f t="shared" si="4"/>
        <v>6.3571896325627722E-2</v>
      </c>
      <c r="N27" s="2918">
        <f t="shared" si="4"/>
        <v>1820.7083497486303</v>
      </c>
      <c r="O27" s="2941">
        <f t="shared" si="1"/>
        <v>10183.91361100205</v>
      </c>
    </row>
    <row r="28" spans="2:15" ht="18" customHeight="1" x14ac:dyDescent="0.2">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
      <c r="B30" s="1264" t="s">
        <v>462</v>
      </c>
      <c r="C30" s="1878">
        <f>'Table2(I).A-H'!H63</f>
        <v>2305.3526813911708</v>
      </c>
      <c r="D30" s="1879"/>
      <c r="E30" s="628"/>
      <c r="F30" s="628"/>
      <c r="G30" s="2140">
        <f>SUM('Table2(II)'!X41:Y41)</f>
        <v>202.24755821344587</v>
      </c>
      <c r="H30" s="2136"/>
      <c r="I30" s="2142" t="s">
        <v>2146</v>
      </c>
      <c r="J30" s="2135"/>
      <c r="K30" s="691" t="s">
        <v>2147</v>
      </c>
      <c r="L30" s="691" t="s">
        <v>2147</v>
      </c>
      <c r="M30" s="691" t="s">
        <v>2147</v>
      </c>
      <c r="N30" s="2911">
        <v>42.19141596</v>
      </c>
      <c r="O30" s="1880">
        <f t="shared" si="1"/>
        <v>2507.6002396046165</v>
      </c>
    </row>
    <row r="31" spans="2:15" ht="18" customHeight="1" x14ac:dyDescent="0.2">
      <c r="B31" s="1267" t="s">
        <v>463</v>
      </c>
      <c r="C31" s="1878" t="str">
        <f>'Table2(I).A-H'!H64</f>
        <v>NO</v>
      </c>
      <c r="D31" s="2143"/>
      <c r="E31" s="2108"/>
      <c r="F31" s="2139" t="s">
        <v>2146</v>
      </c>
      <c r="G31" s="2139" t="s">
        <v>2146</v>
      </c>
      <c r="H31" s="2139" t="s">
        <v>2146</v>
      </c>
      <c r="I31" s="3022" t="str">
        <f>IFERROR('Table2(II).B-Hs1'!G28/1000,'Table2(II).B-Hs1'!G28)</f>
        <v>NO</v>
      </c>
      <c r="J31" s="2135"/>
      <c r="K31" s="691" t="s">
        <v>2147</v>
      </c>
      <c r="L31" s="691" t="s">
        <v>2147</v>
      </c>
      <c r="M31" s="691" t="s">
        <v>2147</v>
      </c>
      <c r="N31" s="2911" t="s">
        <v>2147</v>
      </c>
      <c r="O31" s="2145" t="str">
        <f t="shared" si="1"/>
        <v>NO</v>
      </c>
    </row>
    <row r="32" spans="2:15" ht="18" customHeight="1" x14ac:dyDescent="0.2">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25">
      <c r="B34" s="1269" t="s">
        <v>2109</v>
      </c>
      <c r="C34" s="1881">
        <f>'Table2(I).A-H'!H67</f>
        <v>7599.6053594971745</v>
      </c>
      <c r="D34" s="1881">
        <f>'Table2(I).A-H'!I67</f>
        <v>2.2453684391122746</v>
      </c>
      <c r="E34" s="1881">
        <f>'Table2(I).A-H'!J67</f>
        <v>5.2217719264580575E-2</v>
      </c>
      <c r="F34" s="2146" t="s">
        <v>2146</v>
      </c>
      <c r="G34" s="2146" t="s">
        <v>2146</v>
      </c>
      <c r="H34" s="2146" t="s">
        <v>2146</v>
      </c>
      <c r="I34" s="2146" t="s">
        <v>2146</v>
      </c>
      <c r="J34" s="2146" t="s">
        <v>2146</v>
      </c>
      <c r="K34" s="2606">
        <v>6.7562154829764678</v>
      </c>
      <c r="L34" s="2606">
        <v>16.176381696900314</v>
      </c>
      <c r="M34" s="2606">
        <v>6.3571896325627722E-2</v>
      </c>
      <c r="N34" s="2607">
        <v>1778.5169337886302</v>
      </c>
      <c r="O34" s="1882">
        <f t="shared" si="1"/>
        <v>7676.3133713974321</v>
      </c>
    </row>
    <row r="35" spans="2:15" ht="18" customHeight="1" x14ac:dyDescent="0.2">
      <c r="B35" s="2470" t="s">
        <v>2014</v>
      </c>
      <c r="C35" s="2920">
        <f>IF(SUM(C36:C38)=0,"NO",SUM(C36:C38))</f>
        <v>211.18624259999996</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189.05247598921932</v>
      </c>
      <c r="N35" s="2048" t="str">
        <f t="shared" ref="N35" si="7">IF(SUM(N36:N38)=0,"NO",SUM(N36:N38))</f>
        <v>NO</v>
      </c>
      <c r="O35" s="2934">
        <f t="shared" si="1"/>
        <v>211.18624259999996</v>
      </c>
    </row>
    <row r="36" spans="2:15" ht="18" customHeight="1" x14ac:dyDescent="0.2">
      <c r="B36" s="1270" t="s">
        <v>466</v>
      </c>
      <c r="C36" s="1878">
        <f>'Table2(I).A-H'!H73</f>
        <v>211.18624259999996</v>
      </c>
      <c r="D36" s="2140" t="str">
        <f>'Table2(I).A-H'!I73</f>
        <v>NO</v>
      </c>
      <c r="E36" s="2140" t="str">
        <f>'Table2(I).A-H'!J73</f>
        <v>NO</v>
      </c>
      <c r="F36" s="628"/>
      <c r="G36" s="628"/>
      <c r="H36" s="2135"/>
      <c r="I36" s="628"/>
      <c r="J36" s="2135"/>
      <c r="K36" s="2147" t="s">
        <v>2147</v>
      </c>
      <c r="L36" s="2147" t="s">
        <v>2147</v>
      </c>
      <c r="M36" s="691" t="s">
        <v>2147</v>
      </c>
      <c r="N36" s="2141" t="s">
        <v>2147</v>
      </c>
      <c r="O36" s="1880">
        <f t="shared" si="1"/>
        <v>211.18624259999996</v>
      </c>
    </row>
    <row r="37" spans="2:15" ht="18" customHeight="1" x14ac:dyDescent="0.2">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25">
      <c r="B38" s="1271" t="s">
        <v>468</v>
      </c>
      <c r="C38" s="2152" t="str">
        <f>'Table2(I).A-H'!H75</f>
        <v>NO</v>
      </c>
      <c r="D38" s="2152" t="str">
        <f>'Table2(I).A-H'!I75</f>
        <v>NO</v>
      </c>
      <c r="E38" s="2152" t="str">
        <f>'Table2(I).A-H'!J75</f>
        <v>NO</v>
      </c>
      <c r="F38" s="3024"/>
      <c r="G38" s="3024"/>
      <c r="H38" s="3024"/>
      <c r="I38" s="3024"/>
      <c r="J38" s="1923"/>
      <c r="K38" s="2606" t="s">
        <v>2146</v>
      </c>
      <c r="L38" s="2606" t="s">
        <v>2146</v>
      </c>
      <c r="M38" s="2606">
        <v>189.05247598921932</v>
      </c>
      <c r="N38" s="2607" t="s">
        <v>2146</v>
      </c>
      <c r="O38" s="2148" t="str">
        <f t="shared" si="1"/>
        <v>NO</v>
      </c>
    </row>
    <row r="39" spans="2:15" ht="18" customHeight="1" x14ac:dyDescent="0.2">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25">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
      <c r="B45" s="2472" t="s">
        <v>666</v>
      </c>
      <c r="C45" s="1929"/>
      <c r="D45" s="1929"/>
      <c r="E45" s="1929"/>
      <c r="F45" s="2137">
        <f>IF(SUM(F46:F51)=0,"NO",SUM(F46:F51))</f>
        <v>9705.2434129086068</v>
      </c>
      <c r="G45" s="2137" t="str">
        <f t="shared" ref="G45:J45" si="9">IF(SUM(G46:G51)=0,"NO",SUM(G46:G51))</f>
        <v>NO</v>
      </c>
      <c r="H45" s="2920" t="str">
        <f t="shared" si="9"/>
        <v>NO</v>
      </c>
      <c r="I45" s="2920" t="str">
        <f t="shared" si="9"/>
        <v>NO</v>
      </c>
      <c r="J45" s="2139" t="str">
        <f t="shared" si="9"/>
        <v>NO</v>
      </c>
      <c r="K45" s="1929"/>
      <c r="L45" s="1929"/>
      <c r="M45" s="1929"/>
      <c r="N45" s="2153"/>
      <c r="O45" s="2941">
        <f t="shared" si="1"/>
        <v>9705.2434129086068</v>
      </c>
    </row>
    <row r="46" spans="2:15" ht="18" customHeight="1" x14ac:dyDescent="0.2">
      <c r="B46" s="1270" t="s">
        <v>474</v>
      </c>
      <c r="C46" s="628"/>
      <c r="D46" s="628"/>
      <c r="E46" s="628"/>
      <c r="F46" s="1878">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9327.3817338793342</v>
      </c>
      <c r="G46" s="1878" t="s">
        <v>2146</v>
      </c>
      <c r="H46" s="1878" t="s">
        <v>2146</v>
      </c>
      <c r="I46" s="1878" t="s">
        <v>2146</v>
      </c>
      <c r="J46" s="2139" t="str">
        <f t="shared" ref="J46" si="10">IF(SUM(J47:J52)=0,"NO",SUM(J47:J52))</f>
        <v>NO</v>
      </c>
      <c r="K46" s="628"/>
      <c r="L46" s="628"/>
      <c r="M46" s="628"/>
      <c r="N46" s="1838"/>
      <c r="O46" s="1880">
        <f t="shared" si="1"/>
        <v>9327.3817338793342</v>
      </c>
    </row>
    <row r="47" spans="2:15" ht="18" customHeight="1" x14ac:dyDescent="0.2">
      <c r="B47" s="1270" t="s">
        <v>475</v>
      </c>
      <c r="C47" s="628"/>
      <c r="D47" s="628"/>
      <c r="E47" s="628"/>
      <c r="F47" s="1878">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50.372066620129296</v>
      </c>
      <c r="G47" s="1878" t="s">
        <v>2146</v>
      </c>
      <c r="H47" s="1878" t="s">
        <v>2146</v>
      </c>
      <c r="I47" s="1878" t="s">
        <v>2146</v>
      </c>
      <c r="J47" s="2139" t="str">
        <f t="shared" ref="J47" si="11">IF(SUM(J48:J53)=0,"NO",SUM(J48:J53))</f>
        <v>NO</v>
      </c>
      <c r="K47" s="628"/>
      <c r="L47" s="628"/>
      <c r="M47" s="628"/>
      <c r="N47" s="1838"/>
      <c r="O47" s="1880">
        <f t="shared" si="1"/>
        <v>50.372066620129296</v>
      </c>
    </row>
    <row r="48" spans="2:15" ht="18" customHeight="1" x14ac:dyDescent="0.2">
      <c r="B48" s="1270" t="s">
        <v>476</v>
      </c>
      <c r="C48" s="628"/>
      <c r="D48" s="628"/>
      <c r="E48" s="628"/>
      <c r="F48" s="1878">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81.817005775186203</v>
      </c>
      <c r="G48" s="1878" t="s">
        <v>2146</v>
      </c>
      <c r="H48" s="1878" t="s">
        <v>2146</v>
      </c>
      <c r="I48" s="1878" t="s">
        <v>2146</v>
      </c>
      <c r="J48" s="2139" t="str">
        <f t="shared" ref="J48" si="12">IF(SUM(J49:J54)=0,"NO",SUM(J49:J54))</f>
        <v>NO</v>
      </c>
      <c r="K48" s="628"/>
      <c r="L48" s="628"/>
      <c r="M48" s="628"/>
      <c r="N48" s="1838"/>
      <c r="O48" s="1880">
        <f t="shared" si="1"/>
        <v>81.817005775186203</v>
      </c>
    </row>
    <row r="49" spans="2:15" ht="18" customHeight="1" x14ac:dyDescent="0.2">
      <c r="B49" s="1270" t="s">
        <v>477</v>
      </c>
      <c r="C49" s="628"/>
      <c r="D49" s="628"/>
      <c r="E49" s="628"/>
      <c r="F49" s="1878">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118.90235855980723</v>
      </c>
      <c r="G49" s="1878" t="s">
        <v>2146</v>
      </c>
      <c r="H49" s="1878" t="s">
        <v>2146</v>
      </c>
      <c r="I49" s="1878" t="s">
        <v>2146</v>
      </c>
      <c r="J49" s="2139" t="str">
        <f t="shared" ref="J49" si="13">IF(SUM(J50:J55)=0,"NO",SUM(J50:J55))</f>
        <v>NO</v>
      </c>
      <c r="K49" s="628"/>
      <c r="L49" s="628"/>
      <c r="M49" s="628"/>
      <c r="N49" s="1838"/>
      <c r="O49" s="1880">
        <f t="shared" si="1"/>
        <v>118.90235855980723</v>
      </c>
    </row>
    <row r="50" spans="2:15" ht="18" customHeight="1" x14ac:dyDescent="0.2">
      <c r="B50" s="1270" t="s">
        <v>478</v>
      </c>
      <c r="C50" s="628"/>
      <c r="D50" s="628"/>
      <c r="E50" s="628"/>
      <c r="F50" s="1878">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126.77024807414749</v>
      </c>
      <c r="G50" s="1878" t="s">
        <v>2146</v>
      </c>
      <c r="H50" s="1878" t="s">
        <v>2146</v>
      </c>
      <c r="I50" s="1878" t="s">
        <v>2146</v>
      </c>
      <c r="J50" s="2139" t="str">
        <f t="shared" ref="J50" si="14">IF(SUM(J51:J56)=0,"NO",SUM(J51:J56))</f>
        <v>NO</v>
      </c>
      <c r="K50" s="628"/>
      <c r="L50" s="628"/>
      <c r="M50" s="628"/>
      <c r="N50" s="1838"/>
      <c r="O50" s="1880">
        <f t="shared" si="1"/>
        <v>126.77024807414749</v>
      </c>
    </row>
    <row r="51" spans="2:15" ht="18" customHeight="1" thickBot="1" x14ac:dyDescent="0.25">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5.1370678230775032E-3</v>
      </c>
      <c r="J52" s="2139" t="str">
        <f t="shared" si="16"/>
        <v>NO</v>
      </c>
      <c r="K52" s="2139" t="str">
        <f t="shared" si="16"/>
        <v>NO</v>
      </c>
      <c r="L52" s="2139" t="str">
        <f t="shared" si="16"/>
        <v>NO</v>
      </c>
      <c r="M52" s="2139" t="str">
        <f t="shared" si="16"/>
        <v>NO</v>
      </c>
      <c r="N52" s="2048" t="str">
        <f t="shared" si="16"/>
        <v>NO</v>
      </c>
      <c r="O52" s="2934">
        <f t="shared" si="1"/>
        <v>120.72109384232132</v>
      </c>
    </row>
    <row r="53" spans="2:15" ht="18" customHeight="1" x14ac:dyDescent="0.2">
      <c r="B53" s="1270" t="s">
        <v>481</v>
      </c>
      <c r="C53" s="2135"/>
      <c r="D53" s="2135"/>
      <c r="E53" s="2135"/>
      <c r="F53" s="2920" t="s">
        <v>2146</v>
      </c>
      <c r="G53" s="2920" t="s">
        <v>2146</v>
      </c>
      <c r="H53" s="2920" t="s">
        <v>2146</v>
      </c>
      <c r="I53" s="2920">
        <f>SUM('Table2(II).B-Hs2'!J163:M163)/1000</f>
        <v>4.3001595785409829E-3</v>
      </c>
      <c r="J53" s="2920" t="s">
        <v>2146</v>
      </c>
      <c r="K53" s="2135"/>
      <c r="L53" s="2135"/>
      <c r="M53" s="2135"/>
      <c r="N53" s="2149"/>
      <c r="O53" s="2934">
        <f t="shared" si="1"/>
        <v>101.0537500957131</v>
      </c>
    </row>
    <row r="54" spans="2:15" ht="18" customHeight="1" x14ac:dyDescent="0.2">
      <c r="B54" s="1270" t="s">
        <v>482</v>
      </c>
      <c r="C54" s="2135"/>
      <c r="D54" s="2135"/>
      <c r="E54" s="2135"/>
      <c r="F54" s="2135"/>
      <c r="G54" s="2920" t="s">
        <v>2146</v>
      </c>
      <c r="H54" s="3025"/>
      <c r="I54" s="2920">
        <f>SUM('Table2(II).B-Hs2'!J165:M165)/1000</f>
        <v>8.3690824453652008E-4</v>
      </c>
      <c r="J54" s="2135"/>
      <c r="K54" s="2135"/>
      <c r="L54" s="2135"/>
      <c r="M54" s="2135"/>
      <c r="N54" s="2149"/>
      <c r="O54" s="2934">
        <f t="shared" si="1"/>
        <v>19.667343746608221</v>
      </c>
    </row>
    <row r="55" spans="2:15" ht="18" customHeight="1" x14ac:dyDescent="0.2">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25">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
      <c r="B57" s="2471" t="s">
        <v>2107</v>
      </c>
      <c r="C57" s="2501">
        <f t="shared" ref="C57:M57" si="17">C58</f>
        <v>272.83433454819283</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47.544561594524723</v>
      </c>
      <c r="N57" s="2073" t="str">
        <f>N58</f>
        <v>NA</v>
      </c>
      <c r="O57" s="2941">
        <f t="shared" si="1"/>
        <v>272.83433454819283</v>
      </c>
    </row>
    <row r="58" spans="2:15" ht="18" customHeight="1" thickBot="1" x14ac:dyDescent="0.25">
      <c r="B58" s="2596" t="s">
        <v>2180</v>
      </c>
      <c r="C58" s="2500">
        <f>'Table2(I).A-H'!H97</f>
        <v>272.83433454819283</v>
      </c>
      <c r="D58" s="2500" t="str">
        <f>'Table2(I).A-H'!I97</f>
        <v>NO</v>
      </c>
      <c r="E58" s="2500" t="str">
        <f>'Table2(I).A-H'!J97</f>
        <v>NO</v>
      </c>
      <c r="F58" s="2500" t="s">
        <v>2146</v>
      </c>
      <c r="G58" s="2500" t="s">
        <v>2146</v>
      </c>
      <c r="H58" s="2500" t="s">
        <v>2146</v>
      </c>
      <c r="I58" s="2500" t="s">
        <v>2146</v>
      </c>
      <c r="J58" s="2500" t="s">
        <v>2146</v>
      </c>
      <c r="K58" s="2912" t="s">
        <v>2147</v>
      </c>
      <c r="L58" s="2912" t="s">
        <v>2147</v>
      </c>
      <c r="M58" s="2912">
        <v>47.544561594524723</v>
      </c>
      <c r="N58" s="2922" t="s">
        <v>2147</v>
      </c>
      <c r="O58" s="2925">
        <f t="shared" si="1"/>
        <v>272.83433454819283</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468"/>
      <c r="C75" s="4469"/>
      <c r="D75" s="4469"/>
      <c r="E75" s="4469"/>
      <c r="F75" s="4469"/>
      <c r="G75" s="4469"/>
      <c r="H75" s="4469"/>
      <c r="I75" s="4469"/>
      <c r="J75" s="4469"/>
      <c r="K75" s="4469"/>
      <c r="L75" s="4469"/>
      <c r="M75" s="4469"/>
      <c r="N75" s="4469"/>
      <c r="O75" s="4470"/>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25">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5" x14ac:dyDescent="0.2">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4.25" thickBot="1" x14ac:dyDescent="0.25">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
      <c r="B10" s="1288" t="s">
        <v>2100</v>
      </c>
      <c r="C10" s="2043">
        <f>IF(SUM(C11,C16,C20,C26,C33,C37)=0,"NO",SUM(C11,C16,C20,C26,C33,C37))</f>
        <v>38.386396605043515</v>
      </c>
      <c r="D10" s="2044">
        <f t="shared" ref="D10:X10" si="0">IF(SUM(D11,D16,D20,D26,D33,D37)=0,"NO",SUM(D11,D16,D20,D26,D33,D37))</f>
        <v>395.28943341530965</v>
      </c>
      <c r="E10" s="2044" t="str">
        <f t="shared" si="0"/>
        <v>NO</v>
      </c>
      <c r="F10" s="2044" t="str">
        <f t="shared" si="0"/>
        <v>NO</v>
      </c>
      <c r="G10" s="2044">
        <f t="shared" si="0"/>
        <v>887.48751578709016</v>
      </c>
      <c r="H10" s="2044">
        <f t="shared" si="0"/>
        <v>2.2643664445170777</v>
      </c>
      <c r="I10" s="2044">
        <f t="shared" si="0"/>
        <v>2481.0276722016329</v>
      </c>
      <c r="J10" s="2044" t="str">
        <f t="shared" si="0"/>
        <v>NO</v>
      </c>
      <c r="K10" s="2044">
        <f t="shared" si="0"/>
        <v>551.21596995090226</v>
      </c>
      <c r="L10" s="2044" t="str">
        <f t="shared" si="0"/>
        <v>NO</v>
      </c>
      <c r="M10" s="2044">
        <f t="shared" si="0"/>
        <v>90.666689945584793</v>
      </c>
      <c r="N10" s="2044" t="str">
        <f t="shared" si="0"/>
        <v>NO</v>
      </c>
      <c r="O10" s="2044">
        <f t="shared" si="0"/>
        <v>26.458608213044425</v>
      </c>
      <c r="P10" s="2044" t="str">
        <f t="shared" si="0"/>
        <v>NO</v>
      </c>
      <c r="Q10" s="2044" t="str">
        <f t="shared" si="0"/>
        <v>NO</v>
      </c>
      <c r="R10" s="2044">
        <f t="shared" si="0"/>
        <v>3.7630015199543148</v>
      </c>
      <c r="S10" s="2044" t="str">
        <f t="shared" si="0"/>
        <v>NO</v>
      </c>
      <c r="T10" s="2044">
        <f t="shared" si="0"/>
        <v>103.17960661549175</v>
      </c>
      <c r="U10" s="2044">
        <f t="shared" si="0"/>
        <v>67.898965225620984</v>
      </c>
      <c r="V10" s="2045" t="str">
        <f t="shared" si="0"/>
        <v>NO</v>
      </c>
      <c r="W10" s="2046"/>
      <c r="X10" s="2044">
        <f t="shared" si="0"/>
        <v>25.579769026387009</v>
      </c>
      <c r="Y10" s="2044">
        <f t="shared" ref="Y10" si="1">IF(SUM(Y11,Y16,Y20,Y26,Y33,Y37)=0,"NO",SUM(Y11,Y16,Y20,Y26,Y33,Y37))</f>
        <v>2.9417738350000002</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5.1370678230775031</v>
      </c>
      <c r="AK10" s="2048" t="str">
        <f t="shared" si="9"/>
        <v>NO</v>
      </c>
    </row>
    <row r="11" spans="2:37" ht="18" customHeight="1" x14ac:dyDescent="0.2">
      <c r="B11" s="1288" t="s">
        <v>595</v>
      </c>
      <c r="C11" s="2049" t="str">
        <f>IF(SUM(C12,C15)=0,"NO",SUM(C12,C15))</f>
        <v>NO</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
      <c r="B12" s="1264" t="s">
        <v>596</v>
      </c>
      <c r="C12" s="2049" t="str">
        <f>IF(SUM(C13:C14)=0,"NO",SUM(C13:C14))</f>
        <v>NO</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
      <c r="B13" s="1289" t="s">
        <v>597</v>
      </c>
      <c r="C13" s="2049" t="str">
        <f>'Table2(II).B-Hs1'!G13</f>
        <v>NO</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25.579769026387009</v>
      </c>
      <c r="Y16" s="2050">
        <f t="shared" ref="Y16" si="35">IF(SUM(Y17:Y19)=0,"NO",SUM(Y17:Y19))</f>
        <v>2.9417738350000002</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t="str">
        <f t="shared" ref="AJ16" si="44">IF(SUM(AJ17:AJ19)=0,"NO",SUM(AJ17:AJ19))</f>
        <v>NO</v>
      </c>
      <c r="AK16" s="2048" t="str">
        <f t="shared" ref="AK16" si="45">IF(SUM(AK17:AK19)=0,"NO",SUM(AK17:AK19))</f>
        <v>NO</v>
      </c>
    </row>
    <row r="17" spans="2:37" ht="18" customHeight="1" x14ac:dyDescent="0.2">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25.579769026387009</v>
      </c>
      <c r="Y17" s="2050">
        <f>'Table2(II).B-Hs1'!G26</f>
        <v>2.9417738350000002</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t="str">
        <f>'Table2(II).B-Hs1'!G28</f>
        <v>NO</v>
      </c>
      <c r="AK18" s="2060"/>
    </row>
    <row r="19" spans="2:37" ht="18" customHeight="1" thickBot="1" x14ac:dyDescent="0.25">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25">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
      <c r="B26" s="2420" t="s">
        <v>612</v>
      </c>
      <c r="C26" s="2068">
        <f>IF(SUM(C27:C32)=0,"NO",SUM(C27:C32))</f>
        <v>38.386396605043515</v>
      </c>
      <c r="D26" s="2069">
        <f t="shared" ref="D26:AK26" si="58">IF(SUM(D27:D32)=0,"NO",SUM(D27:D32))</f>
        <v>395.28943341530965</v>
      </c>
      <c r="E26" s="2069" t="str">
        <f t="shared" si="58"/>
        <v>NO</v>
      </c>
      <c r="F26" s="2069" t="str">
        <f t="shared" si="58"/>
        <v>NO</v>
      </c>
      <c r="G26" s="2069">
        <f t="shared" si="58"/>
        <v>887.48751578709016</v>
      </c>
      <c r="H26" s="2069">
        <f t="shared" si="58"/>
        <v>2.2643664445170777</v>
      </c>
      <c r="I26" s="2069">
        <f t="shared" si="58"/>
        <v>2481.0276722016329</v>
      </c>
      <c r="J26" s="2069" t="str">
        <f t="shared" si="58"/>
        <v>NO</v>
      </c>
      <c r="K26" s="2069">
        <f t="shared" si="58"/>
        <v>551.21596995090226</v>
      </c>
      <c r="L26" s="2069" t="str">
        <f t="shared" si="58"/>
        <v>NO</v>
      </c>
      <c r="M26" s="2069">
        <f t="shared" si="58"/>
        <v>90.666689945584793</v>
      </c>
      <c r="N26" s="2069" t="str">
        <f t="shared" si="58"/>
        <v>NO</v>
      </c>
      <c r="O26" s="2069">
        <f t="shared" si="58"/>
        <v>26.458608213044425</v>
      </c>
      <c r="P26" s="2069" t="str">
        <f t="shared" si="58"/>
        <v>NO</v>
      </c>
      <c r="Q26" s="2069" t="str">
        <f t="shared" si="58"/>
        <v>NO</v>
      </c>
      <c r="R26" s="2069">
        <f t="shared" si="58"/>
        <v>3.7630015199543148</v>
      </c>
      <c r="S26" s="2069" t="str">
        <f t="shared" si="58"/>
        <v>NO</v>
      </c>
      <c r="T26" s="2069">
        <f t="shared" si="58"/>
        <v>103.17960661549175</v>
      </c>
      <c r="U26" s="2069">
        <f t="shared" si="58"/>
        <v>67.898965225620984</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
      <c r="B27" s="1264" t="s">
        <v>603</v>
      </c>
      <c r="C27" s="2043">
        <f>IF(SUM('Table2(II).B-Hs2'!J13:M13,'Table2(II).B-Hs2'!J26:M26,'Table2(II).B-Hs2'!J39:M39,'Table2(II).B-Hs2'!J52:M52,'Table2(II).B-Hs2'!J65:M65,'Table2(II).B-Hs2'!J78:M78)=0,"NO",SUM('Table2(II).B-Hs2'!J13:M13,'Table2(II).B-Hs2'!J26:M26,'Table2(II).B-Hs2'!J39:M39,'Table2(II).B-Hs2'!J52:M52,'Table2(II).B-Hs2'!J65:M65,'Table2(II).B-Hs2'!J78:M78))</f>
        <v>36.891869610102518</v>
      </c>
      <c r="D27" s="2044">
        <f>IF(SUM('Table2(II).B-Hs2'!J14:M14,'Table2(II).B-Hs2'!J27:M27,'Table2(II).B-Hs2'!J40:M40,'Table2(II).B-Hs2'!J53:M53,'Table2(II).B-Hs2'!J66:M66,'Table2(II).B-Hs2'!J79:M79)=0,"NO",SUM('Table2(II).B-Hs2'!J14:M14,'Table2(II).B-Hs2'!J27:M27,'Table2(II).B-Hs2'!J40:M40,'Table2(II).B-Hs2'!J53:M53,'Table2(II).B-Hs2'!J66:M66,'Table2(II).B-Hs2'!J79:M79))</f>
        <v>379.89932698952202</v>
      </c>
      <c r="E27" s="2044" t="s">
        <v>2146</v>
      </c>
      <c r="F27" s="2044" t="str">
        <f>IF(SUM('Table2(II).B-Hs2'!J15:M15,'Table2(II).B-Hs2'!J28:M28,'Table2(II).B-Hs2'!J41:M41,'Table2(II).B-Hs2'!J54:M54,'Table2(II).B-Hs2'!J67:M67,'Table2(II).B-Hs2'!J80:M80)=0,"NO",SUM('Table2(II).B-Hs2'!J15:M15,'Table2(II).B-Hs2'!J28:M28,'Table2(II).B-Hs2'!J41:M41,'Table2(II).B-Hs2'!J54:M54,'Table2(II).B-Hs2'!J67:M67,'Table2(II).B-Hs2'!J80:M80))</f>
        <v>NO</v>
      </c>
      <c r="G27" s="2044">
        <f>IF(SUM('Table2(II).B-Hs2'!J16:M16,'Table2(II).B-Hs2'!J29:M29,'Table2(II).B-Hs2'!J42:M42,'Table2(II).B-Hs2'!J55:M55,'Table2(II).B-Hs2'!J68:M68,'Table2(II).B-Hs2'!J81:M81)=0,"NO",SUM('Table2(II).B-Hs2'!J16:M16,'Table2(II).B-Hs2'!J29:M29,'Table2(II).B-Hs2'!J42:M42,'Table2(II).B-Hs2'!J55:M55,'Table2(II).B-Hs2'!J68:M68,'Table2(II).B-Hs2'!J81:M81))</f>
        <v>852.93428424353181</v>
      </c>
      <c r="H27" s="2044">
        <f>IF(SUM('Table2(II).B-Hs2'!J17:M17,'Table2(II).B-Hs2'!J30:M30,'Table2(II).B-Hs2'!J43:M43,'Table2(II).B-Hs2'!J56:M56,'Table2(II).B-Hs2'!J69:M69,'Table2(II).B-Hs2'!J82:M82)=0,"NO",SUM('Table2(II).B-Hs2'!J17:M17,'Table2(II).B-Hs2'!J30:M30,'Table2(II).B-Hs2'!J43:M43,'Table2(II).B-Hs2'!J56:M56,'Table2(II).B-Hs2'!J69:M69,'Table2(II).B-Hs2'!J82:M82))</f>
        <v>2.1762061305238465</v>
      </c>
      <c r="I27" s="2044">
        <f>IF(SUM('Table2(II).B-Hs2'!J18:M18,'Table2(II).B-Hs2'!J31:M31,'Table2(II).B-Hs2'!J44:M44,'Table2(II).B-Hs2'!J57:M57,'Table2(II).B-Hs2'!J70:M70,'Table2(II).B-Hs2'!J83:M83)=0,"NO",SUM('Table2(II).B-Hs2'!J18:M18,'Table2(II).B-Hs2'!J31:M31,'Table2(II).B-Hs2'!J44:M44,'Table2(II).B-Hs2'!J57:M57,'Table2(II).B-Hs2'!J70:M70,'Table2(II).B-Hs2'!J83:M83))</f>
        <v>2384.4319206010828</v>
      </c>
      <c r="J27" s="2044" t="s">
        <v>2146</v>
      </c>
      <c r="K27" s="2044">
        <f>IF(SUM('Table2(II).B-Hs2'!J19:M19,'Table2(II).B-Hs2'!J32:M32,'Table2(II).B-Hs2'!J45:M45,'Table2(II).B-Hs2'!J58:M58,'Table2(II).B-Hs2'!J71:M71,'Table2(II).B-Hs2'!J84:M84)=0,"NO",SUM('Table2(II).B-Hs2'!J19:M19,'Table2(II).B-Hs2'!J32:M32,'Table2(II).B-Hs2'!J45:M45,'Table2(II).B-Hs2'!J58:M58,'Table2(II).B-Hs2'!J71:M71,'Table2(II).B-Hs2'!J84:M84))</f>
        <v>529.75505618995885</v>
      </c>
      <c r="L27" s="2044" t="s">
        <v>2146</v>
      </c>
      <c r="M27" s="2044">
        <f>IF(SUM('Table2(II).B-Hs2'!J20:M20,'Table2(II).B-Hs2'!J33:M33,'Table2(II).B-Hs2'!J46:M46,'Table2(II).B-Hs2'!J59:M59,'Table2(II).B-Hs2'!J72:M72,'Table2(II).B-Hs2'!J85:M85)=0,"NO",SUM('Table2(II).B-Hs2'!J20:M20,'Table2(II).B-Hs2'!J33:M33,'Table2(II).B-Hs2'!J46:M46,'Table2(II).B-Hs2'!J59:M59,'Table2(II).B-Hs2'!J72:M72,'Table2(II).B-Hs2'!J85:M85))</f>
        <v>87.136694227054164</v>
      </c>
      <c r="N27" s="2044" t="s">
        <v>2146</v>
      </c>
      <c r="O27" s="2044">
        <f>IF(SUM('Table2(II).B-Hs2'!J21:M21,'Table2(II).B-Hs2'!J34:M34,'Table2(II).B-Hs2'!J47:M47,'Table2(II).B-Hs2'!J60:M60,'Table2(II).B-Hs2'!J73:M73,'Table2(II).B-Hs2'!J86:M86)=0,"NO",SUM('Table2(II).B-Hs2'!J21:M21,'Table2(II).B-Hs2'!J34:M34,'Table2(II).B-Hs2'!J47:M47,'Table2(II).B-Hs2'!J60:M60,'Table2(II).B-Hs2'!J73:M73,'Table2(II).B-Hs2'!J86:M86))</f>
        <v>25.428474943964225</v>
      </c>
      <c r="P27" s="2044" t="s">
        <v>2146</v>
      </c>
      <c r="Q27" s="2044" t="s">
        <v>2146</v>
      </c>
      <c r="R27" s="2044">
        <f>IF(SUM('Table2(II).B-Hs2'!J22:M22,'Table2(II).B-Hs2'!J35:M35,'Table2(II).B-Hs2'!J48:M48,'Table2(II).B-Hs2'!J61:M61,'Table2(II).B-Hs2'!J74:M74,'Table2(II).B-Hs2'!J87:M87)=0,"NO",SUM('Table2(II).B-Hs2'!J22:M22,'Table2(II).B-Hs2'!J35:M35,'Table2(II).B-Hs2'!J48:M48,'Table2(II).B-Hs2'!J61:M61,'Table2(II).B-Hs2'!J74:M74,'Table2(II).B-Hs2'!J87:M87))</f>
        <v>3.6164936981485862</v>
      </c>
      <c r="S27" s="2044" t="s">
        <v>2146</v>
      </c>
      <c r="T27" s="2044">
        <f>IF(SUM('Table2(II).B-Hs2'!J23:M23,'Table2(II).B-Hs2'!J36:M36,'Table2(II).B-Hs2'!J49:M49,'Table2(II).B-Hs2'!J62:M62,'Table2(II).B-Hs2'!J75:M75,'Table2(II).B-Hs2'!J88:M88)=0,"NO",SUM('Table2(II).B-Hs2'!J23:M23,'Table2(II).B-Hs2'!J36:M36,'Table2(II).B-Hs2'!J49:M49,'Table2(II).B-Hs2'!J62:M62,'Table2(II).B-Hs2'!J75:M75,'Table2(II).B-Hs2'!J88:M88))</f>
        <v>99.162435923466333</v>
      </c>
      <c r="U27" s="2044">
        <f>IF(SUM('Table2(II).B-Hs2'!J24:M24,'Table2(II).B-Hs2'!J37:M37,'Table2(II).B-Hs2'!J50:M50,'Table2(II).B-Hs2'!J63:M63,'Table2(II).B-Hs2'!J76:M76,'Table2(II).B-Hs2'!J89:M89)=0,"NO",SUM('Table2(II).B-Hs2'!J24:M24,'Table2(II).B-Hs2'!J37:M37,'Table2(II).B-Hs2'!J50:M50,'Table2(II).B-Hs2'!J63:M63,'Table2(II).B-Hs2'!J76:M76,'Table2(II).B-Hs2'!J89:M89))</f>
        <v>65.255402780769941</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
      <c r="B28" s="1264" t="s">
        <v>604</v>
      </c>
      <c r="C28" s="2043">
        <f>IF(SUM('Table2(II).B-Hs2'!J92:M92,'Table2(II).B-Hs2'!J105:M105)=0,"NO",SUM('Table2(II).B-Hs2'!J92:M92,'Table2(II).B-Hs2'!J105:M105))</f>
        <v>0.19923272862215288</v>
      </c>
      <c r="D28" s="2044">
        <f>IF(SUM('Table2(II).B-Hs2'!J93:M93,'Table2(II).B-Hs2'!J106:M106)=0,"NO",SUM('Table2(II).B-Hs2'!J93:M93,'Table2(II).B-Hs2'!J106:M106))</f>
        <v>2.051627643645237</v>
      </c>
      <c r="E28" s="2044" t="s">
        <v>2146</v>
      </c>
      <c r="F28" s="2044" t="str">
        <f>IF(SUM('Table2(II).B-Hs2'!J94:M94,'Table2(II).B-Hs2'!J107:M107)=0,"NO",SUM('Table2(II).B-Hs2'!J94:M94,'Table2(II).B-Hs2'!J107:M107))</f>
        <v>NO</v>
      </c>
      <c r="G28" s="2044">
        <f>IF(SUM('Table2(II).B-Hs2'!J95:M95,'Table2(II).B-Hs2'!J108:M108)=0,"NO",SUM('Table2(II).B-Hs2'!J95:M95,'Table2(II).B-Hs2'!J108:M108))</f>
        <v>4.6062296809887693</v>
      </c>
      <c r="H28" s="2044">
        <f>IF(SUM('Table2(II).B-Hs2'!J96:M96,'Table2(II).B-Hs2'!J109:M109)=0,"NO",SUM('Table2(II).B-Hs2'!J96:M96,'Table2(II).B-Hs2'!J109:M109))</f>
        <v>1.1752494249025351E-2</v>
      </c>
      <c r="I28" s="2044">
        <f>IF(SUM('Table2(II).B-Hs2'!J97:M97,'Table2(II).B-Hs2'!J110:M110)=0,"NO",SUM('Table2(II).B-Hs2'!J97:M97,'Table2(II).B-Hs2'!J110:M110))</f>
        <v>12.877007394198964</v>
      </c>
      <c r="J28" s="2044" t="s">
        <v>2146</v>
      </c>
      <c r="K28" s="2044">
        <f>IF(SUM('Table2(II).B-Hs2'!J98:M98,'Table2(II).B-Hs2'!J111:M111)=0,"NO",SUM('Table2(II).B-Hs2'!J98:M98,'Table2(II).B-Hs2'!J111:M111))</f>
        <v>2.8609161438975965</v>
      </c>
      <c r="L28" s="2044" t="s">
        <v>2146</v>
      </c>
      <c r="M28" s="2044">
        <f>IF(SUM('Table2(II).B-Hs2'!J99:M99,'Table2(II).B-Hs2'!J112:M112)=0,"NO",SUM('Table2(II).B-Hs2'!J99:M99,'Table2(II).B-Hs2'!J112:M112))</f>
        <v>0.47057743447125772</v>
      </c>
      <c r="N28" s="2044" t="s">
        <v>2146</v>
      </c>
      <c r="O28" s="2044">
        <f>IF(SUM('Table2(II).B-Hs2'!J100:M100,'Table2(II).B-Hs2'!J113:M113)=0,"NO",SUM('Table2(II).B-Hs2'!J100:M100,'Table2(II).B-Hs2'!J113:M113))</f>
        <v>0.13732522914476278</v>
      </c>
      <c r="P28" s="2044" t="s">
        <v>2146</v>
      </c>
      <c r="Q28" s="2044" t="s">
        <v>2146</v>
      </c>
      <c r="R28" s="2044">
        <f>IF(SUM('Table2(II).B-Hs2'!J101:M101,'Table2(II).B-Hs2'!J114:M114)=0,"NO",SUM('Table2(II).B-Hs2'!J101:M101,'Table2(II).B-Hs2'!J114:M114))</f>
        <v>1.9530696468949196E-2</v>
      </c>
      <c r="S28" s="2044" t="s">
        <v>2146</v>
      </c>
      <c r="T28" s="2044">
        <f>IF(SUM('Table2(II).B-Hs2'!J102:M102,'Table2(II).B-Hs2'!J115:M115)=0,"NO",SUM('Table2(II).B-Hs2'!J102:M102,'Table2(II).B-Hs2'!J115:M115))</f>
        <v>0.53552186144671488</v>
      </c>
      <c r="U28" s="2044">
        <f>IF(SUM('Table2(II).B-Hs2'!J103:M103,'Table2(II).B-Hs2'!J116:M116)=0,"NO",SUM('Table2(II).B-Hs2'!J103:M103,'Table2(II).B-Hs2'!J116:M116))</f>
        <v>0.35240859546435677</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
      <c r="B29" s="1264" t="s">
        <v>605</v>
      </c>
      <c r="C29" s="2043">
        <f>IF(SUM('Table2(II).B-Hs2'!J118:M118)=0,"NO",SUM('Table2(II).B-Hs2'!J118:M118))</f>
        <v>0.32360445782803882</v>
      </c>
      <c r="D29" s="2044">
        <f>IF(SUM('Table2(II).B-Hs2'!J119:M119)=0,"NO",SUM('Table2(II).B-Hs2'!J119:M119))</f>
        <v>3.3323633916893125</v>
      </c>
      <c r="E29" s="2044" t="s">
        <v>2146</v>
      </c>
      <c r="F29" s="2044" t="str">
        <f>IF(SUM('Table2(II).B-Hs2'!J120:M120)=0,"NO",SUM('Table2(II).B-Hs2'!J120:M120))</f>
        <v>NO</v>
      </c>
      <c r="G29" s="2044">
        <f>IF(SUM('Table2(II).B-Hs2'!J121:M121)=0,"NO",SUM('Table2(II).B-Hs2'!J121:M121))</f>
        <v>7.4816847054016087</v>
      </c>
      <c r="H29" s="2044">
        <f>IF(SUM('Table2(II).B-Hs2'!J122:M122)=0,"NO",SUM('Table2(II).B-Hs2'!J122:M122))</f>
        <v>1.9089029979585975E-2</v>
      </c>
      <c r="I29" s="2044">
        <f>IF(SUM('Table2(II).B-Hs2'!J123:M123)=0,"NO",SUM('Table2(II).B-Hs2'!J123:M123))</f>
        <v>20.915524397350765</v>
      </c>
      <c r="J29" s="2044" t="s">
        <v>2146</v>
      </c>
      <c r="K29" s="2044">
        <f>IF(SUM('Table2(II).B-Hs2'!J124:M124)=0,"NO",SUM('Table2(II).B-Hs2'!J124:M124))</f>
        <v>4.6468530749948478</v>
      </c>
      <c r="L29" s="2044" t="s">
        <v>2146</v>
      </c>
      <c r="M29" s="2044">
        <f>IF(SUM('Table2(II).B-Hs2'!J125:M125)=0,"NO",SUM('Table2(II).B-Hs2'!J125:M125))</f>
        <v>0.7643370474385428</v>
      </c>
      <c r="N29" s="2044" t="s">
        <v>2146</v>
      </c>
      <c r="O29" s="2044">
        <f>IF(SUM('Table2(II).B-Hs2'!J126:M126)=0,"NO",SUM('Table2(II).B-Hs2'!J126:M126))</f>
        <v>0.22305098479969782</v>
      </c>
      <c r="P29" s="2044" t="s">
        <v>2146</v>
      </c>
      <c r="Q29" s="2044" t="s">
        <v>2146</v>
      </c>
      <c r="R29" s="2044">
        <f>IF(SUM('Table2(II).B-Hs2'!J127:M127)=0,"NO",SUM('Table2(II).B-Hs2'!J127:M127))</f>
        <v>3.1722802199957149E-2</v>
      </c>
      <c r="S29" s="2044" t="s">
        <v>2146</v>
      </c>
      <c r="T29" s="2044">
        <f>IF(SUM('Table2(II).B-Hs2'!J128:M128)=0,"NO",SUM('Table2(II).B-Hs2'!J128:M128))</f>
        <v>0.8698232606008548</v>
      </c>
      <c r="U29" s="2044">
        <f>IF(SUM('Table2(II).B-Hs2'!J129:M129)=0,"NO",SUM('Table2(II).B-Hs2'!J129:M129))</f>
        <v>0.57240089646849068</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
      <c r="B30" s="1264" t="s">
        <v>606</v>
      </c>
      <c r="C30" s="2043">
        <f>IF(SUM('Table2(II).B-Hs2'!J132:M132)=0,"NO",SUM('Table2(II).B-Hs2'!J132:M132))</f>
        <v>0.47028527763467776</v>
      </c>
      <c r="D30" s="2044">
        <f>IF(SUM('Table2(II).B-Hs2'!J133:M133)=0,"NO",SUM('Table2(II).B-Hs2'!J133:M133))</f>
        <v>4.8428302049937253</v>
      </c>
      <c r="E30" s="2044" t="s">
        <v>2146</v>
      </c>
      <c r="F30" s="2044" t="str">
        <f>IF(SUM('Table2(II).B-Hs2'!J134:M134)=0,"NO",SUM('Table2(II).B-Hs2'!J134:M134))</f>
        <v>NO</v>
      </c>
      <c r="G30" s="2044">
        <f>IF(SUM('Table2(II).B-Hs2'!J135:M135)=0,"NO",SUM('Table2(II).B-Hs2'!J135:M135))</f>
        <v>10.872922432745471</v>
      </c>
      <c r="H30" s="2044">
        <f>IF(SUM('Table2(II).B-Hs2'!J136:M136)=0,"NO",SUM('Table2(II).B-Hs2'!J136:M136))</f>
        <v>2.7741551596599908E-2</v>
      </c>
      <c r="I30" s="2044">
        <f>IF(SUM('Table2(II).B-Hs2'!J137:M137)=0,"NO",SUM('Table2(II).B-Hs2'!J137:M137))</f>
        <v>30.395944679198163</v>
      </c>
      <c r="J30" s="2044" t="s">
        <v>2146</v>
      </c>
      <c r="K30" s="2044">
        <f>IF(SUM('Table2(II).B-Hs2'!J138:M138)=0,"NO",SUM('Table2(II).B-Hs2'!J138:M138))</f>
        <v>6.7531411747819199</v>
      </c>
      <c r="L30" s="2044" t="s">
        <v>2146</v>
      </c>
      <c r="M30" s="2044">
        <f>IF(SUM('Table2(II).B-Hs2'!J139:M139)=0,"NO",SUM('Table2(II).B-Hs2'!J139:M139))</f>
        <v>1.1107895823614324</v>
      </c>
      <c r="N30" s="2044" t="s">
        <v>2146</v>
      </c>
      <c r="O30" s="2044">
        <f>IF(SUM('Table2(II).B-Hs2'!J140:M140)=0,"NO",SUM('Table2(II).B-Hs2'!J140:M140))</f>
        <v>0.32415373699504491</v>
      </c>
      <c r="P30" s="2044" t="s">
        <v>2146</v>
      </c>
      <c r="Q30" s="2044" t="s">
        <v>2146</v>
      </c>
      <c r="R30" s="2044">
        <f>IF(SUM('Table2(II).B-Hs2'!J141:M141)=0,"NO",SUM('Table2(II).B-Hs2'!J141:M141))</f>
        <v>4.6101858237949683E-2</v>
      </c>
      <c r="S30" s="2044" t="s">
        <v>2146</v>
      </c>
      <c r="T30" s="2044">
        <f>IF(SUM('Table2(II).B-Hs2'!J142:M142)=0,"NO",SUM('Table2(II).B-Hs2'!J142:M142))</f>
        <v>1.2640897358161489</v>
      </c>
      <c r="U30" s="2044">
        <f>IF(SUM('Table2(II).B-Hs2'!J143:M143)=0,"NO",SUM('Table2(II).B-Hs2'!J143:M143))</f>
        <v>0.8318541602324564</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
      <c r="B31" s="1264" t="s">
        <v>607</v>
      </c>
      <c r="C31" s="2043">
        <f>IF(SUM('Table2(II).B-Hs2'!J147:M147)=0,"NO",SUM('Table2(II).B-Hs2'!J147:M147))</f>
        <v>0.50140453085612946</v>
      </c>
      <c r="D31" s="2044">
        <f>IF(SUM('Table2(II).B-Hs2'!J148:M148)=0,"NO",SUM('Table2(II).B-Hs2'!J148:M148))</f>
        <v>5.1632851854593573</v>
      </c>
      <c r="E31" s="2044" t="s">
        <v>2146</v>
      </c>
      <c r="F31" s="2044" t="str">
        <f>IF(SUM('Table2(II).B-Hs2'!J149:M149)=0,"NO",SUM('Table2(II).B-Hs2'!J149:M149))</f>
        <v>NO</v>
      </c>
      <c r="G31" s="2044">
        <f>IF(SUM('Table2(II).B-Hs2'!J150:M150)=0,"NO",SUM('Table2(II).B-Hs2'!J150:M150))</f>
        <v>11.59239472442254</v>
      </c>
      <c r="H31" s="2044">
        <f>IF(SUM('Table2(II).B-Hs2'!J151:M151)=0,"NO",SUM('Table2(II).B-Hs2'!J151:M151))</f>
        <v>2.9577238168020027E-2</v>
      </c>
      <c r="I31" s="2044">
        <f>IF(SUM('Table2(II).B-Hs2'!J152:M152)=0,"NO",SUM('Table2(II).B-Hs2'!J152:M152))</f>
        <v>32.407275129801789</v>
      </c>
      <c r="J31" s="2044" t="s">
        <v>2146</v>
      </c>
      <c r="K31" s="2044">
        <f>IF(SUM('Table2(II).B-Hs2'!J153:M153)=0,"NO",SUM('Table2(II).B-Hs2'!J153:M153))</f>
        <v>7.2000033672690487</v>
      </c>
      <c r="L31" s="2044" t="s">
        <v>2146</v>
      </c>
      <c r="M31" s="2044">
        <f>IF(SUM('Table2(II).B-Hs2'!J154:M154)=0,"NO",SUM('Table2(II).B-Hs2'!J154:M154))</f>
        <v>1.1842916542593924</v>
      </c>
      <c r="N31" s="2044" t="s">
        <v>2146</v>
      </c>
      <c r="O31" s="2044">
        <f>IF(SUM('Table2(II).B-Hs2'!J155:M155)=0,"NO",SUM('Table2(II).B-Hs2'!J155:M155))</f>
        <v>0.34560331814069295</v>
      </c>
      <c r="P31" s="2044" t="s">
        <v>2146</v>
      </c>
      <c r="Q31" s="2044" t="s">
        <v>2146</v>
      </c>
      <c r="R31" s="2044">
        <f>IF(SUM('Table2(II).B-Hs2'!J156:M156)=0,"NO",SUM('Table2(II).B-Hs2'!J156:M156))</f>
        <v>4.9152464898872379E-2</v>
      </c>
      <c r="S31" s="2044" t="s">
        <v>2146</v>
      </c>
      <c r="T31" s="2044">
        <f>IF(SUM('Table2(II).B-Hs2'!J157:M157)=0,"NO",SUM('Table2(II).B-Hs2'!J157:M157))</f>
        <v>1.3477358341617123</v>
      </c>
      <c r="U31" s="2044">
        <f>IF(SUM('Table2(II).B-Hs2'!J158:M158)=0,"NO",SUM('Table2(II).B-Hs2'!J158:M158))</f>
        <v>0.88689879268574134</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25">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5.1370678230775031</v>
      </c>
      <c r="AK33" s="2075" t="str">
        <f t="shared" ref="AK33" si="71">IF(SUM(AK34:AK36)=0,"NO",SUM(AK34:AK36))</f>
        <v>NO</v>
      </c>
    </row>
    <row r="34" spans="2:37" ht="18" customHeight="1" x14ac:dyDescent="0.2">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4.300159578540983</v>
      </c>
      <c r="AK34" s="2075" t="s">
        <v>2146</v>
      </c>
    </row>
    <row r="35" spans="2:37" ht="18" customHeight="1" x14ac:dyDescent="0.2">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0.83690824453652013</v>
      </c>
      <c r="AK35" s="2060"/>
    </row>
    <row r="36" spans="2:37" ht="18" customHeight="1" thickBot="1" x14ac:dyDescent="0.25">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25">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25">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
      <c r="B39" s="1288" t="s">
        <v>1871</v>
      </c>
      <c r="C39" s="4195">
        <f>IF(SUM(C40:C45)=0,"NO",SUM(C40:C45))</f>
        <v>475.99131790253955</v>
      </c>
      <c r="D39" s="4196">
        <f t="shared" ref="D39:AK39" si="72">IF(SUM(D40:D45)=0,"NO",SUM(D40:D45))</f>
        <v>267.6109464221646</v>
      </c>
      <c r="E39" s="4196" t="str">
        <f t="shared" si="72"/>
        <v>NO</v>
      </c>
      <c r="F39" s="4196" t="str">
        <f t="shared" si="72"/>
        <v>NO</v>
      </c>
      <c r="G39" s="4196">
        <f t="shared" si="72"/>
        <v>2813.3354250450757</v>
      </c>
      <c r="H39" s="4196">
        <f t="shared" si="72"/>
        <v>2.536090417859127</v>
      </c>
      <c r="I39" s="4196">
        <f t="shared" si="72"/>
        <v>3225.335973862123</v>
      </c>
      <c r="J39" s="4196" t="str">
        <f t="shared" si="72"/>
        <v>NO</v>
      </c>
      <c r="K39" s="4196">
        <f t="shared" si="72"/>
        <v>2645.8366557643308</v>
      </c>
      <c r="L39" s="4196" t="str">
        <f t="shared" si="72"/>
        <v>NO</v>
      </c>
      <c r="M39" s="4196">
        <f t="shared" si="72"/>
        <v>12.512003212490701</v>
      </c>
      <c r="N39" s="4196" t="str">
        <f t="shared" si="72"/>
        <v>NO</v>
      </c>
      <c r="O39" s="4196">
        <f t="shared" si="72"/>
        <v>88.63633751369882</v>
      </c>
      <c r="P39" s="4196" t="str">
        <f t="shared" si="72"/>
        <v>NO</v>
      </c>
      <c r="Q39" s="4196" t="str">
        <f t="shared" si="72"/>
        <v>NO</v>
      </c>
      <c r="R39" s="4196">
        <f t="shared" si="72"/>
        <v>30.329792250831776</v>
      </c>
      <c r="S39" s="4196" t="str">
        <f t="shared" si="72"/>
        <v>NO</v>
      </c>
      <c r="T39" s="4196">
        <f t="shared" si="72"/>
        <v>88.528102476091931</v>
      </c>
      <c r="U39" s="4196">
        <f t="shared" si="72"/>
        <v>54.590768041399272</v>
      </c>
      <c r="V39" s="4196" t="str">
        <f t="shared" si="72"/>
        <v>NO</v>
      </c>
      <c r="W39" s="4196">
        <f t="shared" si="72"/>
        <v>9705.243412908605</v>
      </c>
      <c r="X39" s="4196">
        <f t="shared" si="72"/>
        <v>169.59386864494587</v>
      </c>
      <c r="Y39" s="4196">
        <f t="shared" si="72"/>
        <v>32.653689568499999</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202.24755821344587</v>
      </c>
      <c r="AI39" s="4197" t="str">
        <f t="shared" si="72"/>
        <v>NO</v>
      </c>
      <c r="AJ39" s="4197">
        <f t="shared" si="72"/>
        <v>120.72109384232132</v>
      </c>
      <c r="AK39" s="2918" t="str">
        <f t="shared" si="72"/>
        <v>NO</v>
      </c>
    </row>
    <row r="40" spans="2:37" ht="18" customHeight="1" x14ac:dyDescent="0.2">
      <c r="B40" s="1292" t="s">
        <v>595</v>
      </c>
      <c r="C40" s="4198" t="str">
        <f>IF(SUM(C11)=0,"NO",C11*12400/1000)</f>
        <v>NO</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t="str">
        <f>IF(SUM(C40:V40)=0,"NO",SUM(C40:V40))</f>
        <v>NO</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169.59386864494587</v>
      </c>
      <c r="Y41" s="4199">
        <f>IF(SUM(Y16)=0,"NO",Y16*11100/1000)</f>
        <v>32.653689568499999</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202.24755821344587</v>
      </c>
      <c r="AI41" s="4200" t="str">
        <f>IF(SUM(AI16)=0,"NO",AI16*1/1000)</f>
        <v>NO</v>
      </c>
      <c r="AJ41" s="4200" t="str">
        <f>IF(SUM(AJ16)=0,"NO",AJ16*23500/1000)</f>
        <v>NO</v>
      </c>
      <c r="AK41" s="4201" t="str">
        <f>IF(SUM(AK16)=0,"NO",AK16*16100/1000)</f>
        <v>NO</v>
      </c>
    </row>
    <row r="42" spans="2:37" ht="18" customHeight="1" x14ac:dyDescent="0.2">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
      <c r="B43" s="1295" t="s">
        <v>612</v>
      </c>
      <c r="C43" s="4198">
        <f>IF(SUM(C26)=0,"NO",C26*12400/1000)</f>
        <v>475.99131790253955</v>
      </c>
      <c r="D43" s="4199">
        <f>IF(SUM(D26)=0,"NO",D26*677/1000)</f>
        <v>267.6109464221646</v>
      </c>
      <c r="E43" s="4199" t="str">
        <f>IF(SUM(E26)=0,"NO",E26*116/1000)</f>
        <v>NO</v>
      </c>
      <c r="F43" s="4199" t="str">
        <f>IF(SUM(F26)=0,"NO",F26*1650/1000)</f>
        <v>NO</v>
      </c>
      <c r="G43" s="4199">
        <f>IF(SUM(G26)=0,"NO",G26*3170/1000)</f>
        <v>2813.3354250450757</v>
      </c>
      <c r="H43" s="4199">
        <f>IF(SUM(H26)=0,"NO",H26*1120/1000)</f>
        <v>2.536090417859127</v>
      </c>
      <c r="I43" s="4199">
        <f>IF(SUM(I26)=0,"NO",I26*1300/1000)</f>
        <v>3225.335973862123</v>
      </c>
      <c r="J43" s="4199" t="str">
        <f>IF(SUM(J26)=0,"NO",J26*328/1000)</f>
        <v>NO</v>
      </c>
      <c r="K43" s="4199">
        <f>IF(SUM(K26)=0,"NO",K26*4800/1000)</f>
        <v>2645.8366557643308</v>
      </c>
      <c r="L43" s="4199" t="str">
        <f>IF(SUM(L26)=0,"NO",L26*16/1000)</f>
        <v>NO</v>
      </c>
      <c r="M43" s="4199">
        <f>IF(SUM(M26)=0,"NO",M26*138/1000)</f>
        <v>12.512003212490701</v>
      </c>
      <c r="N43" s="4199" t="str">
        <f>IF(SUM(N26)=0,"NO",N26*4/1000)</f>
        <v>NO</v>
      </c>
      <c r="O43" s="4199">
        <f>IF(SUM(O26)=0,"NO",O26*3350/1000)</f>
        <v>88.63633751369882</v>
      </c>
      <c r="P43" s="4199" t="str">
        <f>IF(SUM(P26)=0,"NO",P26*1210/1000)</f>
        <v>NO</v>
      </c>
      <c r="Q43" s="4199" t="str">
        <f>IF(SUM(Q26)=0,"NO",Q26*1330/1000)</f>
        <v>NO</v>
      </c>
      <c r="R43" s="4199">
        <f>IF(SUM(R26)=0,"NO",R26*8060/1000)</f>
        <v>30.329792250831776</v>
      </c>
      <c r="S43" s="4199" t="str">
        <f>IF(SUM(S26)=0,"NO",S26*716/1000)</f>
        <v>NO</v>
      </c>
      <c r="T43" s="4199">
        <f>IF(SUM(T26)=0,"NO",T26*858/1000)</f>
        <v>88.528102476091931</v>
      </c>
      <c r="U43" s="4199">
        <f>IF(SUM(U26)=0,"NO",U26*804/1000)</f>
        <v>54.590768041399272</v>
      </c>
      <c r="V43" s="4199" t="str">
        <f>IF(SUM(V26)=0,"NO",V26*1/1000)</f>
        <v>NO</v>
      </c>
      <c r="W43" s="4199">
        <f t="shared" si="73"/>
        <v>9705.243412908605</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120.72109384232132</v>
      </c>
      <c r="AK44" s="4201" t="str">
        <f>IF(SUM(AK33)=0,"NO",AK33*16100/1000)</f>
        <v>NO</v>
      </c>
    </row>
    <row r="45" spans="2:37" ht="18" customHeight="1" thickBot="1" x14ac:dyDescent="0.25">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25">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50"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25">
      <c r="B9" s="2094"/>
      <c r="C9" s="266" t="s">
        <v>2018</v>
      </c>
      <c r="D9" s="267" t="s">
        <v>73</v>
      </c>
      <c r="E9" s="2095" t="s">
        <v>489</v>
      </c>
      <c r="F9" s="2096"/>
      <c r="G9" s="2096"/>
      <c r="H9" s="1748" t="s">
        <v>73</v>
      </c>
      <c r="I9" s="344"/>
      <c r="J9" s="1772"/>
      <c r="K9" s="344" t="s">
        <v>73</v>
      </c>
      <c r="L9" s="344"/>
      <c r="M9" s="344"/>
      <c r="N9" s="345"/>
    </row>
    <row r="10" spans="2:14" ht="18" customHeight="1" thickTop="1" x14ac:dyDescent="0.2">
      <c r="B10" s="1276" t="s">
        <v>490</v>
      </c>
      <c r="C10" s="2097"/>
      <c r="D10" s="3779"/>
      <c r="E10" s="2134"/>
      <c r="F10" s="2134"/>
      <c r="G10" s="3780"/>
      <c r="H10" s="3192">
        <f>IF(SUM(H11:H14)=0,"IE",SUM(H11:H14))</f>
        <v>5691.6739853939707</v>
      </c>
      <c r="I10" s="628"/>
      <c r="J10" s="628"/>
      <c r="K10" s="3192" t="str">
        <f>IF(SUM(K11:K14)=0,"NO",SUM(K11:K14))</f>
        <v>NO</v>
      </c>
      <c r="L10" s="3192" t="str">
        <f>IF(SUM(L11:L14)=0,"NO",SUM(L11:L14))</f>
        <v>NO</v>
      </c>
      <c r="M10" s="628"/>
      <c r="N10" s="1838"/>
    </row>
    <row r="11" spans="2:14" ht="18" customHeight="1" x14ac:dyDescent="0.2">
      <c r="B11" s="287" t="s">
        <v>491</v>
      </c>
      <c r="C11" s="2099" t="s">
        <v>2181</v>
      </c>
      <c r="D11" s="691">
        <v>5475.9626500000004</v>
      </c>
      <c r="E11" s="1913">
        <f>IF(SUM($D11)=0,"NA",H11/$D11)</f>
        <v>0.53522182222446313</v>
      </c>
      <c r="F11" s="628"/>
      <c r="G11" s="628"/>
      <c r="H11" s="3180">
        <v>2930.8547079661002</v>
      </c>
      <c r="I11" s="628"/>
      <c r="J11" s="628"/>
      <c r="K11" s="3180" t="s">
        <v>2146</v>
      </c>
      <c r="L11" s="691" t="s">
        <v>2146</v>
      </c>
      <c r="M11" s="628"/>
      <c r="N11" s="1838"/>
    </row>
    <row r="12" spans="2:14" ht="18" customHeight="1" x14ac:dyDescent="0.2">
      <c r="B12" s="287" t="s">
        <v>492</v>
      </c>
      <c r="C12" s="2100" t="s">
        <v>2182</v>
      </c>
      <c r="D12" s="691">
        <v>1543.1572256100001</v>
      </c>
      <c r="E12" s="1913">
        <f>IF(SUM($D12)=0,"NA",H12/$D12)</f>
        <v>0.68093271757442209</v>
      </c>
      <c r="F12" s="628"/>
      <c r="G12" s="628"/>
      <c r="H12" s="3180">
        <v>1050.7862432792228</v>
      </c>
      <c r="I12" s="628"/>
      <c r="J12" s="628"/>
      <c r="K12" s="3180" t="s">
        <v>2146</v>
      </c>
      <c r="L12" s="691" t="s">
        <v>2146</v>
      </c>
      <c r="M12" s="628"/>
      <c r="N12" s="1838"/>
    </row>
    <row r="13" spans="2:14" ht="18" customHeight="1" x14ac:dyDescent="0.2">
      <c r="B13" s="287" t="s">
        <v>493</v>
      </c>
      <c r="C13" s="2100" t="s">
        <v>2267</v>
      </c>
      <c r="D13" s="691">
        <v>176.873446</v>
      </c>
      <c r="E13" s="1913">
        <f>IF(SUM($D13)=0,"NA",H13/$D13)</f>
        <v>0.42811438316254102</v>
      </c>
      <c r="F13" s="628"/>
      <c r="G13" s="628"/>
      <c r="H13" s="3180">
        <v>75.722066232123012</v>
      </c>
      <c r="I13" s="628"/>
      <c r="J13" s="628"/>
      <c r="K13" s="3180" t="s">
        <v>2146</v>
      </c>
      <c r="L13" s="691" t="s">
        <v>2146</v>
      </c>
      <c r="M13" s="628"/>
      <c r="N13" s="1838"/>
    </row>
    <row r="14" spans="2:14" ht="18" customHeight="1" x14ac:dyDescent="0.2">
      <c r="B14" s="287" t="s">
        <v>494</v>
      </c>
      <c r="C14" s="2101"/>
      <c r="D14" s="1879"/>
      <c r="E14" s="1879"/>
      <c r="F14" s="628"/>
      <c r="G14" s="628"/>
      <c r="H14" s="3193">
        <f>IF(SUM(H15:H18)=0,"IE",SUM(H15:H18))</f>
        <v>1634.3109679165245</v>
      </c>
      <c r="I14" s="628"/>
      <c r="J14" s="628"/>
      <c r="K14" s="3193" t="str">
        <f>IF(SUM(K15:K18)=0,"NO",SUM(K15:K18))</f>
        <v>NO</v>
      </c>
      <c r="L14" s="3193" t="str">
        <f>IF(SUM(L15:L18)=0,"NO",SUM(L15:L18))</f>
        <v>NO</v>
      </c>
      <c r="M14" s="628"/>
      <c r="N14" s="1838"/>
    </row>
    <row r="15" spans="2:14" ht="18" customHeight="1" x14ac:dyDescent="0.2">
      <c r="B15" s="160" t="s">
        <v>495</v>
      </c>
      <c r="C15" s="484" t="s">
        <v>2315</v>
      </c>
      <c r="D15" s="2905" t="s">
        <v>2147</v>
      </c>
      <c r="E15" s="1913" t="str">
        <f>IF(SUM($D15)=0,"NA",H15/$D15)</f>
        <v>NA</v>
      </c>
      <c r="F15" s="628"/>
      <c r="G15" s="628"/>
      <c r="H15" s="3180">
        <v>287.08082438128184</v>
      </c>
      <c r="I15" s="628"/>
      <c r="J15" s="628"/>
      <c r="K15" s="3180" t="s">
        <v>2146</v>
      </c>
      <c r="L15" s="691" t="s">
        <v>2146</v>
      </c>
      <c r="M15" s="628"/>
      <c r="N15" s="1838"/>
    </row>
    <row r="16" spans="2:14" ht="18" customHeight="1" x14ac:dyDescent="0.2">
      <c r="B16" s="160" t="s">
        <v>496</v>
      </c>
      <c r="C16" s="484" t="s">
        <v>2316</v>
      </c>
      <c r="D16" s="2905">
        <v>299.69198399999999</v>
      </c>
      <c r="E16" s="1913">
        <f>IF(SUM($D16)=0,"NA",H16/$D16)</f>
        <v>0.41492000000000001</v>
      </c>
      <c r="F16" s="628"/>
      <c r="G16" s="628"/>
      <c r="H16" s="3180">
        <v>124.34819800128</v>
      </c>
      <c r="I16" s="628"/>
      <c r="J16" s="628"/>
      <c r="K16" s="3180" t="s">
        <v>2146</v>
      </c>
      <c r="L16" s="691" t="s">
        <v>2146</v>
      </c>
      <c r="M16" s="628"/>
      <c r="N16" s="1838"/>
    </row>
    <row r="17" spans="2:14" ht="18" customHeight="1" x14ac:dyDescent="0.2">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
      <c r="B18" s="160" t="s">
        <v>2102</v>
      </c>
      <c r="C18" s="2101"/>
      <c r="D18" s="1879"/>
      <c r="E18" s="1879"/>
      <c r="F18" s="628"/>
      <c r="G18" s="628"/>
      <c r="H18" s="3181">
        <f>SUM(H19:H21)</f>
        <v>1222.8819455339626</v>
      </c>
      <c r="I18" s="628"/>
      <c r="J18" s="628"/>
      <c r="K18" s="3181" t="str">
        <f>K19</f>
        <v>NO</v>
      </c>
      <c r="L18" s="3193" t="str">
        <f>L19</f>
        <v>NO</v>
      </c>
      <c r="M18" s="628"/>
      <c r="N18" s="1838"/>
    </row>
    <row r="19" spans="2:14" ht="18" customHeight="1" x14ac:dyDescent="0.2">
      <c r="B19" s="3182" t="s">
        <v>2265</v>
      </c>
      <c r="C19" s="484" t="s">
        <v>2267</v>
      </c>
      <c r="D19" s="2905">
        <v>1347.0995700000001</v>
      </c>
      <c r="E19" s="1913">
        <f>IF(SUM($D19)=0,"NA",H19/$D19)</f>
        <v>0.41465089837162517</v>
      </c>
      <c r="F19" s="628"/>
      <c r="G19" s="628"/>
      <c r="H19" s="3180">
        <v>558.57604689652999</v>
      </c>
      <c r="I19" s="628"/>
      <c r="J19" s="628"/>
      <c r="K19" s="3180" t="s">
        <v>2146</v>
      </c>
      <c r="L19" s="3180" t="s">
        <v>2146</v>
      </c>
      <c r="M19" s="628"/>
      <c r="N19" s="1838"/>
    </row>
    <row r="20" spans="2:14" ht="18" customHeight="1" x14ac:dyDescent="0.2">
      <c r="B20" s="3183" t="s">
        <v>2264</v>
      </c>
      <c r="C20" s="484" t="s">
        <v>2267</v>
      </c>
      <c r="D20" s="2905">
        <v>462.92716933780724</v>
      </c>
      <c r="E20" s="1913">
        <f>IF(SUM($D20)=0,"NA",H20/$D20)</f>
        <v>0.51554066217193906</v>
      </c>
      <c r="F20" s="628"/>
      <c r="G20" s="628"/>
      <c r="H20" s="3180">
        <v>238.65777941779453</v>
      </c>
      <c r="I20" s="628"/>
      <c r="J20" s="628"/>
      <c r="K20" s="3180" t="s">
        <v>2146</v>
      </c>
      <c r="L20" s="3180" t="s">
        <v>2146</v>
      </c>
      <c r="M20" s="2135"/>
      <c r="N20" s="2149"/>
    </row>
    <row r="21" spans="2:14" ht="18" customHeight="1" thickBot="1" x14ac:dyDescent="0.25">
      <c r="B21" s="3183" t="s">
        <v>2266</v>
      </c>
      <c r="C21" s="484" t="s">
        <v>2267</v>
      </c>
      <c r="D21" s="2905">
        <v>978.39785931000006</v>
      </c>
      <c r="E21" s="1913">
        <f>IF(SUM($D21)=0,"NA",H21/$D21)</f>
        <v>0.43504604509235123</v>
      </c>
      <c r="F21" s="628"/>
      <c r="G21" s="628"/>
      <c r="H21" s="3180">
        <v>425.6481192196382</v>
      </c>
      <c r="I21" s="628"/>
      <c r="J21" s="628"/>
      <c r="K21" s="3180" t="s">
        <v>2146</v>
      </c>
      <c r="L21" s="3180" t="s">
        <v>2146</v>
      </c>
      <c r="M21" s="2135"/>
      <c r="N21" s="2149"/>
    </row>
    <row r="22" spans="2:14" ht="18" customHeight="1" x14ac:dyDescent="0.2">
      <c r="B22" s="1278" t="s">
        <v>498</v>
      </c>
      <c r="C22" s="2102"/>
      <c r="D22" s="3052"/>
      <c r="E22" s="3081"/>
      <c r="F22" s="1929"/>
      <c r="G22" s="1930"/>
      <c r="H22" s="3067">
        <f>IF(SUM(H23:H26,H30,H33:H35,H47)=0,"IE",SUM(H23:H26,H30,H33:H35,H47))</f>
        <v>3443.5172649103879</v>
      </c>
      <c r="I22" s="3067">
        <f>IF(SUM(I23:I26,I30,I33:I35,I47)=0,"IE",SUM(I23:I26,I30,I33:I35,I47))</f>
        <v>0.5417227</v>
      </c>
      <c r="J22" s="3067">
        <f>IF(SUM(J23:J26,J30,J33:J35,J47)=0,"IE",SUM(J23:J26,J30,J33:J35,J47))</f>
        <v>4.7422822444604087</v>
      </c>
      <c r="K22" s="3067">
        <f>IF(SUM(K23:K26,K30,K33:K35,K47)=0,"NO",SUM(K23:K26,K30,K33:K35,K47))</f>
        <v>-344.29804999999999</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
      <c r="B23" s="287" t="s">
        <v>499</v>
      </c>
      <c r="C23" s="484" t="s">
        <v>220</v>
      </c>
      <c r="D23" s="691">
        <v>1904.6667395161353</v>
      </c>
      <c r="E23" s="1913">
        <f>IF(SUM($D23)=0,"NA",H23/$D23)</f>
        <v>1.4251195035114095</v>
      </c>
      <c r="F23" s="1913" t="str">
        <f>IFERROR(IF(SUM($D23)=0,"NA",I23/$D23),"NA")</f>
        <v>NA</v>
      </c>
      <c r="G23" s="1913" t="str">
        <f>IFERROR(IF(SUM($D23)=0,"NA",J23/$D23),"NA")</f>
        <v>NA</v>
      </c>
      <c r="H23" s="691">
        <v>2714.3777181739297</v>
      </c>
      <c r="I23" s="691" t="s">
        <v>2146</v>
      </c>
      <c r="J23" s="691" t="s">
        <v>2146</v>
      </c>
      <c r="K23" s="3180">
        <v>-344.29804999999999</v>
      </c>
      <c r="L23" s="691" t="s">
        <v>2146</v>
      </c>
      <c r="M23" s="691" t="s">
        <v>2146</v>
      </c>
      <c r="N23" s="2911" t="s">
        <v>2146</v>
      </c>
    </row>
    <row r="24" spans="2:14" ht="18" customHeight="1" x14ac:dyDescent="0.2">
      <c r="B24" s="287" t="s">
        <v>500</v>
      </c>
      <c r="C24" s="484" t="s">
        <v>220</v>
      </c>
      <c r="D24" s="691">
        <v>1629.5068270000004</v>
      </c>
      <c r="E24" s="2108"/>
      <c r="F24" s="2108"/>
      <c r="G24" s="1913">
        <f>IF(SUM($D24)=0,"NA",J24/$D24)</f>
        <v>2.9102561375524741E-3</v>
      </c>
      <c r="H24" s="2108"/>
      <c r="I24" s="2108"/>
      <c r="J24" s="691">
        <v>4.7422822444604087</v>
      </c>
      <c r="K24" s="3194"/>
      <c r="L24" s="2108"/>
      <c r="M24" s="2108"/>
      <c r="N24" s="2911" t="s">
        <v>2146</v>
      </c>
    </row>
    <row r="25" spans="2:14" ht="18" customHeight="1" x14ac:dyDescent="0.2">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100" t="s">
        <v>220</v>
      </c>
      <c r="D33" s="691" t="s">
        <v>2184</v>
      </c>
      <c r="E33" s="1913" t="str">
        <f t="shared" si="0"/>
        <v>NA</v>
      </c>
      <c r="F33" s="1879"/>
      <c r="G33" s="628"/>
      <c r="H33" s="691">
        <v>675.32049151875003</v>
      </c>
      <c r="I33" s="1879"/>
      <c r="J33" s="628"/>
      <c r="K33" s="691" t="s">
        <v>2146</v>
      </c>
      <c r="L33" s="691" t="s">
        <v>2146</v>
      </c>
      <c r="M33" s="1879"/>
      <c r="N33" s="1838"/>
    </row>
    <row r="34" spans="2:16" ht="18" customHeight="1" x14ac:dyDescent="0.2">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1"/>
      <c r="D35" s="1879"/>
      <c r="E35" s="1879"/>
      <c r="F35" s="1879"/>
      <c r="G35" s="2108"/>
      <c r="H35" s="3196">
        <f>H46</f>
        <v>36.22110450000001</v>
      </c>
      <c r="I35" s="3196">
        <f>I46</f>
        <v>0.5417227</v>
      </c>
      <c r="J35" s="628"/>
      <c r="K35" s="3196" t="str">
        <f>IF(SUM(K36:K42)=0,"NO",SUM(K36:K42))</f>
        <v>NO</v>
      </c>
      <c r="L35" s="3196" t="str">
        <f>IF(SUM(L36:L42)=0,"NO",SUM(L36:L42))</f>
        <v>NO</v>
      </c>
      <c r="M35" s="3196" t="str">
        <f>IF(SUM(M36:M42)=0,"NO",SUM(M36:M42))</f>
        <v>NO</v>
      </c>
      <c r="N35" s="1838"/>
    </row>
    <row r="36" spans="2:16" ht="18" customHeight="1" x14ac:dyDescent="0.2">
      <c r="B36" s="282" t="s">
        <v>511</v>
      </c>
      <c r="C36" s="2100" t="s">
        <v>220</v>
      </c>
      <c r="D36" s="691" t="s">
        <v>2184</v>
      </c>
      <c r="E36" s="1913" t="str">
        <f t="shared" ref="E36:F41" si="1">IF(SUM($D36)=0,"NA",H36/$D36)</f>
        <v>NA</v>
      </c>
      <c r="F36" s="1913" t="str">
        <f t="shared" si="1"/>
        <v>NA</v>
      </c>
      <c r="G36" s="628"/>
      <c r="H36" s="691" t="str">
        <f>IF(H$46="NO","NO","IE")</f>
        <v>IE</v>
      </c>
      <c r="I36" s="691" t="s">
        <v>2153</v>
      </c>
      <c r="J36" s="628"/>
      <c r="K36" s="3180" t="s">
        <v>2146</v>
      </c>
      <c r="L36" s="3180" t="s">
        <v>2146</v>
      </c>
      <c r="M36" s="3180" t="s">
        <v>2146</v>
      </c>
      <c r="N36" s="1838"/>
      <c r="P36" s="1788"/>
    </row>
    <row r="37" spans="2:16" ht="18" customHeight="1" x14ac:dyDescent="0.2">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
      <c r="B39" s="282" t="s">
        <v>514</v>
      </c>
      <c r="C39" s="2100" t="s">
        <v>220</v>
      </c>
      <c r="D39" s="691" t="s">
        <v>2184</v>
      </c>
      <c r="E39" s="1913" t="str">
        <f t="shared" si="1"/>
        <v>NA</v>
      </c>
      <c r="F39" s="1913" t="str">
        <f t="shared" si="1"/>
        <v>NA</v>
      </c>
      <c r="G39" s="628"/>
      <c r="H39" s="691" t="str">
        <f>IF(H$46="NO","NO","IE")</f>
        <v>IE</v>
      </c>
      <c r="I39" s="691" t="s">
        <v>2146</v>
      </c>
      <c r="J39" s="628"/>
      <c r="K39" s="3180" t="s">
        <v>2146</v>
      </c>
      <c r="L39" s="3180" t="s">
        <v>2146</v>
      </c>
      <c r="M39" s="3180" t="s">
        <v>2146</v>
      </c>
      <c r="N39" s="1838"/>
    </row>
    <row r="40" spans="2:16" ht="18" customHeight="1" x14ac:dyDescent="0.2">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
      <c r="B42" s="282" t="s">
        <v>517</v>
      </c>
      <c r="C42" s="621"/>
      <c r="D42" s="628"/>
      <c r="E42" s="628"/>
      <c r="F42" s="628"/>
      <c r="G42" s="628"/>
      <c r="H42" s="3198">
        <f>IF(SUM(H44:H45)=0,"NO",SUM(H44:H45))</f>
        <v>36.22110450000001</v>
      </c>
      <c r="I42" s="3198">
        <f>IF(SUM(I44:I45)=0,"NO",SUM(I44:I45))</f>
        <v>0.5417227</v>
      </c>
      <c r="J42" s="628"/>
      <c r="K42" s="3198" t="str">
        <f>IF(SUM(K44:K45)=0,"NO",SUM(K44:K45))</f>
        <v>NO</v>
      </c>
      <c r="L42" s="3198" t="str">
        <f>IF(SUM(L44:L45)=0,"NO",SUM(L44:L45))</f>
        <v>NO</v>
      </c>
      <c r="M42" s="3198" t="str">
        <f>IF(SUM(M44:M45)=0,"NO",SUM(M44:M45))</f>
        <v>NO</v>
      </c>
      <c r="N42" s="1838"/>
    </row>
    <row r="43" spans="2:16" ht="18" customHeight="1" x14ac:dyDescent="0.2">
      <c r="B43" s="1282" t="s">
        <v>203</v>
      </c>
      <c r="C43" s="2103"/>
      <c r="D43" s="3097"/>
      <c r="E43" s="3097"/>
      <c r="F43" s="3097"/>
      <c r="G43" s="3097"/>
      <c r="H43" s="3097"/>
      <c r="I43" s="3097"/>
      <c r="J43" s="3097"/>
      <c r="K43" s="3097"/>
      <c r="L43" s="3097"/>
      <c r="M43" s="3097"/>
      <c r="N43" s="3111"/>
    </row>
    <row r="44" spans="2:16" ht="18" customHeight="1" x14ac:dyDescent="0.2">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8">
        <f>H46</f>
        <v>36.22110450000001</v>
      </c>
      <c r="I45" s="3198">
        <f>I46</f>
        <v>0.5417227</v>
      </c>
      <c r="J45" s="628"/>
      <c r="K45" s="3198" t="str">
        <f>K46</f>
        <v>NO</v>
      </c>
      <c r="L45" s="3198" t="str">
        <f>L46</f>
        <v>NO</v>
      </c>
      <c r="M45" s="3198" t="str">
        <f>M46</f>
        <v>NO</v>
      </c>
      <c r="N45" s="1838"/>
    </row>
    <row r="46" spans="2:16" ht="18" customHeight="1" x14ac:dyDescent="0.2">
      <c r="B46" s="3184" t="s">
        <v>2268</v>
      </c>
      <c r="C46" s="2100" t="s">
        <v>220</v>
      </c>
      <c r="D46" s="691" t="s">
        <v>2184</v>
      </c>
      <c r="E46" s="1913" t="str">
        <f>IF(SUM($D46)=0,"NA",H46/$D46)</f>
        <v>NA</v>
      </c>
      <c r="F46" s="1913" t="str">
        <f>IF(SUM($D46)=0,"NA",I46/$D46)</f>
        <v>NA</v>
      </c>
      <c r="G46" s="628"/>
      <c r="H46" s="691">
        <v>36.22110450000001</v>
      </c>
      <c r="I46" s="691">
        <v>0.5417227</v>
      </c>
      <c r="J46" s="628"/>
      <c r="K46" s="691" t="s">
        <v>2146</v>
      </c>
      <c r="L46" s="691" t="s">
        <v>2146</v>
      </c>
      <c r="M46" s="691" t="s">
        <v>2146</v>
      </c>
      <c r="N46" s="1838"/>
    </row>
    <row r="47" spans="2:16" ht="18" customHeight="1" x14ac:dyDescent="0.2">
      <c r="B47" s="287" t="s">
        <v>520</v>
      </c>
      <c r="C47" s="2104"/>
      <c r="D47" s="628"/>
      <c r="E47" s="628"/>
      <c r="F47" s="628"/>
      <c r="G47" s="628"/>
      <c r="H47" s="3198">
        <f>H50</f>
        <v>17.597950717708464</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
      <c r="B48" s="1242" t="s">
        <v>203</v>
      </c>
      <c r="C48" s="2103"/>
      <c r="D48" s="2285"/>
      <c r="E48" s="2285"/>
      <c r="F48" s="2285"/>
      <c r="G48" s="2285"/>
      <c r="H48" s="3097"/>
      <c r="I48" s="3097"/>
      <c r="J48" s="3097"/>
      <c r="K48" s="3097"/>
      <c r="L48" s="3097"/>
      <c r="M48" s="3097"/>
      <c r="N48" s="3111"/>
    </row>
    <row r="49" spans="2:14" ht="18" customHeight="1" x14ac:dyDescent="0.2">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
      <c r="B50" s="2416" t="s">
        <v>522</v>
      </c>
      <c r="C50" s="2385"/>
      <c r="D50" s="2386"/>
      <c r="E50" s="2386"/>
      <c r="F50" s="2386"/>
      <c r="G50" s="2386"/>
      <c r="H50" s="3095">
        <f>H51</f>
        <v>17.597950717708464</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25">
      <c r="B51" s="3185" t="s">
        <v>2269</v>
      </c>
      <c r="C51" s="506" t="s">
        <v>220</v>
      </c>
      <c r="D51" s="245" t="s">
        <v>2184</v>
      </c>
      <c r="E51" s="511" t="str">
        <f>IF(SUM($D51)=0,"NA",H51/$D51)</f>
        <v>NA</v>
      </c>
      <c r="F51" s="511" t="str">
        <f>IF(SUM($D51)=0,"NA",I51/$D51)</f>
        <v>NA</v>
      </c>
      <c r="G51" s="511" t="str">
        <f>IF(SUM($D51)=0,"NA",J51/$D51)</f>
        <v>NA</v>
      </c>
      <c r="H51" s="3137">
        <v>17.597950717708464</v>
      </c>
      <c r="I51" s="3137" t="s">
        <v>2146</v>
      </c>
      <c r="J51" s="3137" t="s">
        <v>2146</v>
      </c>
      <c r="K51" s="3202" t="s">
        <v>2184</v>
      </c>
      <c r="L51" s="3137" t="s">
        <v>2184</v>
      </c>
      <c r="M51" s="3137" t="s">
        <v>2146</v>
      </c>
      <c r="N51" s="3203" t="s">
        <v>2146</v>
      </c>
    </row>
    <row r="52" spans="2:14" s="83" customFormat="1" ht="18" customHeight="1" x14ac:dyDescent="0.2">
      <c r="B52" s="1276" t="s">
        <v>523</v>
      </c>
      <c r="C52" s="2105"/>
      <c r="D52" s="231"/>
      <c r="E52" s="2098"/>
      <c r="F52" s="2098"/>
      <c r="G52" s="2106"/>
      <c r="H52" s="3067">
        <f>IF(SUM(H53,H62:H67)=0,"IE",SUM(H53,H62:H67))</f>
        <v>9904.9580408883448</v>
      </c>
      <c r="I52" s="3192">
        <f>IF(SUM(I53,I62:I67)=0,"IE",SUM(I53,I62:I67))</f>
        <v>2.2453684391122746</v>
      </c>
      <c r="J52" s="1909">
        <f>J67</f>
        <v>5.2217719264580575E-2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
      <c r="B63" s="287" t="s">
        <v>532</v>
      </c>
      <c r="C63" s="2604" t="s">
        <v>220</v>
      </c>
      <c r="D63" s="4179">
        <v>1651.9739999999999</v>
      </c>
      <c r="E63" s="4130">
        <f>IF(SUM($D63)=0,"NA",H63/$D63)</f>
        <v>1.3955139011819622</v>
      </c>
      <c r="F63" s="1892"/>
      <c r="G63" s="2107"/>
      <c r="H63" s="691">
        <v>2305.3526813911708</v>
      </c>
      <c r="I63" s="1879"/>
      <c r="J63" s="2108"/>
      <c r="K63" s="3180" t="s">
        <v>2146</v>
      </c>
      <c r="L63" s="691" t="s">
        <v>2146</v>
      </c>
      <c r="M63" s="3119"/>
      <c r="N63" s="2109"/>
    </row>
    <row r="64" spans="2:14" s="83" customFormat="1" ht="18" customHeight="1" x14ac:dyDescent="0.2">
      <c r="B64" s="1283" t="s">
        <v>533</v>
      </c>
      <c r="C64" s="2604" t="s">
        <v>2188</v>
      </c>
      <c r="D64" s="277" t="s">
        <v>2146</v>
      </c>
      <c r="E64" s="276" t="str">
        <f>IF(SUM($D64)=0,"NA",H64/$D64)</f>
        <v>NA</v>
      </c>
      <c r="F64" s="1892"/>
      <c r="G64" s="2107"/>
      <c r="H64" s="691" t="str">
        <f>IF(D64="NO","NO","NA")</f>
        <v>NO</v>
      </c>
      <c r="I64" s="1879"/>
      <c r="J64" s="2108"/>
      <c r="K64" s="3180" t="s">
        <v>2146</v>
      </c>
      <c r="L64" s="691" t="s">
        <v>2146</v>
      </c>
      <c r="M64" s="3119"/>
      <c r="N64" s="2109"/>
    </row>
    <row r="65" spans="2:14" s="83" customFormat="1" ht="18" customHeight="1" x14ac:dyDescent="0.2">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
      <c r="B67" s="287" t="s">
        <v>2061</v>
      </c>
      <c r="C67" s="2605"/>
      <c r="D67" s="621"/>
      <c r="E67" s="621"/>
      <c r="F67" s="621"/>
      <c r="G67" s="621"/>
      <c r="H67" s="3199">
        <f>IF(SUM(H69:H70)=0,H70,SUM(H69:H70))</f>
        <v>7599.6053594971745</v>
      </c>
      <c r="I67" s="3199">
        <f t="shared" ref="I67:N67" si="8">IF(SUM(I69:I70)=0,I70,SUM(I69:I70))</f>
        <v>2.2453684391122746</v>
      </c>
      <c r="J67" s="3199">
        <f t="shared" si="8"/>
        <v>5.2217719264580575E-2</v>
      </c>
      <c r="K67" s="3199" t="str">
        <f t="shared" si="8"/>
        <v>NO</v>
      </c>
      <c r="L67" s="1913" t="str">
        <f t="shared" si="8"/>
        <v>NO</v>
      </c>
      <c r="M67" s="1913" t="str">
        <f t="shared" si="8"/>
        <v>NO</v>
      </c>
      <c r="N67" s="3085" t="str">
        <f t="shared" si="8"/>
        <v>NO</v>
      </c>
    </row>
    <row r="68" spans="2:14" s="83" customFormat="1" ht="18" customHeight="1" x14ac:dyDescent="0.2">
      <c r="B68" s="1242" t="s">
        <v>203</v>
      </c>
      <c r="C68" s="2103"/>
      <c r="D68" s="2285"/>
      <c r="E68" s="2285"/>
      <c r="F68" s="2285"/>
      <c r="G68" s="2285"/>
      <c r="H68" s="3097"/>
      <c r="I68" s="3097"/>
      <c r="J68" s="3097"/>
      <c r="K68" s="3097"/>
      <c r="L68" s="3097"/>
      <c r="M68" s="3097"/>
      <c r="N68" s="3111"/>
    </row>
    <row r="69" spans="2:14" s="83" customFormat="1" ht="18" customHeight="1" x14ac:dyDescent="0.2">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
      <c r="B70" s="2416" t="s">
        <v>538</v>
      </c>
      <c r="C70" s="2388"/>
      <c r="D70" s="2384"/>
      <c r="E70" s="2384"/>
      <c r="F70" s="2384"/>
      <c r="G70" s="2384"/>
      <c r="H70" s="3095">
        <f t="shared" ref="H70:M70" si="9">H71</f>
        <v>7599.6053594971745</v>
      </c>
      <c r="I70" s="3095">
        <f t="shared" si="9"/>
        <v>2.2453684391122746</v>
      </c>
      <c r="J70" s="3095">
        <f t="shared" si="9"/>
        <v>5.2217719264580575E-2</v>
      </c>
      <c r="K70" s="3207" t="str">
        <f t="shared" si="9"/>
        <v>NO</v>
      </c>
      <c r="L70" s="3095" t="str">
        <f t="shared" si="9"/>
        <v>NO</v>
      </c>
      <c r="M70" s="3095" t="str">
        <f t="shared" si="9"/>
        <v>NO</v>
      </c>
      <c r="N70" s="3208" t="str">
        <f>N71</f>
        <v>NO</v>
      </c>
    </row>
    <row r="71" spans="2:14" s="83" customFormat="1" ht="18" customHeight="1" thickBot="1" x14ac:dyDescent="0.25">
      <c r="B71" s="2598" t="s">
        <v>2185</v>
      </c>
      <c r="C71" s="2599" t="s">
        <v>220</v>
      </c>
      <c r="D71" s="2114" t="s">
        <v>2184</v>
      </c>
      <c r="E71" s="511" t="str">
        <f>IF(SUM($D71)=0,"NA",H71/$D71)</f>
        <v>NA</v>
      </c>
      <c r="F71" s="511" t="str">
        <f>IF(SUM($D71)=0,"NA",I71/$D71)</f>
        <v>NA</v>
      </c>
      <c r="G71" s="511" t="str">
        <f>IF(SUM($D71)=0,"NA",J71/$D71)</f>
        <v>NA</v>
      </c>
      <c r="H71" s="3123">
        <v>7599.6053594971745</v>
      </c>
      <c r="I71" s="3123">
        <v>2.2453684391122746</v>
      </c>
      <c r="J71" s="3123">
        <v>5.2217719264580575E-2</v>
      </c>
      <c r="K71" s="3209" t="s">
        <v>2146</v>
      </c>
      <c r="L71" s="3209" t="s">
        <v>2146</v>
      </c>
      <c r="M71" s="3123" t="s">
        <v>2146</v>
      </c>
      <c r="N71" s="3210" t="s">
        <v>2146</v>
      </c>
    </row>
    <row r="72" spans="2:14" s="83" customFormat="1" ht="18" customHeight="1" x14ac:dyDescent="0.2">
      <c r="B72" s="2417" t="s">
        <v>2105</v>
      </c>
      <c r="C72" s="231"/>
      <c r="D72" s="621"/>
      <c r="E72" s="2115"/>
      <c r="F72" s="2115"/>
      <c r="G72" s="2115"/>
      <c r="H72" s="1913">
        <f t="shared" ref="H72:L72" si="10">IF(SUM(H73:H75)=0,"NO",SUM(H73:H75))</f>
        <v>211.18624259999996</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
      <c r="B73" s="287" t="s">
        <v>539</v>
      </c>
      <c r="C73" s="82" t="s">
        <v>2183</v>
      </c>
      <c r="D73" s="3191">
        <v>319.9742268041237</v>
      </c>
      <c r="E73" s="4130">
        <f t="shared" ref="E73:G74" si="11">IF(SUM($D73)=0,"NA",H73/$D73)</f>
        <v>0.66001016616028985</v>
      </c>
      <c r="F73" s="276" t="s">
        <v>2147</v>
      </c>
      <c r="G73" s="276" t="s">
        <v>2147</v>
      </c>
      <c r="H73" s="3122">
        <v>211.18624259999996</v>
      </c>
      <c r="I73" s="3122" t="s">
        <v>2146</v>
      </c>
      <c r="J73" s="3122" t="s">
        <v>2146</v>
      </c>
      <c r="K73" s="3211" t="s">
        <v>2146</v>
      </c>
      <c r="L73" s="3122" t="s">
        <v>2146</v>
      </c>
      <c r="M73" s="3122" t="s">
        <v>2146</v>
      </c>
      <c r="N73" s="3212"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
      <c r="B76" s="1242" t="s">
        <v>203</v>
      </c>
      <c r="C76" s="2103"/>
      <c r="D76" s="2285"/>
      <c r="E76" s="2285"/>
      <c r="F76" s="2285"/>
      <c r="G76" s="2285"/>
      <c r="H76" s="3097"/>
      <c r="I76" s="3097"/>
      <c r="J76" s="3097"/>
      <c r="K76" s="3097"/>
      <c r="L76" s="3097"/>
      <c r="M76" s="3097"/>
      <c r="N76" s="3111"/>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
      <c r="B78" s="1285" t="s">
        <v>543</v>
      </c>
      <c r="C78" s="82" t="s">
        <v>2183</v>
      </c>
      <c r="D78" s="82">
        <v>248.3124</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25">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25">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
      <c r="B91" s="2506" t="s">
        <v>203</v>
      </c>
      <c r="C91" s="2103"/>
      <c r="D91" s="2285"/>
      <c r="E91" s="2285"/>
      <c r="F91" s="2285"/>
      <c r="G91" s="2285"/>
      <c r="H91" s="3097"/>
      <c r="I91" s="3097"/>
      <c r="J91" s="3097"/>
      <c r="K91" s="3097"/>
      <c r="L91" s="3097"/>
      <c r="M91" s="3097"/>
      <c r="N91" s="3111"/>
    </row>
    <row r="92" spans="2:14" s="83" customFormat="1" ht="18" customHeight="1" x14ac:dyDescent="0.2">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25">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
      <c r="B97" s="1276" t="s">
        <v>554</v>
      </c>
      <c r="C97" s="149"/>
      <c r="D97" s="2125"/>
      <c r="E97" s="2125"/>
      <c r="F97" s="2125"/>
      <c r="G97" s="2125"/>
      <c r="H97" s="1909">
        <f>IF(SUM(H99:H101)=0,"NO",SUM(H99:H101))</f>
        <v>272.83433454819283</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
      <c r="B98" s="1241" t="s">
        <v>203</v>
      </c>
      <c r="C98" s="2110"/>
      <c r="D98" s="2288"/>
      <c r="E98" s="2288"/>
      <c r="F98" s="2288"/>
      <c r="G98" s="2288"/>
      <c r="H98" s="3097"/>
      <c r="I98" s="3097"/>
      <c r="J98" s="3097"/>
      <c r="K98" s="3097"/>
      <c r="L98" s="3097"/>
      <c r="M98" s="3097"/>
      <c r="N98" s="3111"/>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
      <c r="B100" s="287" t="s">
        <v>556</v>
      </c>
      <c r="C100" s="2604" t="s">
        <v>220</v>
      </c>
      <c r="D100" s="277" t="s">
        <v>2184</v>
      </c>
      <c r="E100" s="276" t="str">
        <f t="shared" si="17"/>
        <v>NA</v>
      </c>
      <c r="F100" s="276" t="str">
        <f t="shared" si="17"/>
        <v>NA</v>
      </c>
      <c r="G100" s="276" t="str">
        <f t="shared" si="17"/>
        <v>NA</v>
      </c>
      <c r="H100" s="692">
        <v>272.83433454819283</v>
      </c>
      <c r="I100" s="692" t="s">
        <v>2146</v>
      </c>
      <c r="J100" s="692" t="s">
        <v>2146</v>
      </c>
      <c r="K100" s="3223" t="s">
        <v>2146</v>
      </c>
      <c r="L100" s="692" t="s">
        <v>2146</v>
      </c>
      <c r="M100" s="692" t="s">
        <v>2146</v>
      </c>
      <c r="N100" s="2919" t="s">
        <v>2146</v>
      </c>
    </row>
    <row r="101" spans="2:14" s="83" customFormat="1" ht="18" customHeight="1" x14ac:dyDescent="0.2">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25">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9"/>
      <c r="C129" s="1042"/>
      <c r="D129" s="1042"/>
      <c r="E129" s="1042"/>
      <c r="F129" s="1042"/>
      <c r="G129" s="1042"/>
      <c r="H129" s="1042"/>
      <c r="I129" s="1042"/>
      <c r="J129" s="1042"/>
      <c r="K129" s="1042"/>
      <c r="L129" s="1042"/>
      <c r="M129" s="1042"/>
      <c r="N129" s="1043"/>
    </row>
    <row r="130" spans="2:14" ht="12" customHeight="1" x14ac:dyDescent="0.2">
      <c r="B130" s="1025"/>
      <c r="C130" s="2240"/>
      <c r="D130" s="2240"/>
      <c r="E130" s="2240"/>
      <c r="F130" s="2240"/>
      <c r="G130" s="2240"/>
      <c r="H130" s="2240"/>
      <c r="I130" s="2240"/>
      <c r="J130" s="2240"/>
      <c r="K130" s="2240"/>
      <c r="L130" s="2240"/>
      <c r="M130" s="2240"/>
      <c r="N130" s="2241"/>
    </row>
    <row r="131" spans="2:14" ht="12" customHeight="1" x14ac:dyDescent="0.2">
      <c r="B131" s="1025"/>
      <c r="C131" s="2240"/>
      <c r="D131" s="2240"/>
      <c r="E131" s="2240"/>
      <c r="F131" s="2240"/>
      <c r="G131" s="2240"/>
      <c r="H131" s="2240"/>
      <c r="I131" s="2240"/>
      <c r="J131" s="2240"/>
      <c r="K131" s="2240"/>
      <c r="L131" s="2240"/>
      <c r="M131" s="2240"/>
      <c r="N131" s="2241"/>
    </row>
    <row r="132" spans="2:14" ht="12" customHeight="1" x14ac:dyDescent="0.2">
      <c r="B132" s="1025"/>
      <c r="C132" s="2240"/>
      <c r="D132" s="2240"/>
      <c r="E132" s="2240"/>
      <c r="F132" s="2240"/>
      <c r="G132" s="2240"/>
      <c r="H132" s="2240"/>
      <c r="I132" s="2240"/>
      <c r="J132" s="2240"/>
      <c r="K132" s="2240"/>
      <c r="L132" s="2240"/>
      <c r="M132" s="2240"/>
      <c r="N132" s="2241"/>
    </row>
    <row r="133" spans="2:14" ht="12" customHeight="1" x14ac:dyDescent="0.2">
      <c r="B133" s="2242"/>
      <c r="C133" s="997"/>
      <c r="D133" s="997"/>
      <c r="E133" s="997"/>
      <c r="F133" s="997"/>
      <c r="G133" s="997"/>
      <c r="H133" s="997"/>
      <c r="I133" s="997"/>
      <c r="J133" s="997"/>
      <c r="K133" s="997"/>
      <c r="L133" s="997"/>
      <c r="M133" s="997"/>
      <c r="N133" s="998"/>
    </row>
    <row r="134" spans="2:14" ht="12" customHeight="1" thickBot="1" x14ac:dyDescent="0.25">
      <c r="B134" s="4468" t="s">
        <v>2261</v>
      </c>
      <c r="C134" s="4469"/>
      <c r="D134" s="4469"/>
      <c r="E134" s="4469"/>
      <c r="F134" s="4469"/>
      <c r="G134" s="4469"/>
      <c r="H134" s="4469"/>
      <c r="I134" s="4469"/>
      <c r="J134" s="4469"/>
      <c r="K134" s="4469"/>
      <c r="L134" s="4469"/>
      <c r="M134" s="4469"/>
      <c r="N134" s="4470"/>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6" t="s">
        <v>64</v>
      </c>
    </row>
    <row r="8" spans="2:8" ht="51.75" customHeight="1" x14ac:dyDescent="0.2">
      <c r="B8" s="90" t="s">
        <v>65</v>
      </c>
      <c r="C8" s="1820" t="s">
        <v>617</v>
      </c>
      <c r="D8" s="1744" t="s">
        <v>327</v>
      </c>
      <c r="E8" s="1817"/>
      <c r="F8" s="2233" t="s">
        <v>618</v>
      </c>
      <c r="G8" s="2233" t="s">
        <v>654</v>
      </c>
      <c r="H8" s="2233"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7"/>
      <c r="D10" s="1823"/>
      <c r="E10" s="1824"/>
      <c r="F10" s="4321"/>
      <c r="G10" s="1909" t="str">
        <f t="shared" ref="G10:H12" si="0">G11</f>
        <v>NO</v>
      </c>
      <c r="H10" s="2612" t="str">
        <f t="shared" si="0"/>
        <v>NO</v>
      </c>
    </row>
    <row r="11" spans="2:8" ht="18" customHeight="1" x14ac:dyDescent="0.2">
      <c r="B11" s="169" t="s">
        <v>596</v>
      </c>
      <c r="C11" s="2507"/>
      <c r="D11" s="1825"/>
      <c r="E11" s="1826"/>
      <c r="F11" s="4322"/>
      <c r="G11" s="1913" t="str">
        <f t="shared" si="0"/>
        <v>NO</v>
      </c>
      <c r="H11" s="2611" t="str">
        <f t="shared" si="0"/>
        <v>NO</v>
      </c>
    </row>
    <row r="12" spans="2:8" ht="18" customHeight="1" x14ac:dyDescent="0.2">
      <c r="B12" s="1169" t="s">
        <v>597</v>
      </c>
      <c r="C12" s="2507"/>
      <c r="D12" s="1825"/>
      <c r="E12" s="1826"/>
      <c r="F12" s="4322"/>
      <c r="G12" s="1913" t="str">
        <f t="shared" si="0"/>
        <v>NO</v>
      </c>
      <c r="H12" s="2611" t="str">
        <f t="shared" si="0"/>
        <v>NO</v>
      </c>
    </row>
    <row r="13" spans="2:8" ht="18" customHeight="1" x14ac:dyDescent="0.2">
      <c r="B13" s="1170" t="s">
        <v>622</v>
      </c>
      <c r="C13" s="2620" t="s">
        <v>559</v>
      </c>
      <c r="D13" s="73" t="s">
        <v>624</v>
      </c>
      <c r="E13" s="2608" t="s">
        <v>2146</v>
      </c>
      <c r="F13" s="4323" t="str">
        <f>IF(SUM(E13)=0,"NA",SUM(G13)*1000/E13)</f>
        <v>NA</v>
      </c>
      <c r="G13" s="691" t="s">
        <v>2146</v>
      </c>
      <c r="H13" s="2610" t="s">
        <v>2146</v>
      </c>
    </row>
    <row r="14" spans="2:8" ht="18" customHeight="1" x14ac:dyDescent="0.2">
      <c r="B14" s="1170" t="s">
        <v>625</v>
      </c>
      <c r="C14" s="2507"/>
      <c r="D14" s="1826"/>
      <c r="E14" s="1826"/>
      <c r="F14" s="4322"/>
      <c r="G14" s="1913" t="str">
        <f>G15</f>
        <v>NO</v>
      </c>
      <c r="H14" s="2611" t="str">
        <f>H15</f>
        <v>NO</v>
      </c>
    </row>
    <row r="15" spans="2:8" ht="18" customHeight="1" x14ac:dyDescent="0.2">
      <c r="B15" s="2609" t="s">
        <v>2147</v>
      </c>
      <c r="C15" s="2507"/>
      <c r="D15" s="74" t="s">
        <v>629</v>
      </c>
      <c r="E15" s="2608" t="s">
        <v>2146</v>
      </c>
      <c r="F15" s="4323" t="str">
        <f>IF(SUM(E15)=0,"NA",SUM(G15)*1000/E15)</f>
        <v>NA</v>
      </c>
      <c r="G15" s="691" t="s">
        <v>2146</v>
      </c>
      <c r="H15" s="2610" t="s">
        <v>2146</v>
      </c>
    </row>
    <row r="16" spans="2:8" ht="18" customHeight="1" x14ac:dyDescent="0.2">
      <c r="B16" s="1169" t="s">
        <v>626</v>
      </c>
      <c r="C16" s="2507"/>
      <c r="D16" s="1825"/>
      <c r="E16" s="1826"/>
      <c r="F16" s="4322"/>
      <c r="G16" s="1913" t="str">
        <f>G17</f>
        <v>NO</v>
      </c>
      <c r="H16" s="2611" t="str">
        <f>H17</f>
        <v>NO</v>
      </c>
    </row>
    <row r="17" spans="2:8" ht="18" customHeight="1" x14ac:dyDescent="0.2">
      <c r="B17" s="1170" t="s">
        <v>627</v>
      </c>
      <c r="C17" s="2507" t="s">
        <v>628</v>
      </c>
      <c r="D17" s="74" t="s">
        <v>629</v>
      </c>
      <c r="E17" s="2608" t="s">
        <v>2146</v>
      </c>
      <c r="F17" s="4323" t="str">
        <f t="shared" ref="F17:F19" si="1">IF(SUM(E17)=0,"NA",SUM(G17)*1000/E17)</f>
        <v>NA</v>
      </c>
      <c r="G17" s="691" t="s">
        <v>2146</v>
      </c>
      <c r="H17" s="2610" t="s">
        <v>2146</v>
      </c>
    </row>
    <row r="18" spans="2:8" ht="18" customHeight="1" x14ac:dyDescent="0.25">
      <c r="B18" s="1170" t="s">
        <v>630</v>
      </c>
      <c r="C18" s="2507" t="s">
        <v>631</v>
      </c>
      <c r="D18" s="74" t="s">
        <v>629</v>
      </c>
      <c r="E18" s="2608" t="s">
        <v>2146</v>
      </c>
      <c r="F18" s="4323" t="str">
        <f t="shared" si="1"/>
        <v>NA</v>
      </c>
      <c r="G18" s="691" t="s">
        <v>2146</v>
      </c>
      <c r="H18" s="2610" t="s">
        <v>2146</v>
      </c>
    </row>
    <row r="19" spans="2:8" ht="18" customHeight="1" x14ac:dyDescent="0.25">
      <c r="B19" s="1170" t="s">
        <v>632</v>
      </c>
      <c r="C19" s="2507" t="s">
        <v>633</v>
      </c>
      <c r="D19" s="74" t="s">
        <v>629</v>
      </c>
      <c r="E19" s="2608" t="s">
        <v>2146</v>
      </c>
      <c r="F19" s="4323" t="str">
        <f t="shared" si="1"/>
        <v>NA</v>
      </c>
      <c r="G19" s="691" t="s">
        <v>2146</v>
      </c>
      <c r="H19" s="2610" t="s">
        <v>2146</v>
      </c>
    </row>
    <row r="20" spans="2:8" ht="18" customHeight="1" x14ac:dyDescent="0.2">
      <c r="B20" s="1170" t="s">
        <v>634</v>
      </c>
      <c r="C20" s="2507"/>
      <c r="D20" s="75"/>
      <c r="E20" s="75"/>
      <c r="F20" s="4322"/>
      <c r="G20" s="1913" t="str">
        <f>G21</f>
        <v>NO</v>
      </c>
      <c r="H20" s="2611" t="str">
        <f>H21</f>
        <v>NO</v>
      </c>
    </row>
    <row r="21" spans="2:8" ht="18" customHeight="1" x14ac:dyDescent="0.2">
      <c r="B21" s="2609" t="s">
        <v>2147</v>
      </c>
      <c r="C21" s="2507"/>
      <c r="D21" s="74" t="s">
        <v>629</v>
      </c>
      <c r="E21" s="2608" t="s">
        <v>2146</v>
      </c>
      <c r="F21" s="4323" t="str">
        <f>IF(SUM(E21)=0,"NA",SUM(G21)*1000/E21)</f>
        <v>NA</v>
      </c>
      <c r="G21" s="691" t="s">
        <v>2146</v>
      </c>
      <c r="H21" s="2610" t="s">
        <v>2146</v>
      </c>
    </row>
    <row r="22" spans="2:8" ht="18" customHeight="1" x14ac:dyDescent="0.2">
      <c r="B22" s="89" t="s">
        <v>635</v>
      </c>
      <c r="C22" s="2507"/>
      <c r="D22" s="1828"/>
      <c r="E22" s="1829"/>
      <c r="F22" s="4322"/>
      <c r="G22" s="3188">
        <f>IF(SUM(G23,G28,G29)=0,"NO",SUM(G23,G28,G29))</f>
        <v>28.521542861387008</v>
      </c>
      <c r="H22" s="2611" t="str">
        <f>H23</f>
        <v>NO</v>
      </c>
    </row>
    <row r="23" spans="2:8" ht="18" customHeight="1" x14ac:dyDescent="0.2">
      <c r="B23" s="169" t="s">
        <v>636</v>
      </c>
      <c r="C23" s="2507"/>
      <c r="D23" s="76"/>
      <c r="E23" s="76"/>
      <c r="F23" s="4322"/>
      <c r="G23" s="3188">
        <f>IF(SUM(G24,G27)=0,"NO",SUM(G24,G27))</f>
        <v>28.521542861387008</v>
      </c>
      <c r="H23" s="2611" t="str">
        <f>H24</f>
        <v>NO</v>
      </c>
    </row>
    <row r="24" spans="2:8" ht="18" customHeight="1" x14ac:dyDescent="0.2">
      <c r="B24" s="171" t="s">
        <v>637</v>
      </c>
      <c r="C24" s="2507"/>
      <c r="D24" s="76"/>
      <c r="E24" s="76"/>
      <c r="F24" s="4322"/>
      <c r="G24" s="3188">
        <f>IF(SUM(G25:G26)=0,"NO",SUM(G25:G26))</f>
        <v>28.521542861387008</v>
      </c>
      <c r="H24" s="2611" t="str">
        <f>H25</f>
        <v>NO</v>
      </c>
    </row>
    <row r="25" spans="2:8" ht="18" customHeight="1" x14ac:dyDescent="0.25">
      <c r="B25" s="2609" t="s">
        <v>1741</v>
      </c>
      <c r="C25" s="2620" t="s">
        <v>1741</v>
      </c>
      <c r="D25" s="73" t="s">
        <v>638</v>
      </c>
      <c r="E25" s="691">
        <v>1651974</v>
      </c>
      <c r="F25" s="4320">
        <f t="shared" ref="F25:F28" si="2">IF(SUM(E25)=0,"NA",G25*1000/E25)</f>
        <v>1.5484365387340849E-2</v>
      </c>
      <c r="G25" s="691">
        <v>25.579769026387009</v>
      </c>
      <c r="H25" s="2610" t="s">
        <v>2146</v>
      </c>
    </row>
    <row r="26" spans="2:8" ht="18" customHeight="1" x14ac:dyDescent="0.25">
      <c r="B26" s="2609" t="s">
        <v>1742</v>
      </c>
      <c r="C26" s="2620" t="s">
        <v>1742</v>
      </c>
      <c r="D26" s="73" t="s">
        <v>638</v>
      </c>
      <c r="E26" s="691">
        <v>1651974</v>
      </c>
      <c r="F26" s="4320">
        <f t="shared" si="2"/>
        <v>1.7807627934822222E-3</v>
      </c>
      <c r="G26" s="691">
        <v>2.9417738350000002</v>
      </c>
      <c r="H26" s="2610" t="s">
        <v>2146</v>
      </c>
    </row>
    <row r="27" spans="2:8" ht="18" customHeight="1" x14ac:dyDescent="0.2">
      <c r="B27" s="171" t="s">
        <v>639</v>
      </c>
      <c r="C27" s="2507"/>
      <c r="D27" s="1830"/>
      <c r="E27" s="1831" t="s">
        <v>2146</v>
      </c>
      <c r="F27" s="4320" t="str">
        <f t="shared" si="2"/>
        <v>NA</v>
      </c>
      <c r="G27" s="3189" t="s">
        <v>2146</v>
      </c>
      <c r="H27" s="2610" t="s">
        <v>2146</v>
      </c>
    </row>
    <row r="28" spans="2:8" ht="18" customHeight="1" x14ac:dyDescent="0.2">
      <c r="B28" s="169" t="s">
        <v>640</v>
      </c>
      <c r="C28" s="2620" t="s">
        <v>2193</v>
      </c>
      <c r="D28" s="1830" t="s">
        <v>2292</v>
      </c>
      <c r="E28" s="4211" t="s">
        <v>2146</v>
      </c>
      <c r="F28" s="4320" t="str">
        <f t="shared" si="2"/>
        <v>NA</v>
      </c>
      <c r="G28" s="691" t="s">
        <v>2146</v>
      </c>
      <c r="H28" s="2610" t="s">
        <v>2146</v>
      </c>
    </row>
    <row r="29" spans="2:8" ht="18" customHeight="1" x14ac:dyDescent="0.2">
      <c r="B29" s="169" t="s">
        <v>536</v>
      </c>
      <c r="C29" s="2507"/>
      <c r="D29" s="1832"/>
      <c r="E29" s="1833"/>
      <c r="F29" s="4322"/>
      <c r="G29" s="3188" t="s">
        <v>2146</v>
      </c>
      <c r="H29" s="2611" t="s">
        <v>2146</v>
      </c>
    </row>
    <row r="30" spans="2:8" ht="18" customHeight="1" x14ac:dyDescent="0.2">
      <c r="B30" s="1242" t="s">
        <v>203</v>
      </c>
      <c r="C30" s="2507"/>
      <c r="D30" s="2390"/>
      <c r="E30" s="2391"/>
      <c r="F30" s="3190"/>
      <c r="G30" s="3190"/>
      <c r="H30" s="2392"/>
    </row>
    <row r="31" spans="2:8" ht="18" customHeight="1" x14ac:dyDescent="0.2">
      <c r="B31" s="1170" t="s">
        <v>537</v>
      </c>
      <c r="C31" s="2507"/>
      <c r="D31" s="1830"/>
      <c r="E31" s="2608" t="s">
        <v>2146</v>
      </c>
      <c r="F31" s="4320" t="str">
        <f>IF(SUM(E31)=0,"NA",G31*1000/E31)</f>
        <v>NA</v>
      </c>
      <c r="G31" s="691" t="s">
        <v>2146</v>
      </c>
      <c r="H31" s="2610" t="s">
        <v>2146</v>
      </c>
    </row>
    <row r="32" spans="2:8" ht="18" customHeight="1" x14ac:dyDescent="0.2">
      <c r="B32" s="2421" t="s">
        <v>641</v>
      </c>
      <c r="C32" s="2507"/>
      <c r="D32" s="1832"/>
      <c r="E32" s="1833"/>
      <c r="F32" s="4322"/>
      <c r="G32" s="3188" t="s">
        <v>2146</v>
      </c>
      <c r="H32" s="2611" t="s">
        <v>2146</v>
      </c>
    </row>
    <row r="33" spans="2:8" ht="18" customHeight="1" x14ac:dyDescent="0.2">
      <c r="B33" s="2609" t="s">
        <v>2185</v>
      </c>
      <c r="C33" s="2507"/>
      <c r="D33" s="1830"/>
      <c r="E33" s="2608" t="s">
        <v>2146</v>
      </c>
      <c r="F33" s="4323" t="str">
        <f>IF(SUM(E33)=0,"NA",SUM(G33)*1000/E33)</f>
        <v>NA</v>
      </c>
      <c r="G33" s="691" t="s">
        <v>2146</v>
      </c>
      <c r="H33" s="2610" t="s">
        <v>2146</v>
      </c>
    </row>
    <row r="34" spans="2:8" ht="18" customHeight="1" x14ac:dyDescent="0.2">
      <c r="B34" s="89" t="s">
        <v>642</v>
      </c>
      <c r="C34" s="2507"/>
      <c r="D34" s="75"/>
      <c r="E34" s="75"/>
      <c r="F34" s="4322"/>
      <c r="G34" s="3188" t="s">
        <v>2146</v>
      </c>
      <c r="H34" s="2611" t="s">
        <v>2146</v>
      </c>
    </row>
    <row r="35" spans="2:8" ht="18" customHeight="1" x14ac:dyDescent="0.2">
      <c r="B35" s="170" t="s">
        <v>547</v>
      </c>
      <c r="C35" s="2507" t="s">
        <v>643</v>
      </c>
      <c r="D35" s="144" t="s">
        <v>644</v>
      </c>
      <c r="E35" s="2608" t="s">
        <v>2146</v>
      </c>
      <c r="F35" s="4323" t="str">
        <f t="shared" ref="F35:F38" si="3">IF(SUM(E35)=0,"NA",SUM(G35)*1000/E35)</f>
        <v>NA</v>
      </c>
      <c r="G35" s="691" t="s">
        <v>2146</v>
      </c>
      <c r="H35" s="2610" t="s">
        <v>2146</v>
      </c>
    </row>
    <row r="36" spans="2:8" ht="18" customHeight="1" x14ac:dyDescent="0.2">
      <c r="B36" s="170" t="s">
        <v>548</v>
      </c>
      <c r="C36" s="2507" t="s">
        <v>645</v>
      </c>
      <c r="D36" s="144" t="s">
        <v>644</v>
      </c>
      <c r="E36" s="2608" t="s">
        <v>2146</v>
      </c>
      <c r="F36" s="4323" t="str">
        <f t="shared" si="3"/>
        <v>NA</v>
      </c>
      <c r="G36" s="691" t="s">
        <v>2146</v>
      </c>
      <c r="H36" s="2610" t="s">
        <v>2146</v>
      </c>
    </row>
    <row r="37" spans="2:8" ht="18" customHeight="1" x14ac:dyDescent="0.2">
      <c r="B37" s="170" t="s">
        <v>601</v>
      </c>
      <c r="C37" s="2507" t="s">
        <v>2098</v>
      </c>
      <c r="D37" s="144" t="s">
        <v>644</v>
      </c>
      <c r="E37" s="2608" t="s">
        <v>2146</v>
      </c>
      <c r="F37" s="4323" t="str">
        <f t="shared" si="3"/>
        <v>NA</v>
      </c>
      <c r="G37" s="691" t="s">
        <v>2146</v>
      </c>
      <c r="H37" s="2610" t="s">
        <v>2146</v>
      </c>
    </row>
    <row r="38" spans="2:8" ht="18" customHeight="1" x14ac:dyDescent="0.2">
      <c r="B38" s="170" t="s">
        <v>602</v>
      </c>
      <c r="C38" s="2507" t="s">
        <v>646</v>
      </c>
      <c r="D38" s="144" t="s">
        <v>644</v>
      </c>
      <c r="E38" s="2608" t="s">
        <v>2146</v>
      </c>
      <c r="F38" s="4323" t="str">
        <f t="shared" si="3"/>
        <v>NA</v>
      </c>
      <c r="G38" s="691" t="s">
        <v>2146</v>
      </c>
      <c r="H38" s="2610" t="s">
        <v>2146</v>
      </c>
    </row>
    <row r="39" spans="2:8" ht="18" customHeight="1" x14ac:dyDescent="0.2">
      <c r="B39" s="170" t="s">
        <v>647</v>
      </c>
      <c r="C39" s="2507"/>
      <c r="D39" s="145"/>
      <c r="E39" s="107"/>
      <c r="F39" s="4324"/>
      <c r="G39" s="3188" t="s">
        <v>2146</v>
      </c>
      <c r="H39" s="2611" t="s">
        <v>2146</v>
      </c>
    </row>
    <row r="40" spans="2:8" ht="18" customHeight="1" x14ac:dyDescent="0.2">
      <c r="B40" s="1242" t="s">
        <v>203</v>
      </c>
      <c r="C40" s="2507"/>
      <c r="D40" s="2390"/>
      <c r="E40" s="2391"/>
      <c r="F40" s="3190"/>
      <c r="G40" s="3190"/>
      <c r="H40" s="2392"/>
    </row>
    <row r="41" spans="2:8" ht="18" customHeight="1" x14ac:dyDescent="0.2">
      <c r="B41" s="2422" t="s">
        <v>648</v>
      </c>
      <c r="C41" s="2507"/>
      <c r="D41" s="2389" t="s">
        <v>644</v>
      </c>
      <c r="E41" s="2608" t="s">
        <v>2146</v>
      </c>
      <c r="F41" s="4323" t="str">
        <f>IF(SUM(E41)=0,"NA",SUM(G41)*1000/E41)</f>
        <v>NA</v>
      </c>
      <c r="G41" s="691" t="s">
        <v>2146</v>
      </c>
      <c r="H41" s="2610" t="s">
        <v>2146</v>
      </c>
    </row>
    <row r="42" spans="2:8" ht="18" customHeight="1" x14ac:dyDescent="0.2">
      <c r="B42" s="2421" t="s">
        <v>649</v>
      </c>
      <c r="C42" s="2507"/>
      <c r="D42" s="145"/>
      <c r="E42" s="107"/>
      <c r="F42" s="4324"/>
      <c r="G42" s="3188" t="s">
        <v>2146</v>
      </c>
      <c r="H42" s="2611" t="s">
        <v>2146</v>
      </c>
    </row>
    <row r="43" spans="2:8" ht="18" customHeight="1" thickBot="1" x14ac:dyDescent="0.25">
      <c r="B43" s="2613" t="s">
        <v>2147</v>
      </c>
      <c r="C43" s="2512"/>
      <c r="D43" s="146" t="s">
        <v>644</v>
      </c>
      <c r="E43" s="2614" t="s">
        <v>2146</v>
      </c>
      <c r="F43" s="4325" t="str">
        <f>IF(SUM(E43)=0,"NA",SUM(G43)*1000/E43)</f>
        <v>NA</v>
      </c>
      <c r="G43" s="1559" t="s">
        <v>2146</v>
      </c>
      <c r="H43" s="2615" t="s">
        <v>2146</v>
      </c>
    </row>
    <row r="44" spans="2:8" x14ac:dyDescent="0.2">
      <c r="B44" s="1993"/>
    </row>
    <row r="45" spans="2:8" x14ac:dyDescent="0.2">
      <c r="B45" s="2015"/>
      <c r="C45" s="2015"/>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6"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8"/>
      <c r="D10" s="2136"/>
      <c r="E10" s="2136"/>
      <c r="F10" s="2136"/>
      <c r="G10" s="2136"/>
      <c r="H10" s="2136"/>
      <c r="I10" s="2136"/>
      <c r="J10" s="3224">
        <f>IF(SUM(J11,J90,J117,J130,J146,J159)=0,"NO",SUM(J11,J90,J117,J130,J146,J159))</f>
        <v>32.700020649585596</v>
      </c>
      <c r="K10" s="3224">
        <f>IF(SUM(K11,K90,K117,K130,K146,K159)=0,"NO",SUM(K11,K90,K117,K130,K146,K159))</f>
        <v>3341.0716166742604</v>
      </c>
      <c r="L10" s="3225">
        <f>IF(SUM(L11,L90,L117,L130,L146,L159)=0,"NO",SUM(L11,L90,L117,L130,L146,L159))</f>
        <v>1567.3343456762564</v>
      </c>
      <c r="M10" s="3498">
        <f>IF(SUM(M11,M90,M117,M130,M146,M159)=0,"NO",SUM(M11,M90,M117,M130,M146,M159))</f>
        <v>-293.46775707591053</v>
      </c>
    </row>
    <row r="11" spans="1:13" ht="18" customHeight="1" x14ac:dyDescent="0.2">
      <c r="B11" s="147" t="s">
        <v>667</v>
      </c>
      <c r="C11" s="2508"/>
      <c r="D11" s="2108"/>
      <c r="E11" s="2108"/>
      <c r="F11" s="2108"/>
      <c r="G11" s="2108"/>
      <c r="H11" s="2108"/>
      <c r="I11" s="2108"/>
      <c r="J11" s="3103">
        <f>IF(SUM(J12,J25,J38,J51,J64,J77)=0,"NO",SUM(J12,J25,J38,J51,J64,J77))</f>
        <v>17.065917370182394</v>
      </c>
      <c r="K11" s="3103">
        <f t="shared" ref="K11:M11" si="0">IF(SUM(K12,K25,K38,K51,K64,K77)=0,"NO",SUM(K12,K25,K38,K51,K64,K77))</f>
        <v>3215.1824637011005</v>
      </c>
      <c r="L11" s="3103">
        <f t="shared" si="0"/>
        <v>1518.4615762483097</v>
      </c>
      <c r="M11" s="3226">
        <f t="shared" si="0"/>
        <v>-284.02179198146723</v>
      </c>
    </row>
    <row r="12" spans="1:13" ht="18" customHeight="1" x14ac:dyDescent="0.2">
      <c r="B12" s="104" t="s">
        <v>668</v>
      </c>
      <c r="C12" s="2508"/>
      <c r="D12" s="2108"/>
      <c r="E12" s="2108"/>
      <c r="F12" s="2108"/>
      <c r="G12" s="2108"/>
      <c r="H12" s="2108"/>
      <c r="I12" s="2108"/>
      <c r="J12" s="3103">
        <f>IF(SUM(J13:J24)=0,"NO",SUM(J13:J24))</f>
        <v>13.036291397854121</v>
      </c>
      <c r="K12" s="3103">
        <f>IF(SUM(K13:K24)=0,"NO",SUM(K13:K24))</f>
        <v>1985.3780679298495</v>
      </c>
      <c r="L12" s="3103">
        <f>IF(SUM(L13:L24)=0,"NO",SUM(L13:L24))</f>
        <v>585.80674357562077</v>
      </c>
      <c r="M12" s="3226">
        <f>IF(SUM(M13:M24)=0,"NO",SUM(M13:M24))</f>
        <v>-92.948153856665087</v>
      </c>
    </row>
    <row r="13" spans="1:13" ht="18" customHeight="1" x14ac:dyDescent="0.2">
      <c r="B13" s="2616" t="s">
        <v>559</v>
      </c>
      <c r="C13" s="2618" t="s">
        <v>559</v>
      </c>
      <c r="D13" s="3227">
        <v>6.1526334455903662</v>
      </c>
      <c r="E13" s="3227">
        <v>118.29437579650434</v>
      </c>
      <c r="F13" s="3227">
        <v>5.6154181686498674</v>
      </c>
      <c r="G13" s="3103">
        <f>IF(SUM(D13)=0,"NA",J13/D13)</f>
        <v>1.7500000000000002E-2</v>
      </c>
      <c r="H13" s="3103">
        <f>IF(SUM(E13)=0,"NA",K13/E13)</f>
        <v>0.138619444486166</v>
      </c>
      <c r="I13" s="3103">
        <f>IF(SUM(F13)=0,"NA",(SUM(L13:M13))/F13)</f>
        <v>0.72491194862475195</v>
      </c>
      <c r="J13" s="3227">
        <v>0.10767108529783143</v>
      </c>
      <c r="K13" s="3227">
        <v>16.397900658749194</v>
      </c>
      <c r="L13" s="3227">
        <v>4.8430509478143406</v>
      </c>
      <c r="M13" s="3497">
        <v>-0.77236722083552944</v>
      </c>
    </row>
    <row r="14" spans="1:13" ht="18" customHeight="1" x14ac:dyDescent="0.2">
      <c r="B14" s="2616" t="s">
        <v>560</v>
      </c>
      <c r="C14" s="2618" t="s">
        <v>560</v>
      </c>
      <c r="D14" s="3227">
        <v>63.357626758849122</v>
      </c>
      <c r="E14" s="3227">
        <v>1218.1533282723949</v>
      </c>
      <c r="F14" s="3227">
        <v>57.825575271214632</v>
      </c>
      <c r="G14" s="3103">
        <f t="shared" ref="G14:G24" si="1">IF(SUM(D14)=0,"NA",J14/D14)</f>
        <v>1.7500000000000005E-2</v>
      </c>
      <c r="H14" s="3103">
        <f t="shared" ref="H14:H24" si="2">IF(SUM(E14)=0,"NA",K14/E14)</f>
        <v>0.138619444486166</v>
      </c>
      <c r="I14" s="3103">
        <f t="shared" ref="I14:I78" si="3">IF(SUM(F14)=0,"NA",(SUM(L14:M14))/F14)</f>
        <v>0.72491194862475117</v>
      </c>
      <c r="J14" s="3227">
        <v>1.1087584682798599</v>
      </c>
      <c r="K14" s="3227">
        <v>168.85973766409359</v>
      </c>
      <c r="L14" s="3227">
        <v>49.87201286070902</v>
      </c>
      <c r="M14" s="3497">
        <v>-7.9535624105055973</v>
      </c>
    </row>
    <row r="15" spans="1:13" ht="18" customHeight="1" x14ac:dyDescent="0.2">
      <c r="B15" s="2616" t="s">
        <v>562</v>
      </c>
      <c r="C15" s="2618" t="s">
        <v>562</v>
      </c>
      <c r="D15" s="3227" t="s">
        <v>2146</v>
      </c>
      <c r="E15" s="3227" t="s">
        <v>2146</v>
      </c>
      <c r="F15" s="3227" t="s">
        <v>2146</v>
      </c>
      <c r="G15" s="3103" t="str">
        <f t="shared" ref="G15" si="4">IF(SUM(D15)=0,"NA",J15/D15)</f>
        <v>NA</v>
      </c>
      <c r="H15" s="3103" t="str">
        <f t="shared" ref="H15" si="5">IF(SUM(E15)=0,"NA",K15/E15)</f>
        <v>NA</v>
      </c>
      <c r="I15" s="3103" t="str">
        <f t="shared" si="3"/>
        <v>NA</v>
      </c>
      <c r="J15" s="3227" t="s">
        <v>2146</v>
      </c>
      <c r="K15" s="3227" t="s">
        <v>2146</v>
      </c>
      <c r="L15" s="3227" t="s">
        <v>2146</v>
      </c>
      <c r="M15" s="3497" t="s">
        <v>2146</v>
      </c>
    </row>
    <row r="16" spans="1:13" ht="18" customHeight="1" x14ac:dyDescent="0.2">
      <c r="B16" s="2616" t="s">
        <v>563</v>
      </c>
      <c r="C16" s="2618" t="s">
        <v>563</v>
      </c>
      <c r="D16" s="3227">
        <v>142.24792778434767</v>
      </c>
      <c r="E16" s="3227">
        <v>2734.9475593505017</v>
      </c>
      <c r="F16" s="3227">
        <v>129.82759418335129</v>
      </c>
      <c r="G16" s="3103">
        <f t="shared" si="1"/>
        <v>1.7500000000000002E-2</v>
      </c>
      <c r="H16" s="3103">
        <f t="shared" si="2"/>
        <v>0.138619444486166</v>
      </c>
      <c r="I16" s="3103">
        <f t="shared" si="3"/>
        <v>0.72491194862475083</v>
      </c>
      <c r="J16" s="3227">
        <v>2.4893387362260846</v>
      </c>
      <c r="K16" s="3227">
        <v>379.11691137596205</v>
      </c>
      <c r="L16" s="3227">
        <v>111.97058423403388</v>
      </c>
      <c r="M16" s="3497">
        <v>-17.85700994931733</v>
      </c>
    </row>
    <row r="17" spans="2:13" ht="18" customHeight="1" x14ac:dyDescent="0.2">
      <c r="B17" s="2616" t="s">
        <v>564</v>
      </c>
      <c r="C17" s="2618" t="s">
        <v>564</v>
      </c>
      <c r="D17" s="3227">
        <v>0.36293629909971392</v>
      </c>
      <c r="E17" s="3227">
        <v>6.978040108445704</v>
      </c>
      <c r="F17" s="3227">
        <v>0.3312466289516649</v>
      </c>
      <c r="G17" s="3103">
        <f t="shared" si="1"/>
        <v>1.7500000000000005E-2</v>
      </c>
      <c r="H17" s="3103">
        <f t="shared" si="2"/>
        <v>0.138619444486166</v>
      </c>
      <c r="I17" s="3103">
        <f t="shared" si="3"/>
        <v>0.72491194862475128</v>
      </c>
      <c r="J17" s="3227">
        <v>6.3513852342449951E-3</v>
      </c>
      <c r="K17" s="3227">
        <v>0.96729204343492903</v>
      </c>
      <c r="L17" s="3227">
        <v>0.28568563411019809</v>
      </c>
      <c r="M17" s="3497">
        <v>-4.5560994841466758E-2</v>
      </c>
    </row>
    <row r="18" spans="2:13" ht="18" customHeight="1" x14ac:dyDescent="0.2">
      <c r="B18" s="2616" t="s">
        <v>565</v>
      </c>
      <c r="C18" s="2618" t="s">
        <v>565</v>
      </c>
      <c r="D18" s="3227">
        <v>397.66310947293636</v>
      </c>
      <c r="E18" s="3227">
        <v>7645.7194676716535</v>
      </c>
      <c r="F18" s="3227">
        <v>362.94127867093499</v>
      </c>
      <c r="G18" s="3103">
        <f t="shared" si="1"/>
        <v>1.7500000000000002E-2</v>
      </c>
      <c r="H18" s="3103">
        <f t="shared" si="2"/>
        <v>0.138619444486166</v>
      </c>
      <c r="I18" s="3103">
        <f t="shared" si="3"/>
        <v>0.72491194862475161</v>
      </c>
      <c r="J18" s="3227">
        <v>6.9591044157763875</v>
      </c>
      <c r="K18" s="3227">
        <v>1059.8453853057094</v>
      </c>
      <c r="L18" s="3227">
        <v>313.0208741143208</v>
      </c>
      <c r="M18" s="3497">
        <v>-49.920404556614301</v>
      </c>
    </row>
    <row r="19" spans="2:13" ht="18" customHeight="1" x14ac:dyDescent="0.2">
      <c r="B19" s="2616" t="s">
        <v>567</v>
      </c>
      <c r="C19" s="2618" t="s">
        <v>567</v>
      </c>
      <c r="D19" s="3227">
        <v>88.34978305876885</v>
      </c>
      <c r="E19" s="3227">
        <v>1698.6681444811475</v>
      </c>
      <c r="F19" s="3227">
        <v>80.635549211867641</v>
      </c>
      <c r="G19" s="3103">
        <f t="shared" si="1"/>
        <v>1.7500000000000002E-2</v>
      </c>
      <c r="H19" s="3103">
        <f t="shared" si="2"/>
        <v>0.13861944448616598</v>
      </c>
      <c r="I19" s="3103">
        <f t="shared" si="3"/>
        <v>0.72491194862475195</v>
      </c>
      <c r="J19" s="3227">
        <v>1.5461212035284551</v>
      </c>
      <c r="K19" s="3227">
        <v>235.46843455432301</v>
      </c>
      <c r="L19" s="3227">
        <v>69.54461115973487</v>
      </c>
      <c r="M19" s="3497">
        <v>-11.090938052132818</v>
      </c>
    </row>
    <row r="20" spans="2:13" ht="18" customHeight="1" x14ac:dyDescent="0.2">
      <c r="B20" s="2616" t="s">
        <v>569</v>
      </c>
      <c r="C20" s="2618" t="s">
        <v>569</v>
      </c>
      <c r="D20" s="3227">
        <v>14.532203027540321</v>
      </c>
      <c r="E20" s="3227">
        <v>279.40521750455127</v>
      </c>
      <c r="F20" s="3227">
        <v>13.263328237089267</v>
      </c>
      <c r="G20" s="3103">
        <f t="shared" si="1"/>
        <v>1.7500000000000005E-2</v>
      </c>
      <c r="H20" s="3103">
        <f t="shared" si="2"/>
        <v>0.13861944448616598</v>
      </c>
      <c r="I20" s="3103">
        <f t="shared" si="3"/>
        <v>0.72491194862475139</v>
      </c>
      <c r="J20" s="3227">
        <v>0.25431355298195568</v>
      </c>
      <c r="K20" s="3227">
        <v>38.730996037017277</v>
      </c>
      <c r="L20" s="3227">
        <v>11.24286983475308</v>
      </c>
      <c r="M20" s="3497">
        <v>-1.6281247171550113</v>
      </c>
    </row>
    <row r="21" spans="2:13" ht="18" customHeight="1" x14ac:dyDescent="0.2">
      <c r="B21" s="2616" t="s">
        <v>571</v>
      </c>
      <c r="C21" s="2618" t="s">
        <v>571</v>
      </c>
      <c r="D21" s="3227">
        <v>4.2408283197376324</v>
      </c>
      <c r="E21" s="3227">
        <v>81.536815638358746</v>
      </c>
      <c r="F21" s="3227">
        <v>3.87054171313379</v>
      </c>
      <c r="G21" s="3103">
        <f t="shared" si="1"/>
        <v>1.7500000000000002E-2</v>
      </c>
      <c r="H21" s="3103">
        <f t="shared" si="2"/>
        <v>0.13861944448616598</v>
      </c>
      <c r="I21" s="3103">
        <f t="shared" si="3"/>
        <v>0.72491194862475206</v>
      </c>
      <c r="J21" s="3227">
        <v>7.4214495595408575E-2</v>
      </c>
      <c r="K21" s="3227">
        <v>11.302588088960221</v>
      </c>
      <c r="L21" s="3227">
        <v>3.3381718243174969</v>
      </c>
      <c r="M21" s="3497">
        <v>-0.53236988881629532</v>
      </c>
    </row>
    <row r="22" spans="2:13" ht="18" customHeight="1" x14ac:dyDescent="0.2">
      <c r="B22" s="2616" t="s">
        <v>574</v>
      </c>
      <c r="C22" s="2618" t="s">
        <v>574</v>
      </c>
      <c r="D22" s="3227">
        <v>0.60313994162287043</v>
      </c>
      <c r="E22" s="3227">
        <v>12.527004697101606</v>
      </c>
      <c r="F22" s="3227">
        <v>0.55047696508799648</v>
      </c>
      <c r="G22" s="3103">
        <f t="shared" si="1"/>
        <v>1.7500000000000005E-2</v>
      </c>
      <c r="H22" s="3103">
        <f t="shared" si="2"/>
        <v>0.12832109545272891</v>
      </c>
      <c r="I22" s="3103">
        <f t="shared" si="3"/>
        <v>0.72491194862475095</v>
      </c>
      <c r="J22" s="3227">
        <v>1.0554948978400236E-2</v>
      </c>
      <c r="K22" s="3227">
        <v>1.6074789654735586</v>
      </c>
      <c r="L22" s="3227">
        <v>0.47476214726148736</v>
      </c>
      <c r="M22" s="3497">
        <v>-7.5714817826508851E-2</v>
      </c>
    </row>
    <row r="23" spans="2:13" ht="18" customHeight="1" x14ac:dyDescent="0.2">
      <c r="B23" s="2616" t="s">
        <v>576</v>
      </c>
      <c r="C23" s="2618" t="s">
        <v>576</v>
      </c>
      <c r="D23" s="3227">
        <v>16.537793455766121</v>
      </c>
      <c r="E23" s="3227">
        <v>317.96595249851623</v>
      </c>
      <c r="F23" s="3227">
        <v>15.093801160452053</v>
      </c>
      <c r="G23" s="3103">
        <f t="shared" si="1"/>
        <v>1.7500000000000005E-2</v>
      </c>
      <c r="H23" s="3103">
        <f t="shared" si="2"/>
        <v>0.13861944448616598</v>
      </c>
      <c r="I23" s="3103">
        <f t="shared" si="3"/>
        <v>0.72491194862475028</v>
      </c>
      <c r="J23" s="3227">
        <v>0.28941138547590722</v>
      </c>
      <c r="K23" s="3227">
        <v>44.076263700858959</v>
      </c>
      <c r="L23" s="3227">
        <v>12.794499142686419</v>
      </c>
      <c r="M23" s="3497">
        <v>-1.8528223313086045</v>
      </c>
    </row>
    <row r="24" spans="2:13" ht="18" customHeight="1" x14ac:dyDescent="0.2">
      <c r="B24" s="2616" t="s">
        <v>577</v>
      </c>
      <c r="C24" s="2618" t="s">
        <v>577</v>
      </c>
      <c r="D24" s="3227">
        <v>10.882955455976415</v>
      </c>
      <c r="E24" s="3227">
        <v>209.24250304697972</v>
      </c>
      <c r="F24" s="3227">
        <v>9.9327135829775113</v>
      </c>
      <c r="G24" s="3103">
        <f t="shared" si="1"/>
        <v>1.7500000000000005E-2</v>
      </c>
      <c r="H24" s="3103">
        <f t="shared" si="2"/>
        <v>0.13861944448616598</v>
      </c>
      <c r="I24" s="3103">
        <f t="shared" si="3"/>
        <v>0.72491194862475161</v>
      </c>
      <c r="J24" s="3227">
        <v>0.19045172047958731</v>
      </c>
      <c r="K24" s="3227">
        <v>29.005079535267221</v>
      </c>
      <c r="L24" s="3227">
        <v>8.419621675879398</v>
      </c>
      <c r="M24" s="3497">
        <v>-1.2192789173116323</v>
      </c>
    </row>
    <row r="25" spans="2:13" ht="18" customHeight="1" x14ac:dyDescent="0.2">
      <c r="B25" s="105" t="s">
        <v>669</v>
      </c>
      <c r="C25" s="2508"/>
      <c r="D25" s="2108"/>
      <c r="E25" s="2108"/>
      <c r="F25" s="2108"/>
      <c r="G25" s="2108"/>
      <c r="H25" s="2108"/>
      <c r="I25" s="2108"/>
      <c r="J25" s="3103" t="str">
        <f>IF(SUM(J26:J37)=0,"NO",SUM(J26:J37))</f>
        <v>NO</v>
      </c>
      <c r="K25" s="3103">
        <f>IF(SUM(K26:K37)=0,"NO",SUM(K26:K37))</f>
        <v>14.751349796862204</v>
      </c>
      <c r="L25" s="3103">
        <f>IF(SUM(L26:L37)=0,"NO",SUM(L26:L37))</f>
        <v>46.830130054328706</v>
      </c>
      <c r="M25" s="3226">
        <f>IF(SUM(M26:M37)=0,"NO",SUM(M26:M37))</f>
        <v>-6.1053091286823156</v>
      </c>
    </row>
    <row r="26" spans="2:13" ht="18" customHeight="1" x14ac:dyDescent="0.2">
      <c r="B26" s="2616" t="s">
        <v>559</v>
      </c>
      <c r="C26" s="2618" t="s">
        <v>559</v>
      </c>
      <c r="D26" s="3227" t="s">
        <v>2146</v>
      </c>
      <c r="E26" s="3227">
        <v>6.7028118181858778</v>
      </c>
      <c r="F26" s="3227">
        <v>0.4372114747673061</v>
      </c>
      <c r="G26" s="3103" t="str">
        <f>IF(SUM(D26)=0,"NA",J26/D26)</f>
        <v>NA</v>
      </c>
      <c r="H26" s="3103">
        <f>IF(SUM(E26)=0,"NA",K26/E26)</f>
        <v>1.8176897818137611E-2</v>
      </c>
      <c r="I26" s="3103">
        <f t="shared" si="3"/>
        <v>0.76932999053527296</v>
      </c>
      <c r="J26" s="3227" t="s">
        <v>2146</v>
      </c>
      <c r="K26" s="3227">
        <v>0.12183632551336988</v>
      </c>
      <c r="L26" s="3227">
        <v>0.38678568725597517</v>
      </c>
      <c r="M26" s="3497">
        <v>-5.0425787511330859E-2</v>
      </c>
    </row>
    <row r="27" spans="2:13" ht="18" customHeight="1" x14ac:dyDescent="0.2">
      <c r="B27" s="2616" t="s">
        <v>560</v>
      </c>
      <c r="C27" s="2618" t="s">
        <v>560</v>
      </c>
      <c r="D27" s="3227" t="s">
        <v>2146</v>
      </c>
      <c r="E27" s="3227">
        <v>69.023167586196877</v>
      </c>
      <c r="F27" s="3227">
        <v>4.5022479687695727</v>
      </c>
      <c r="G27" s="3103" t="str">
        <f t="shared" ref="G27:G37" si="6">IF(SUM(D27)=0,"NA",J27/D27)</f>
        <v>NA</v>
      </c>
      <c r="H27" s="3103">
        <f t="shared" ref="H27:H37" si="7">IF(SUM(E27)=0,"NA",K27/E27)</f>
        <v>1.8176897818137607E-2</v>
      </c>
      <c r="I27" s="3103">
        <f t="shared" si="3"/>
        <v>0.76932999053527296</v>
      </c>
      <c r="J27" s="3227" t="s">
        <v>2146</v>
      </c>
      <c r="K27" s="3227">
        <v>1.2546270642984885</v>
      </c>
      <c r="L27" s="3227">
        <v>3.9829811779852595</v>
      </c>
      <c r="M27" s="3497">
        <v>-0.51926679078431237</v>
      </c>
    </row>
    <row r="28" spans="2:13" ht="18" customHeight="1" x14ac:dyDescent="0.2">
      <c r="B28" s="2616" t="s">
        <v>562</v>
      </c>
      <c r="C28" s="2618" t="s">
        <v>562</v>
      </c>
      <c r="D28" s="3227" t="s">
        <v>2146</v>
      </c>
      <c r="E28" s="3227" t="s">
        <v>2146</v>
      </c>
      <c r="F28" s="3227" t="s">
        <v>2146</v>
      </c>
      <c r="G28" s="3103" t="str">
        <f t="shared" si="6"/>
        <v>NA</v>
      </c>
      <c r="H28" s="3103" t="str">
        <f t="shared" si="7"/>
        <v>NA</v>
      </c>
      <c r="I28" s="3103" t="str">
        <f t="shared" si="3"/>
        <v>NA</v>
      </c>
      <c r="J28" s="3227" t="s">
        <v>2146</v>
      </c>
      <c r="K28" s="3227" t="s">
        <v>2146</v>
      </c>
      <c r="L28" s="3227" t="s">
        <v>2146</v>
      </c>
      <c r="M28" s="3497" t="s">
        <v>2146</v>
      </c>
    </row>
    <row r="29" spans="2:13" ht="18" customHeight="1" x14ac:dyDescent="0.2">
      <c r="B29" s="2616" t="s">
        <v>563</v>
      </c>
      <c r="C29" s="2618" t="s">
        <v>563</v>
      </c>
      <c r="D29" s="3227" t="s">
        <v>2146</v>
      </c>
      <c r="E29" s="3227">
        <v>154.96796613956076</v>
      </c>
      <c r="F29" s="3227">
        <v>10.108261257423298</v>
      </c>
      <c r="G29" s="3103" t="str">
        <f t="shared" si="6"/>
        <v>NA</v>
      </c>
      <c r="H29" s="3103">
        <f t="shared" si="7"/>
        <v>1.8176897818137614E-2</v>
      </c>
      <c r="I29" s="3103">
        <f t="shared" si="3"/>
        <v>0.76932999053527307</v>
      </c>
      <c r="J29" s="3227" t="s">
        <v>2146</v>
      </c>
      <c r="K29" s="3227">
        <v>2.8168368856034056</v>
      </c>
      <c r="L29" s="3227">
        <v>8.9424248974624145</v>
      </c>
      <c r="M29" s="3497">
        <v>-1.1658363599608823</v>
      </c>
    </row>
    <row r="30" spans="2:13" ht="18" customHeight="1" x14ac:dyDescent="0.2">
      <c r="B30" s="2616" t="s">
        <v>564</v>
      </c>
      <c r="C30" s="2618" t="s">
        <v>564</v>
      </c>
      <c r="D30" s="3227" t="s">
        <v>2146</v>
      </c>
      <c r="E30" s="3227">
        <v>0.3953906463577373</v>
      </c>
      <c r="F30" s="3227">
        <v>2.5790568539346515E-2</v>
      </c>
      <c r="G30" s="3103" t="str">
        <f t="shared" si="6"/>
        <v>NA</v>
      </c>
      <c r="H30" s="3103">
        <f t="shared" si="7"/>
        <v>1.8176897818137611E-2</v>
      </c>
      <c r="I30" s="3103">
        <f t="shared" si="3"/>
        <v>0.76932999053527285</v>
      </c>
      <c r="J30" s="3227" t="s">
        <v>2146</v>
      </c>
      <c r="K30" s="3227">
        <v>7.1869753770919748E-3</v>
      </c>
      <c r="L30" s="3227">
        <v>2.2816013194810636E-2</v>
      </c>
      <c r="M30" s="3497">
        <v>-2.9745553445358745E-3</v>
      </c>
    </row>
    <row r="31" spans="2:13" ht="18" customHeight="1" x14ac:dyDescent="0.2">
      <c r="B31" s="2616" t="s">
        <v>565</v>
      </c>
      <c r="C31" s="2618" t="s">
        <v>565</v>
      </c>
      <c r="D31" s="3227" t="s">
        <v>2146</v>
      </c>
      <c r="E31" s="3227">
        <v>433.2227839352426</v>
      </c>
      <c r="F31" s="3227">
        <v>28.258285836583344</v>
      </c>
      <c r="G31" s="3103" t="str">
        <f t="shared" si="6"/>
        <v>NA</v>
      </c>
      <c r="H31" s="3103">
        <f t="shared" si="7"/>
        <v>1.8176897818137611E-2</v>
      </c>
      <c r="I31" s="3103">
        <f t="shared" si="3"/>
        <v>0.76932999053527307</v>
      </c>
      <c r="J31" s="3227" t="s">
        <v>2146</v>
      </c>
      <c r="K31" s="3227">
        <v>7.8746462760800133</v>
      </c>
      <c r="L31" s="3227">
        <v>24.999116305892525</v>
      </c>
      <c r="M31" s="3497">
        <v>-3.2591695306908193</v>
      </c>
    </row>
    <row r="32" spans="2:13" ht="18" customHeight="1" x14ac:dyDescent="0.2">
      <c r="B32" s="2616" t="s">
        <v>567</v>
      </c>
      <c r="C32" s="2618" t="s">
        <v>567</v>
      </c>
      <c r="D32" s="3227" t="s">
        <v>2146</v>
      </c>
      <c r="E32" s="3227">
        <v>96.250162675447896</v>
      </c>
      <c r="F32" s="3227">
        <v>6.2782122952864192</v>
      </c>
      <c r="G32" s="3103" t="str">
        <f t="shared" si="6"/>
        <v>NA</v>
      </c>
      <c r="H32" s="3103">
        <f t="shared" si="7"/>
        <v>1.8176897818137614E-2</v>
      </c>
      <c r="I32" s="3103">
        <f t="shared" si="3"/>
        <v>0.76932999053527296</v>
      </c>
      <c r="J32" s="3227" t="s">
        <v>2146</v>
      </c>
      <c r="K32" s="3227">
        <v>1.7495293719307392</v>
      </c>
      <c r="L32" s="3227">
        <v>5.5541146504987768</v>
      </c>
      <c r="M32" s="3497">
        <v>-0.72409764478764171</v>
      </c>
    </row>
    <row r="33" spans="2:13" ht="18" customHeight="1" x14ac:dyDescent="0.2">
      <c r="B33" s="2616" t="s">
        <v>569</v>
      </c>
      <c r="C33" s="2618" t="s">
        <v>569</v>
      </c>
      <c r="D33" s="3227" t="s">
        <v>2146</v>
      </c>
      <c r="E33" s="3227">
        <v>15.831695981675269</v>
      </c>
      <c r="F33" s="3227">
        <v>1.0326709649576986</v>
      </c>
      <c r="G33" s="3103" t="str">
        <f t="shared" si="6"/>
        <v>NA</v>
      </c>
      <c r="H33" s="3103">
        <f t="shared" si="7"/>
        <v>1.8176897818137611E-2</v>
      </c>
      <c r="I33" s="3103">
        <f t="shared" si="3"/>
        <v>0.76932999053527307</v>
      </c>
      <c r="J33" s="3227" t="s">
        <v>2146</v>
      </c>
      <c r="K33" s="3227">
        <v>0.28777112014673117</v>
      </c>
      <c r="L33" s="3227">
        <v>0.91356785432732823</v>
      </c>
      <c r="M33" s="3497">
        <v>-0.11910311063037055</v>
      </c>
    </row>
    <row r="34" spans="2:13" ht="18" customHeight="1" x14ac:dyDescent="0.2">
      <c r="B34" s="2616" t="s">
        <v>571</v>
      </c>
      <c r="C34" s="2618" t="s">
        <v>571</v>
      </c>
      <c r="D34" s="3227" t="s">
        <v>2146</v>
      </c>
      <c r="E34" s="3227">
        <v>4.6200500048979007</v>
      </c>
      <c r="F34" s="3227">
        <v>0.30135694256844126</v>
      </c>
      <c r="G34" s="3103" t="str">
        <f t="shared" si="6"/>
        <v>NA</v>
      </c>
      <c r="H34" s="3103">
        <f t="shared" si="7"/>
        <v>1.8176897818137614E-2</v>
      </c>
      <c r="I34" s="3103">
        <f t="shared" si="3"/>
        <v>0.76932999053527307</v>
      </c>
      <c r="J34" s="3227" t="s">
        <v>2146</v>
      </c>
      <c r="K34" s="3227">
        <v>8.3978176853715322E-2</v>
      </c>
      <c r="L34" s="3227">
        <v>0.2665999381711795</v>
      </c>
      <c r="M34" s="3497">
        <v>-3.4757004397261759E-2</v>
      </c>
    </row>
    <row r="35" spans="2:13" ht="18" customHeight="1" x14ac:dyDescent="0.2">
      <c r="B35" s="2616" t="s">
        <v>574</v>
      </c>
      <c r="C35" s="2618" t="s">
        <v>574</v>
      </c>
      <c r="D35" s="3227" t="s">
        <v>2146</v>
      </c>
      <c r="E35" s="3227">
        <v>0.65707368470442051</v>
      </c>
      <c r="F35" s="3227">
        <v>4.285964793774566E-2</v>
      </c>
      <c r="G35" s="3103" t="str">
        <f t="shared" si="6"/>
        <v>NA</v>
      </c>
      <c r="H35" s="3103">
        <f t="shared" si="7"/>
        <v>1.8176897818137614E-2</v>
      </c>
      <c r="I35" s="3103">
        <f t="shared" si="3"/>
        <v>0.76932999053527307</v>
      </c>
      <c r="J35" s="3227" t="s">
        <v>2146</v>
      </c>
      <c r="K35" s="3227">
        <v>1.1943561225859423E-2</v>
      </c>
      <c r="L35" s="3227">
        <v>3.7916430240018333E-2</v>
      </c>
      <c r="M35" s="3497">
        <v>-4.9432176977273288E-3</v>
      </c>
    </row>
    <row r="36" spans="2:13" ht="18" customHeight="1" x14ac:dyDescent="0.2">
      <c r="B36" s="2616" t="s">
        <v>576</v>
      </c>
      <c r="C36" s="2618" t="s">
        <v>576</v>
      </c>
      <c r="D36" s="3227" t="s">
        <v>2146</v>
      </c>
      <c r="E36" s="3227">
        <v>18.016629529827263</v>
      </c>
      <c r="F36" s="3227">
        <v>1.1751899621738018</v>
      </c>
      <c r="G36" s="3103" t="str">
        <f t="shared" si="6"/>
        <v>NA</v>
      </c>
      <c r="H36" s="3103">
        <f t="shared" si="7"/>
        <v>1.8176897818137611E-2</v>
      </c>
      <c r="I36" s="3103">
        <f t="shared" si="3"/>
        <v>0.76932999053527329</v>
      </c>
      <c r="J36" s="3227" t="s">
        <v>2146</v>
      </c>
      <c r="K36" s="3227">
        <v>0.32748643399091082</v>
      </c>
      <c r="L36" s="3227">
        <v>1.0396494223250605</v>
      </c>
      <c r="M36" s="3497">
        <v>-0.13554053984874148</v>
      </c>
    </row>
    <row r="37" spans="2:13" ht="18" customHeight="1" x14ac:dyDescent="0.2">
      <c r="B37" s="2616" t="s">
        <v>577</v>
      </c>
      <c r="C37" s="2618" t="s">
        <v>577</v>
      </c>
      <c r="D37" s="3227" t="s">
        <v>2146</v>
      </c>
      <c r="E37" s="3227">
        <v>11.856126826373895</v>
      </c>
      <c r="F37" s="3227">
        <v>0.77335226400404999</v>
      </c>
      <c r="G37" s="3103" t="str">
        <f t="shared" si="6"/>
        <v>NA</v>
      </c>
      <c r="H37" s="3103">
        <f t="shared" si="7"/>
        <v>1.8176897818137614E-2</v>
      </c>
      <c r="I37" s="3103">
        <f t="shared" si="3"/>
        <v>0.76932999053527296</v>
      </c>
      <c r="J37" s="3227" t="s">
        <v>2146</v>
      </c>
      <c r="K37" s="3227">
        <v>0.21550760584187847</v>
      </c>
      <c r="L37" s="3227">
        <v>0.68415767697535879</v>
      </c>
      <c r="M37" s="3497">
        <v>-8.9194587028691111E-2</v>
      </c>
    </row>
    <row r="38" spans="2:13" ht="18" customHeight="1" x14ac:dyDescent="0.2">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
      <c r="B39" s="2616" t="s">
        <v>559</v>
      </c>
      <c r="C39" s="2618" t="s">
        <v>559</v>
      </c>
      <c r="D39" s="3227" t="str">
        <f>IF(D13="NO","NO","IE")</f>
        <v>IE</v>
      </c>
      <c r="E39" s="3227" t="str">
        <f t="shared" ref="E39:F39" si="8">IF(E13="NO","NO","IE")</f>
        <v>IE</v>
      </c>
      <c r="F39" s="3227" t="str">
        <f t="shared" si="8"/>
        <v>IE</v>
      </c>
      <c r="G39" s="3103" t="str">
        <f>IF(SUM(D39)=0,"NA",J39/D39)</f>
        <v>NA</v>
      </c>
      <c r="H39" s="3103" t="str">
        <f>IF(SUM(E39)=0,"NA",K39/E39)</f>
        <v>NA</v>
      </c>
      <c r="I39" s="3103" t="str">
        <f t="shared" si="3"/>
        <v>NA</v>
      </c>
      <c r="J39" s="3227" t="str">
        <f>IF(J13="NO","NO","IE")</f>
        <v>IE</v>
      </c>
      <c r="K39" s="3227" t="str">
        <f t="shared" ref="K39:L39" si="9">IF(K13="NO","NO","IE")</f>
        <v>IE</v>
      </c>
      <c r="L39" s="3227" t="str">
        <f t="shared" si="9"/>
        <v>IE</v>
      </c>
      <c r="M39" s="3497" t="str">
        <f t="shared" ref="M39" si="10">IF(M13="NO","NO","IE")</f>
        <v>IE</v>
      </c>
    </row>
    <row r="40" spans="2:13" ht="18" customHeight="1" x14ac:dyDescent="0.2">
      <c r="B40" s="2616" t="s">
        <v>560</v>
      </c>
      <c r="C40" s="2618" t="s">
        <v>560</v>
      </c>
      <c r="D40" s="3227" t="str">
        <f t="shared" ref="D40:F50" si="11">IF(D14="NO","NO","IE")</f>
        <v>IE</v>
      </c>
      <c r="E40" s="3227" t="str">
        <f t="shared" si="11"/>
        <v>IE</v>
      </c>
      <c r="F40" s="3227" t="str">
        <f t="shared" si="11"/>
        <v>IE</v>
      </c>
      <c r="G40" s="3103" t="str">
        <f t="shared" ref="G40:G50" si="12">IF(SUM(D40)=0,"NA",J40/D40)</f>
        <v>NA</v>
      </c>
      <c r="H40" s="3103" t="str">
        <f t="shared" ref="H40:H50" si="13">IF(SUM(E40)=0,"NA",K40/E40)</f>
        <v>NA</v>
      </c>
      <c r="I40" s="3103" t="str">
        <f t="shared" si="3"/>
        <v>NA</v>
      </c>
      <c r="J40" s="3227" t="str">
        <f t="shared" ref="J40:L40" si="14">IF(J14="NO","NO","IE")</f>
        <v>IE</v>
      </c>
      <c r="K40" s="3227" t="str">
        <f t="shared" si="14"/>
        <v>IE</v>
      </c>
      <c r="L40" s="3227" t="str">
        <f t="shared" si="14"/>
        <v>IE</v>
      </c>
      <c r="M40" s="3497" t="str">
        <f t="shared" ref="M40" si="15">IF(M14="NO","NO","IE")</f>
        <v>IE</v>
      </c>
    </row>
    <row r="41" spans="2:13" ht="18" customHeight="1" x14ac:dyDescent="0.2">
      <c r="B41" s="2616" t="s">
        <v>562</v>
      </c>
      <c r="C41" s="2618" t="s">
        <v>562</v>
      </c>
      <c r="D41" s="3227" t="str">
        <f t="shared" si="11"/>
        <v>NO</v>
      </c>
      <c r="E41" s="3227" t="str">
        <f t="shared" si="11"/>
        <v>NO</v>
      </c>
      <c r="F41" s="3227" t="str">
        <f t="shared" si="11"/>
        <v>NO</v>
      </c>
      <c r="G41" s="3103" t="str">
        <f t="shared" si="12"/>
        <v>NA</v>
      </c>
      <c r="H41" s="3103" t="str">
        <f t="shared" si="13"/>
        <v>NA</v>
      </c>
      <c r="I41" s="3103" t="str">
        <f t="shared" si="3"/>
        <v>NA</v>
      </c>
      <c r="J41" s="3227" t="str">
        <f t="shared" ref="J41:L41" si="16">IF(J15="NO","NO","IE")</f>
        <v>NO</v>
      </c>
      <c r="K41" s="3227" t="str">
        <f t="shared" si="16"/>
        <v>NO</v>
      </c>
      <c r="L41" s="3227" t="str">
        <f t="shared" si="16"/>
        <v>NO</v>
      </c>
      <c r="M41" s="3497" t="str">
        <f t="shared" ref="M41" si="17">IF(M15="NO","NO","IE")</f>
        <v>NO</v>
      </c>
    </row>
    <row r="42" spans="2:13" ht="18" customHeight="1" x14ac:dyDescent="0.2">
      <c r="B42" s="2616" t="s">
        <v>563</v>
      </c>
      <c r="C42" s="2618" t="s">
        <v>563</v>
      </c>
      <c r="D42" s="3227" t="str">
        <f t="shared" si="11"/>
        <v>IE</v>
      </c>
      <c r="E42" s="3227" t="str">
        <f t="shared" si="11"/>
        <v>IE</v>
      </c>
      <c r="F42" s="3227" t="str">
        <f t="shared" si="11"/>
        <v>IE</v>
      </c>
      <c r="G42" s="3103" t="str">
        <f t="shared" si="12"/>
        <v>NA</v>
      </c>
      <c r="H42" s="3103" t="str">
        <f t="shared" si="13"/>
        <v>NA</v>
      </c>
      <c r="I42" s="3103" t="str">
        <f t="shared" si="3"/>
        <v>NA</v>
      </c>
      <c r="J42" s="3227" t="str">
        <f t="shared" ref="J42:L42" si="18">IF(J16="NO","NO","IE")</f>
        <v>IE</v>
      </c>
      <c r="K42" s="3227" t="str">
        <f t="shared" si="18"/>
        <v>IE</v>
      </c>
      <c r="L42" s="3227" t="str">
        <f t="shared" si="18"/>
        <v>IE</v>
      </c>
      <c r="M42" s="3497" t="str">
        <f t="shared" ref="M42" si="19">IF(M16="NO","NO","IE")</f>
        <v>IE</v>
      </c>
    </row>
    <row r="43" spans="2:13" ht="18" customHeight="1" x14ac:dyDescent="0.2">
      <c r="B43" s="2616" t="s">
        <v>564</v>
      </c>
      <c r="C43" s="2618" t="s">
        <v>564</v>
      </c>
      <c r="D43" s="3227" t="str">
        <f t="shared" si="11"/>
        <v>IE</v>
      </c>
      <c r="E43" s="3227" t="str">
        <f t="shared" si="11"/>
        <v>IE</v>
      </c>
      <c r="F43" s="3227" t="str">
        <f t="shared" si="11"/>
        <v>IE</v>
      </c>
      <c r="G43" s="3103" t="str">
        <f t="shared" si="12"/>
        <v>NA</v>
      </c>
      <c r="H43" s="3103" t="str">
        <f t="shared" si="13"/>
        <v>NA</v>
      </c>
      <c r="I43" s="3103" t="str">
        <f t="shared" si="3"/>
        <v>NA</v>
      </c>
      <c r="J43" s="3227" t="str">
        <f t="shared" ref="J43:L43" si="20">IF(J17="NO","NO","IE")</f>
        <v>IE</v>
      </c>
      <c r="K43" s="3227" t="str">
        <f t="shared" si="20"/>
        <v>IE</v>
      </c>
      <c r="L43" s="3227" t="str">
        <f t="shared" si="20"/>
        <v>IE</v>
      </c>
      <c r="M43" s="3497" t="str">
        <f t="shared" ref="M43" si="21">IF(M17="NO","NO","IE")</f>
        <v>IE</v>
      </c>
    </row>
    <row r="44" spans="2:13" ht="18" customHeight="1" x14ac:dyDescent="0.2">
      <c r="B44" s="2616" t="s">
        <v>565</v>
      </c>
      <c r="C44" s="2618" t="s">
        <v>565</v>
      </c>
      <c r="D44" s="3227" t="str">
        <f t="shared" si="11"/>
        <v>IE</v>
      </c>
      <c r="E44" s="3227" t="str">
        <f t="shared" si="11"/>
        <v>IE</v>
      </c>
      <c r="F44" s="3227" t="str">
        <f t="shared" si="11"/>
        <v>IE</v>
      </c>
      <c r="G44" s="3103" t="str">
        <f t="shared" si="12"/>
        <v>NA</v>
      </c>
      <c r="H44" s="3103" t="str">
        <f t="shared" si="13"/>
        <v>NA</v>
      </c>
      <c r="I44" s="3103" t="str">
        <f t="shared" si="3"/>
        <v>NA</v>
      </c>
      <c r="J44" s="3227" t="str">
        <f t="shared" ref="J44:L44" si="22">IF(J18="NO","NO","IE")</f>
        <v>IE</v>
      </c>
      <c r="K44" s="3227" t="str">
        <f t="shared" si="22"/>
        <v>IE</v>
      </c>
      <c r="L44" s="3227" t="str">
        <f t="shared" si="22"/>
        <v>IE</v>
      </c>
      <c r="M44" s="3497" t="str">
        <f t="shared" ref="M44" si="23">IF(M18="NO","NO","IE")</f>
        <v>IE</v>
      </c>
    </row>
    <row r="45" spans="2:13" ht="18" customHeight="1" x14ac:dyDescent="0.2">
      <c r="B45" s="2616" t="s">
        <v>567</v>
      </c>
      <c r="C45" s="2618" t="s">
        <v>567</v>
      </c>
      <c r="D45" s="3227" t="str">
        <f t="shared" si="11"/>
        <v>IE</v>
      </c>
      <c r="E45" s="3227" t="str">
        <f t="shared" si="11"/>
        <v>IE</v>
      </c>
      <c r="F45" s="3227" t="str">
        <f t="shared" si="11"/>
        <v>IE</v>
      </c>
      <c r="G45" s="3103" t="str">
        <f t="shared" si="12"/>
        <v>NA</v>
      </c>
      <c r="H45" s="3103" t="str">
        <f t="shared" si="13"/>
        <v>NA</v>
      </c>
      <c r="I45" s="3103" t="str">
        <f t="shared" si="3"/>
        <v>NA</v>
      </c>
      <c r="J45" s="3227" t="str">
        <f t="shared" ref="J45:L45" si="24">IF(J19="NO","NO","IE")</f>
        <v>IE</v>
      </c>
      <c r="K45" s="3227" t="str">
        <f t="shared" si="24"/>
        <v>IE</v>
      </c>
      <c r="L45" s="3227" t="str">
        <f t="shared" si="24"/>
        <v>IE</v>
      </c>
      <c r="M45" s="3497" t="str">
        <f t="shared" ref="M45" si="25">IF(M19="NO","NO","IE")</f>
        <v>IE</v>
      </c>
    </row>
    <row r="46" spans="2:13" ht="18" customHeight="1" x14ac:dyDescent="0.2">
      <c r="B46" s="2616" t="s">
        <v>569</v>
      </c>
      <c r="C46" s="2618" t="s">
        <v>569</v>
      </c>
      <c r="D46" s="3227" t="str">
        <f t="shared" si="11"/>
        <v>IE</v>
      </c>
      <c r="E46" s="3227" t="str">
        <f t="shared" si="11"/>
        <v>IE</v>
      </c>
      <c r="F46" s="3227" t="str">
        <f t="shared" si="11"/>
        <v>IE</v>
      </c>
      <c r="G46" s="3103" t="str">
        <f t="shared" si="12"/>
        <v>NA</v>
      </c>
      <c r="H46" s="3103" t="str">
        <f t="shared" si="13"/>
        <v>NA</v>
      </c>
      <c r="I46" s="3103" t="str">
        <f t="shared" si="3"/>
        <v>NA</v>
      </c>
      <c r="J46" s="3227" t="str">
        <f t="shared" ref="J46:L46" si="26">IF(J20="NO","NO","IE")</f>
        <v>IE</v>
      </c>
      <c r="K46" s="3227" t="str">
        <f t="shared" si="26"/>
        <v>IE</v>
      </c>
      <c r="L46" s="3227" t="str">
        <f t="shared" si="26"/>
        <v>IE</v>
      </c>
      <c r="M46" s="3497" t="str">
        <f t="shared" ref="M46" si="27">IF(M20="NO","NO","IE")</f>
        <v>IE</v>
      </c>
    </row>
    <row r="47" spans="2:13" ht="18" customHeight="1" x14ac:dyDescent="0.2">
      <c r="B47" s="2616" t="s">
        <v>571</v>
      </c>
      <c r="C47" s="2618" t="s">
        <v>571</v>
      </c>
      <c r="D47" s="3227" t="str">
        <f t="shared" si="11"/>
        <v>IE</v>
      </c>
      <c r="E47" s="3227" t="str">
        <f t="shared" si="11"/>
        <v>IE</v>
      </c>
      <c r="F47" s="3227" t="str">
        <f t="shared" si="11"/>
        <v>IE</v>
      </c>
      <c r="G47" s="3103" t="str">
        <f t="shared" si="12"/>
        <v>NA</v>
      </c>
      <c r="H47" s="3103" t="str">
        <f t="shared" si="13"/>
        <v>NA</v>
      </c>
      <c r="I47" s="3103" t="str">
        <f t="shared" si="3"/>
        <v>NA</v>
      </c>
      <c r="J47" s="3227" t="str">
        <f t="shared" ref="J47:L47" si="28">IF(J21="NO","NO","IE")</f>
        <v>IE</v>
      </c>
      <c r="K47" s="3227" t="str">
        <f t="shared" si="28"/>
        <v>IE</v>
      </c>
      <c r="L47" s="3227" t="str">
        <f t="shared" si="28"/>
        <v>IE</v>
      </c>
      <c r="M47" s="3497" t="str">
        <f t="shared" ref="M47" si="29">IF(M21="NO","NO","IE")</f>
        <v>IE</v>
      </c>
    </row>
    <row r="48" spans="2:13" ht="18" customHeight="1" x14ac:dyDescent="0.2">
      <c r="B48" s="2616" t="s">
        <v>574</v>
      </c>
      <c r="C48" s="2618" t="s">
        <v>574</v>
      </c>
      <c r="D48" s="3227" t="str">
        <f t="shared" si="11"/>
        <v>IE</v>
      </c>
      <c r="E48" s="3227" t="str">
        <f t="shared" si="11"/>
        <v>IE</v>
      </c>
      <c r="F48" s="3227" t="str">
        <f t="shared" si="11"/>
        <v>IE</v>
      </c>
      <c r="G48" s="3103" t="str">
        <f t="shared" si="12"/>
        <v>NA</v>
      </c>
      <c r="H48" s="3103" t="str">
        <f t="shared" si="13"/>
        <v>NA</v>
      </c>
      <c r="I48" s="3103" t="str">
        <f t="shared" si="3"/>
        <v>NA</v>
      </c>
      <c r="J48" s="3227" t="str">
        <f t="shared" ref="J48:L48" si="30">IF(J22="NO","NO","IE")</f>
        <v>IE</v>
      </c>
      <c r="K48" s="3227" t="str">
        <f t="shared" si="30"/>
        <v>IE</v>
      </c>
      <c r="L48" s="3227" t="str">
        <f t="shared" si="30"/>
        <v>IE</v>
      </c>
      <c r="M48" s="3497" t="str">
        <f t="shared" ref="M48" si="31">IF(M22="NO","NO","IE")</f>
        <v>IE</v>
      </c>
    </row>
    <row r="49" spans="2:13" ht="18" customHeight="1" x14ac:dyDescent="0.2">
      <c r="B49" s="2616" t="s">
        <v>576</v>
      </c>
      <c r="C49" s="2618" t="s">
        <v>576</v>
      </c>
      <c r="D49" s="3227" t="str">
        <f t="shared" si="11"/>
        <v>IE</v>
      </c>
      <c r="E49" s="3227" t="str">
        <f t="shared" si="11"/>
        <v>IE</v>
      </c>
      <c r="F49" s="3227" t="str">
        <f t="shared" si="11"/>
        <v>IE</v>
      </c>
      <c r="G49" s="3103" t="str">
        <f t="shared" si="12"/>
        <v>NA</v>
      </c>
      <c r="H49" s="3103" t="str">
        <f t="shared" si="13"/>
        <v>NA</v>
      </c>
      <c r="I49" s="3103" t="str">
        <f t="shared" si="3"/>
        <v>NA</v>
      </c>
      <c r="J49" s="3227" t="str">
        <f t="shared" ref="J49:L49" si="32">IF(J23="NO","NO","IE")</f>
        <v>IE</v>
      </c>
      <c r="K49" s="3227" t="str">
        <f t="shared" si="32"/>
        <v>IE</v>
      </c>
      <c r="L49" s="3227" t="str">
        <f t="shared" si="32"/>
        <v>IE</v>
      </c>
      <c r="M49" s="3497" t="str">
        <f t="shared" ref="M49" si="33">IF(M23="NO","NO","IE")</f>
        <v>IE</v>
      </c>
    </row>
    <row r="50" spans="2:13" ht="18" customHeight="1" x14ac:dyDescent="0.2">
      <c r="B50" s="2616" t="s">
        <v>577</v>
      </c>
      <c r="C50" s="2618" t="s">
        <v>577</v>
      </c>
      <c r="D50" s="3227" t="str">
        <f t="shared" si="11"/>
        <v>IE</v>
      </c>
      <c r="E50" s="3227" t="str">
        <f t="shared" si="11"/>
        <v>IE</v>
      </c>
      <c r="F50" s="3227" t="str">
        <f t="shared" si="11"/>
        <v>IE</v>
      </c>
      <c r="G50" s="3103" t="str">
        <f t="shared" si="12"/>
        <v>NA</v>
      </c>
      <c r="H50" s="3103" t="str">
        <f t="shared" si="13"/>
        <v>NA</v>
      </c>
      <c r="I50" s="3103" t="str">
        <f t="shared" si="3"/>
        <v>NA</v>
      </c>
      <c r="J50" s="3227" t="str">
        <f t="shared" ref="J50:L50" si="34">IF(J24="NO","NO","IE")</f>
        <v>IE</v>
      </c>
      <c r="K50" s="3227" t="str">
        <f t="shared" si="34"/>
        <v>IE</v>
      </c>
      <c r="L50" s="3227" t="str">
        <f t="shared" si="34"/>
        <v>IE</v>
      </c>
      <c r="M50" s="3497" t="str">
        <f t="shared" ref="M50" si="35">IF(M24="NO","NO","IE")</f>
        <v>IE</v>
      </c>
    </row>
    <row r="51" spans="2:13" ht="18" customHeight="1" x14ac:dyDescent="0.2">
      <c r="B51" s="104" t="s">
        <v>671</v>
      </c>
      <c r="C51" s="2508"/>
      <c r="D51" s="2108"/>
      <c r="E51" s="2108"/>
      <c r="F51" s="2108"/>
      <c r="G51" s="2108"/>
      <c r="H51" s="2108"/>
      <c r="I51" s="2108"/>
      <c r="J51" s="3103">
        <f>IF(SUM(J52:J63)=0,"NO",SUM(J52:J63))</f>
        <v>3.1432454990997476</v>
      </c>
      <c r="K51" s="3103">
        <f>IF(SUM(K52:K63)=0,"NO",SUM(K52:K63))</f>
        <v>148.96852619591928</v>
      </c>
      <c r="L51" s="3103">
        <f>IF(SUM(L52:L63)=0,"NO",SUM(L52:L63))</f>
        <v>77.594723032277003</v>
      </c>
      <c r="M51" s="3226">
        <f>IF(SUM(M52:M63)=0,"NO",SUM(M52:M63))</f>
        <v>-11.802153842047781</v>
      </c>
    </row>
    <row r="52" spans="2:13" ht="18" customHeight="1" x14ac:dyDescent="0.2">
      <c r="B52" s="2616" t="s">
        <v>559</v>
      </c>
      <c r="C52" s="2618" t="s">
        <v>559</v>
      </c>
      <c r="D52" s="3227">
        <v>0.50904146170262143</v>
      </c>
      <c r="E52" s="3227">
        <v>6.3633215921680781</v>
      </c>
      <c r="F52" s="3227">
        <v>0.73835866823900442</v>
      </c>
      <c r="G52" s="3103">
        <f>IF(SUM(D52)=0,"NA",J52/D52)</f>
        <v>5.1000000000000004E-2</v>
      </c>
      <c r="H52" s="3103">
        <f>IF(SUM(E52)=0,"NA",K52/E52)</f>
        <v>0.19335512145338335</v>
      </c>
      <c r="I52" s="3103">
        <f t="shared" si="3"/>
        <v>0.73596048867256569</v>
      </c>
      <c r="J52" s="3227">
        <v>2.5961114546833693E-2</v>
      </c>
      <c r="K52" s="3227">
        <v>1.2303808193005954</v>
      </c>
      <c r="L52" s="3227">
        <v>0.64088073726590356</v>
      </c>
      <c r="M52" s="3497">
        <v>-9.747793097310109E-2</v>
      </c>
    </row>
    <row r="53" spans="2:13" ht="18" customHeight="1" x14ac:dyDescent="0.2">
      <c r="B53" s="2616" t="s">
        <v>560</v>
      </c>
      <c r="C53" s="2618" t="s">
        <v>560</v>
      </c>
      <c r="D53" s="3227">
        <v>5.2419275779298475</v>
      </c>
      <c r="E53" s="3227">
        <v>65.527218214512956</v>
      </c>
      <c r="F53" s="3227">
        <v>7.603354454664573</v>
      </c>
      <c r="G53" s="3103">
        <f t="shared" ref="G53:G63" si="36">IF(SUM(D53)=0,"NA",J53/D53)</f>
        <v>5.1000000000000004E-2</v>
      </c>
      <c r="H53" s="3103">
        <f t="shared" ref="H53:H63" si="37">IF(SUM(E53)=0,"NA",K53/E53)</f>
        <v>0.19335512145338335</v>
      </c>
      <c r="I53" s="3103">
        <f t="shared" si="3"/>
        <v>0.73596048867256525</v>
      </c>
      <c r="J53" s="3227">
        <v>0.26733830647442225</v>
      </c>
      <c r="K53" s="3227">
        <v>12.670023236369506</v>
      </c>
      <c r="L53" s="3227">
        <v>6.5995614573351187</v>
      </c>
      <c r="M53" s="3497">
        <v>-1.0037929973294537</v>
      </c>
    </row>
    <row r="54" spans="2:13" ht="18" customHeight="1" x14ac:dyDescent="0.2">
      <c r="B54" s="2616" t="s">
        <v>562</v>
      </c>
      <c r="C54" s="2618" t="s">
        <v>562</v>
      </c>
      <c r="D54" s="3227" t="s">
        <v>2146</v>
      </c>
      <c r="E54" s="3227" t="s">
        <v>2146</v>
      </c>
      <c r="F54" s="3227" t="s">
        <v>2146</v>
      </c>
      <c r="G54" s="3103" t="str">
        <f t="shared" si="36"/>
        <v>NA</v>
      </c>
      <c r="H54" s="3103" t="str">
        <f t="shared" si="37"/>
        <v>NA</v>
      </c>
      <c r="I54" s="3103" t="str">
        <f t="shared" si="3"/>
        <v>NA</v>
      </c>
      <c r="J54" s="3227" t="s">
        <v>2146</v>
      </c>
      <c r="K54" s="3227" t="s">
        <v>2146</v>
      </c>
      <c r="L54" s="3227" t="s">
        <v>2146</v>
      </c>
      <c r="M54" s="3497" t="s">
        <v>2146</v>
      </c>
    </row>
    <row r="55" spans="2:13" ht="18" customHeight="1" x14ac:dyDescent="0.2">
      <c r="B55" s="2616" t="s">
        <v>563</v>
      </c>
      <c r="C55" s="2618" t="s">
        <v>563</v>
      </c>
      <c r="D55" s="3227">
        <v>11.768959377128194</v>
      </c>
      <c r="E55" s="3227">
        <v>147.11900494576776</v>
      </c>
      <c r="F55" s="3227">
        <v>17.070737505723624</v>
      </c>
      <c r="G55" s="3103">
        <f t="shared" si="36"/>
        <v>5.0999999999999997E-2</v>
      </c>
      <c r="H55" s="3103">
        <f t="shared" si="37"/>
        <v>0.19335512145338335</v>
      </c>
      <c r="I55" s="3103">
        <f t="shared" si="3"/>
        <v>0.73596048867256503</v>
      </c>
      <c r="J55" s="3227">
        <v>0.60021692823353789</v>
      </c>
      <c r="K55" s="3227">
        <v>28.446213069389831</v>
      </c>
      <c r="L55" s="3227">
        <v>14.817062911218532</v>
      </c>
      <c r="M55" s="3497">
        <v>-2.2536745945050884</v>
      </c>
    </row>
    <row r="56" spans="2:13" ht="18" customHeight="1" x14ac:dyDescent="0.2">
      <c r="B56" s="2616" t="s">
        <v>564</v>
      </c>
      <c r="C56" s="2618" t="s">
        <v>564</v>
      </c>
      <c r="D56" s="3227">
        <v>3.0027731349909936E-2</v>
      </c>
      <c r="E56" s="3227">
        <v>0.3753645344007942</v>
      </c>
      <c r="F56" s="3227">
        <v>4.3554872044411948E-2</v>
      </c>
      <c r="G56" s="3103">
        <f t="shared" si="36"/>
        <v>5.0999999999999997E-2</v>
      </c>
      <c r="H56" s="3103">
        <f t="shared" si="37"/>
        <v>0.19335512145338332</v>
      </c>
      <c r="I56" s="3103">
        <f t="shared" si="3"/>
        <v>0.7359604886725658</v>
      </c>
      <c r="J56" s="3227">
        <v>1.5314142988454066E-3</v>
      </c>
      <c r="K56" s="3227">
        <v>7.2578655138358247E-2</v>
      </c>
      <c r="L56" s="3227">
        <v>3.7804768479144227E-2</v>
      </c>
      <c r="M56" s="3497">
        <v>-5.7501035652677375E-3</v>
      </c>
    </row>
    <row r="57" spans="2:13" ht="18" customHeight="1" x14ac:dyDescent="0.2">
      <c r="B57" s="2616" t="s">
        <v>565</v>
      </c>
      <c r="C57" s="2618" t="s">
        <v>565</v>
      </c>
      <c r="D57" s="3227">
        <v>32.900872821603556</v>
      </c>
      <c r="E57" s="3227">
        <v>411.28051480645757</v>
      </c>
      <c r="F57" s="3227">
        <v>47.722330042049997</v>
      </c>
      <c r="G57" s="3103">
        <f t="shared" si="36"/>
        <v>5.0999999999999997E-2</v>
      </c>
      <c r="H57" s="3103">
        <f t="shared" si="37"/>
        <v>0.19335512145338332</v>
      </c>
      <c r="I57" s="3103">
        <f t="shared" si="3"/>
        <v>0.73596048867256492</v>
      </c>
      <c r="J57" s="3227">
        <v>1.6779445139017812</v>
      </c>
      <c r="K57" s="3227">
        <v>79.523193891812625</v>
      </c>
      <c r="L57" s="3227">
        <v>41.422039690195263</v>
      </c>
      <c r="M57" s="3497">
        <v>-6.3002903518547173</v>
      </c>
    </row>
    <row r="58" spans="2:13" ht="18" customHeight="1" x14ac:dyDescent="0.2">
      <c r="B58" s="2616" t="s">
        <v>567</v>
      </c>
      <c r="C58" s="2618" t="s">
        <v>567</v>
      </c>
      <c r="D58" s="3227">
        <v>7.3096671704988623</v>
      </c>
      <c r="E58" s="3227">
        <v>91.375195218912395</v>
      </c>
      <c r="F58" s="3227">
        <v>10.602586475427207</v>
      </c>
      <c r="G58" s="3103">
        <f t="shared" si="36"/>
        <v>5.099999999999999E-2</v>
      </c>
      <c r="H58" s="3103">
        <f t="shared" si="37"/>
        <v>0.19335512145338335</v>
      </c>
      <c r="I58" s="3103">
        <f t="shared" si="3"/>
        <v>0.73596048867256569</v>
      </c>
      <c r="J58" s="3227">
        <v>0.37279302569544193</v>
      </c>
      <c r="K58" s="3227">
        <v>17.66786196937942</v>
      </c>
      <c r="L58" s="3227">
        <v>9.2028355995378774</v>
      </c>
      <c r="M58" s="3497">
        <v>-1.399750875889334</v>
      </c>
    </row>
    <row r="59" spans="2:13" ht="18" customHeight="1" x14ac:dyDescent="0.2">
      <c r="B59" s="2616" t="s">
        <v>569</v>
      </c>
      <c r="C59" s="2618" t="s">
        <v>569</v>
      </c>
      <c r="D59" s="3227">
        <v>1.2023296912316823</v>
      </c>
      <c r="E59" s="3227">
        <v>15.029837568690807</v>
      </c>
      <c r="F59" s="3227">
        <v>1.7439651116683614</v>
      </c>
      <c r="G59" s="3103">
        <f t="shared" si="36"/>
        <v>5.0999999999999997E-2</v>
      </c>
      <c r="H59" s="3103">
        <f t="shared" si="37"/>
        <v>0.19335512145338335</v>
      </c>
      <c r="I59" s="3103">
        <f t="shared" si="3"/>
        <v>0.73596048867256536</v>
      </c>
      <c r="J59" s="3227">
        <v>6.1318814252815795E-2</v>
      </c>
      <c r="K59" s="3227">
        <v>2.9060960685188348</v>
      </c>
      <c r="L59" s="3227">
        <v>1.5137272637398569</v>
      </c>
      <c r="M59" s="3497">
        <v>-0.23023784792850463</v>
      </c>
    </row>
    <row r="60" spans="2:13" ht="18" customHeight="1" x14ac:dyDescent="0.2">
      <c r="B60" s="2616" t="s">
        <v>571</v>
      </c>
      <c r="C60" s="2618" t="s">
        <v>571</v>
      </c>
      <c r="D60" s="3227">
        <v>0.35086722877279686</v>
      </c>
      <c r="E60" s="3227">
        <v>4.3860494297779464</v>
      </c>
      <c r="F60" s="3227">
        <v>0.50892879903903954</v>
      </c>
      <c r="G60" s="3103">
        <f t="shared" si="36"/>
        <v>5.1000000000000004E-2</v>
      </c>
      <c r="H60" s="3103">
        <f t="shared" si="37"/>
        <v>0.19335512145338335</v>
      </c>
      <c r="I60" s="3103">
        <f t="shared" si="3"/>
        <v>0.73596048867256514</v>
      </c>
      <c r="J60" s="3227">
        <v>1.7894228667412641E-2</v>
      </c>
      <c r="K60" s="3227">
        <v>0.84806512019525759</v>
      </c>
      <c r="L60" s="3227">
        <v>0.44174014333967637</v>
      </c>
      <c r="M60" s="3497">
        <v>-6.7188655699363109E-2</v>
      </c>
    </row>
    <row r="61" spans="2:13" ht="18" customHeight="1" x14ac:dyDescent="0.2">
      <c r="B61" s="2616" t="s">
        <v>574</v>
      </c>
      <c r="C61" s="2618" t="s">
        <v>574</v>
      </c>
      <c r="D61" s="3227">
        <v>4.990110985971144E-2</v>
      </c>
      <c r="E61" s="3227">
        <v>0.62379360765892988</v>
      </c>
      <c r="F61" s="3227">
        <v>7.2380974422844441E-2</v>
      </c>
      <c r="G61" s="3103">
        <f t="shared" si="36"/>
        <v>5.0999999999999997E-2</v>
      </c>
      <c r="H61" s="3103">
        <f t="shared" si="37"/>
        <v>0.19335512145338332</v>
      </c>
      <c r="I61" s="3103">
        <f t="shared" si="3"/>
        <v>0.73596048867256514</v>
      </c>
      <c r="J61" s="3227">
        <v>2.5449566028452834E-3</v>
      </c>
      <c r="K61" s="3227">
        <v>0.12061368877073653</v>
      </c>
      <c r="L61" s="3227">
        <v>6.2825255864838725E-2</v>
      </c>
      <c r="M61" s="3497">
        <v>-9.555718558005695E-3</v>
      </c>
    </row>
    <row r="62" spans="2:13" ht="18" customHeight="1" x14ac:dyDescent="0.2">
      <c r="B62" s="2616" t="s">
        <v>576</v>
      </c>
      <c r="C62" s="2618" t="s">
        <v>576</v>
      </c>
      <c r="D62" s="3227">
        <v>1.3682633019675139</v>
      </c>
      <c r="E62" s="3227">
        <v>17.104106577211319</v>
      </c>
      <c r="F62" s="3227">
        <v>1.9846498673446535</v>
      </c>
      <c r="G62" s="3103">
        <f t="shared" si="36"/>
        <v>5.1000000000000004E-2</v>
      </c>
      <c r="H62" s="3103">
        <f t="shared" si="37"/>
        <v>0.19335512145338335</v>
      </c>
      <c r="I62" s="3103">
        <f t="shared" si="3"/>
        <v>0.73596048867256525</v>
      </c>
      <c r="J62" s="3227">
        <v>6.9781428400343209E-2</v>
      </c>
      <c r="K62" s="3227">
        <v>3.3071666045883075</v>
      </c>
      <c r="L62" s="3227">
        <v>1.7226368767797831</v>
      </c>
      <c r="M62" s="3497">
        <v>-0.26201299056487015</v>
      </c>
    </row>
    <row r="63" spans="2:13" ht="18" customHeight="1" x14ac:dyDescent="0.2">
      <c r="B63" s="2616" t="s">
        <v>577</v>
      </c>
      <c r="C63" s="2618" t="s">
        <v>577</v>
      </c>
      <c r="D63" s="3227">
        <v>0.90040721618565145</v>
      </c>
      <c r="E63" s="3227">
        <v>11.255626725049144</v>
      </c>
      <c r="F63" s="3227">
        <v>1.3060301037010853</v>
      </c>
      <c r="G63" s="3103">
        <f t="shared" si="36"/>
        <v>5.0999999999999997E-2</v>
      </c>
      <c r="H63" s="3103">
        <f t="shared" si="37"/>
        <v>0.19335512145338335</v>
      </c>
      <c r="I63" s="3103">
        <f t="shared" si="3"/>
        <v>0.73596048867256547</v>
      </c>
      <c r="J63" s="3227">
        <v>4.5920768025468219E-2</v>
      </c>
      <c r="K63" s="3227">
        <v>2.1763330724558245</v>
      </c>
      <c r="L63" s="3227">
        <v>1.1336083285210088</v>
      </c>
      <c r="M63" s="3497">
        <v>-0.1724217751800767</v>
      </c>
    </row>
    <row r="64" spans="2:13" ht="18" customHeight="1" x14ac:dyDescent="0.2">
      <c r="B64" s="104" t="s">
        <v>672</v>
      </c>
      <c r="C64" s="2508"/>
      <c r="D64" s="2108"/>
      <c r="E64" s="2108"/>
      <c r="F64" s="2108"/>
      <c r="G64" s="2108"/>
      <c r="H64" s="2108"/>
      <c r="I64" s="2108"/>
      <c r="J64" s="3103">
        <f>IF(SUM(J65:J76)=0,"NO",SUM(J65:J76))</f>
        <v>0.21101393217311859</v>
      </c>
      <c r="K64" s="3103">
        <f>IF(SUM(K65:K76)=0,"NO",SUM(K65:K76))</f>
        <v>459.86415745687731</v>
      </c>
      <c r="L64" s="3103">
        <f>IF(SUM(L65:L76)=0,"NO",SUM(L65:L76))</f>
        <v>144.89373069319501</v>
      </c>
      <c r="M64" s="3226">
        <f>IF(SUM(M65:M76)=0,"NO",SUM(M65:M76))</f>
        <v>-31.14614481532027</v>
      </c>
    </row>
    <row r="65" spans="2:13" ht="18" customHeight="1" x14ac:dyDescent="0.2">
      <c r="B65" s="2616" t="s">
        <v>559</v>
      </c>
      <c r="C65" s="2618" t="s">
        <v>559</v>
      </c>
      <c r="D65" s="3227">
        <v>0.49795272940415225</v>
      </c>
      <c r="E65" s="3227">
        <v>40.786474332368115</v>
      </c>
      <c r="F65" s="3227">
        <v>1.5395538636965325</v>
      </c>
      <c r="G65" s="3103">
        <f>IF(SUM(D65)=0,"NA",J65/D65)</f>
        <v>3.5000000000000005E-3</v>
      </c>
      <c r="H65" s="3103">
        <f>IF(SUM(E65)=0,"NA",K65/E65)</f>
        <v>9.3123314815457783E-2</v>
      </c>
      <c r="I65" s="3103">
        <f t="shared" si="3"/>
        <v>0.6102282811689087</v>
      </c>
      <c r="J65" s="3227">
        <v>1.7428345529145331E-3</v>
      </c>
      <c r="K65" s="3227">
        <v>3.798171689465704</v>
      </c>
      <c r="L65" s="3227">
        <v>1.1967257220988512</v>
      </c>
      <c r="M65" s="3497">
        <v>-0.25724641408836396</v>
      </c>
    </row>
    <row r="66" spans="2:13" ht="18" customHeight="1" x14ac:dyDescent="0.2">
      <c r="B66" s="2616" t="s">
        <v>560</v>
      </c>
      <c r="C66" s="2618" t="s">
        <v>560</v>
      </c>
      <c r="D66" s="3227">
        <v>5.127739764141146</v>
      </c>
      <c r="E66" s="3227">
        <v>420.00457859416701</v>
      </c>
      <c r="F66" s="3227">
        <v>15.853777075105674</v>
      </c>
      <c r="G66" s="3103">
        <f t="shared" ref="G66:G76" si="38">IF(SUM(D66)=0,"NA",J66/D66)</f>
        <v>3.5000000000000009E-3</v>
      </c>
      <c r="H66" s="3103">
        <f t="shared" ref="H66:H76" si="39">IF(SUM(E66)=0,"NA",K66/E66)</f>
        <v>9.3123314815457756E-2</v>
      </c>
      <c r="I66" s="3103">
        <f t="shared" si="3"/>
        <v>0.61022828116890937</v>
      </c>
      <c r="J66" s="3227">
        <v>1.7947089174494016E-2</v>
      </c>
      <c r="K66" s="3227">
        <v>39.112218596358282</v>
      </c>
      <c r="L66" s="3227">
        <v>12.323455038231671</v>
      </c>
      <c r="M66" s="3497">
        <v>-2.6490319036548766</v>
      </c>
    </row>
    <row r="67" spans="2:13" ht="18" customHeight="1" x14ac:dyDescent="0.2">
      <c r="B67" s="2616" t="s">
        <v>562</v>
      </c>
      <c r="C67" s="2618" t="s">
        <v>562</v>
      </c>
      <c r="D67" s="3227" t="s">
        <v>2146</v>
      </c>
      <c r="E67" s="3227" t="s">
        <v>2146</v>
      </c>
      <c r="F67" s="3227" t="s">
        <v>2146</v>
      </c>
      <c r="G67" s="3103" t="str">
        <f t="shared" si="38"/>
        <v>NA</v>
      </c>
      <c r="H67" s="3103" t="str">
        <f t="shared" si="39"/>
        <v>NA</v>
      </c>
      <c r="I67" s="3103" t="str">
        <f t="shared" si="3"/>
        <v>NA</v>
      </c>
      <c r="J67" s="3227" t="s">
        <v>2146</v>
      </c>
      <c r="K67" s="3227" t="s">
        <v>2146</v>
      </c>
      <c r="L67" s="3227" t="s">
        <v>2146</v>
      </c>
      <c r="M67" s="3497" t="s">
        <v>2146</v>
      </c>
    </row>
    <row r="68" spans="2:13" ht="18" customHeight="1" x14ac:dyDescent="0.2">
      <c r="B68" s="2616" t="s">
        <v>563</v>
      </c>
      <c r="C68" s="2618" t="s">
        <v>563</v>
      </c>
      <c r="D68" s="3227">
        <v>11.512589612024911</v>
      </c>
      <c r="E68" s="3227">
        <v>942.97693934083361</v>
      </c>
      <c r="F68" s="3227">
        <v>35.594245742069255</v>
      </c>
      <c r="G68" s="3103">
        <f t="shared" si="38"/>
        <v>3.5000000000000005E-3</v>
      </c>
      <c r="H68" s="3103">
        <f t="shared" si="39"/>
        <v>9.3123314815457756E-2</v>
      </c>
      <c r="I68" s="3103">
        <f t="shared" si="3"/>
        <v>0.61022828116890893</v>
      </c>
      <c r="J68" s="3227">
        <v>4.0294063642087194E-2</v>
      </c>
      <c r="K68" s="3227">
        <v>87.813138385953266</v>
      </c>
      <c r="L68" s="3227">
        <v>27.668112459518454</v>
      </c>
      <c r="M68" s="3497">
        <v>-5.9474970608317772</v>
      </c>
    </row>
    <row r="69" spans="2:13" ht="18" customHeight="1" x14ac:dyDescent="0.2">
      <c r="B69" s="2616" t="s">
        <v>564</v>
      </c>
      <c r="C69" s="2618" t="s">
        <v>564</v>
      </c>
      <c r="D69" s="3227">
        <v>2.9373620634928484E-2</v>
      </c>
      <c r="E69" s="3227">
        <v>2.4059440853126874</v>
      </c>
      <c r="F69" s="3227">
        <v>9.0816393743585022E-2</v>
      </c>
      <c r="G69" s="3103">
        <f t="shared" si="38"/>
        <v>3.5000000000000005E-3</v>
      </c>
      <c r="H69" s="3103">
        <f t="shared" si="39"/>
        <v>9.3123314815457756E-2</v>
      </c>
      <c r="I69" s="3103">
        <f t="shared" si="3"/>
        <v>0.61022828116890926</v>
      </c>
      <c r="J69" s="3227">
        <v>1.0280767222224971E-4</v>
      </c>
      <c r="K69" s="3227">
        <v>0.22404948848496195</v>
      </c>
      <c r="L69" s="3227">
        <v>7.0593382241433716E-2</v>
      </c>
      <c r="M69" s="3497">
        <v>-1.5174650385326949E-2</v>
      </c>
    </row>
    <row r="70" spans="2:13" ht="18" customHeight="1" x14ac:dyDescent="0.2">
      <c r="B70" s="2616" t="s">
        <v>565</v>
      </c>
      <c r="C70" s="2618" t="s">
        <v>565</v>
      </c>
      <c r="D70" s="3227">
        <v>32.18417487349442</v>
      </c>
      <c r="E70" s="3227">
        <v>2636.1518772213021</v>
      </c>
      <c r="F70" s="3227">
        <v>99.505972857430862</v>
      </c>
      <c r="G70" s="3103">
        <f t="shared" si="38"/>
        <v>3.5000000000000009E-3</v>
      </c>
      <c r="H70" s="3103">
        <f t="shared" si="39"/>
        <v>9.3123314815457769E-2</v>
      </c>
      <c r="I70" s="3103">
        <f t="shared" si="3"/>
        <v>0.61022828116890837</v>
      </c>
      <c r="J70" s="3227">
        <v>0.1126446120572305</v>
      </c>
      <c r="K70" s="3227">
        <v>245.4872011638393</v>
      </c>
      <c r="L70" s="3227">
        <v>77.347964257020749</v>
      </c>
      <c r="M70" s="3497">
        <v>-16.626605474190672</v>
      </c>
    </row>
    <row r="71" spans="2:13" ht="18" customHeight="1" x14ac:dyDescent="0.2">
      <c r="B71" s="2616" t="s">
        <v>567</v>
      </c>
      <c r="C71" s="2618" t="s">
        <v>567</v>
      </c>
      <c r="D71" s="3227">
        <v>7.1504366391125549</v>
      </c>
      <c r="E71" s="3227">
        <v>585.68029297753833</v>
      </c>
      <c r="F71" s="3227">
        <v>22.107484716542626</v>
      </c>
      <c r="G71" s="3103">
        <f t="shared" si="38"/>
        <v>3.5000000000000009E-3</v>
      </c>
      <c r="H71" s="3103">
        <f t="shared" si="39"/>
        <v>9.3123314815457783E-2</v>
      </c>
      <c r="I71" s="3103">
        <f t="shared" si="3"/>
        <v>0.61022828116890837</v>
      </c>
      <c r="J71" s="3227">
        <v>2.5026528236893948E-2</v>
      </c>
      <c r="K71" s="3227">
        <v>54.540490304156847</v>
      </c>
      <c r="L71" s="3227">
        <v>17.184585895338799</v>
      </c>
      <c r="M71" s="3497">
        <v>-3.6939734957950803</v>
      </c>
    </row>
    <row r="72" spans="2:13" ht="18" customHeight="1" x14ac:dyDescent="0.2">
      <c r="B72" s="2616" t="s">
        <v>569</v>
      </c>
      <c r="C72" s="2618" t="s">
        <v>569</v>
      </c>
      <c r="D72" s="3227">
        <v>1.176138677171696</v>
      </c>
      <c r="E72" s="3227">
        <v>96.335549812469324</v>
      </c>
      <c r="F72" s="3227">
        <v>3.6363468613764245</v>
      </c>
      <c r="G72" s="3103">
        <f t="shared" si="38"/>
        <v>3.5000000000000005E-3</v>
      </c>
      <c r="H72" s="3103">
        <f t="shared" si="39"/>
        <v>9.3123314815457783E-2</v>
      </c>
      <c r="I72" s="3103">
        <f t="shared" si="3"/>
        <v>0.61022828116890893</v>
      </c>
      <c r="J72" s="3227">
        <v>4.1164853701009365E-3</v>
      </c>
      <c r="K72" s="3227">
        <v>8.9710857331067952</v>
      </c>
      <c r="L72" s="3227">
        <v>2.8266044638632906</v>
      </c>
      <c r="M72" s="3497">
        <v>-0.60760276891159815</v>
      </c>
    </row>
    <row r="73" spans="2:13" ht="18" customHeight="1" x14ac:dyDescent="0.2">
      <c r="B73" s="2616" t="s">
        <v>571</v>
      </c>
      <c r="C73" s="2618" t="s">
        <v>571</v>
      </c>
      <c r="D73" s="3227">
        <v>0.34322409345891902</v>
      </c>
      <c r="E73" s="3227">
        <v>28.112910827627214</v>
      </c>
      <c r="F73" s="3227">
        <v>1.0611689584083888</v>
      </c>
      <c r="G73" s="3103">
        <f t="shared" si="38"/>
        <v>3.5000000000000009E-3</v>
      </c>
      <c r="H73" s="3103">
        <f t="shared" si="39"/>
        <v>9.3123314815457769E-2</v>
      </c>
      <c r="I73" s="3103">
        <f t="shared" si="3"/>
        <v>0.61022828116890893</v>
      </c>
      <c r="J73" s="3227">
        <v>1.2012843271062168E-3</v>
      </c>
      <c r="K73" s="3227">
        <v>2.6179674453800206</v>
      </c>
      <c r="L73" s="3227">
        <v>0.82486765677104357</v>
      </c>
      <c r="M73" s="3497">
        <v>-0.17731234725169107</v>
      </c>
    </row>
    <row r="74" spans="2:13" ht="18" customHeight="1" x14ac:dyDescent="0.2">
      <c r="B74" s="2616" t="s">
        <v>574</v>
      </c>
      <c r="C74" s="2618" t="s">
        <v>574</v>
      </c>
      <c r="D74" s="3227">
        <v>4.8814086325754007E-2</v>
      </c>
      <c r="E74" s="3227">
        <v>3.9982800804520808</v>
      </c>
      <c r="F74" s="3227">
        <v>0.1509217858802723</v>
      </c>
      <c r="G74" s="3103">
        <f t="shared" si="38"/>
        <v>3.5000000000000005E-3</v>
      </c>
      <c r="H74" s="3103">
        <f t="shared" si="39"/>
        <v>9.3123314815457756E-2</v>
      </c>
      <c r="I74" s="3103">
        <f t="shared" si="3"/>
        <v>0.61022828116890959</v>
      </c>
      <c r="J74" s="3227">
        <v>1.7084930214013904E-4</v>
      </c>
      <c r="K74" s="3227">
        <v>0.3723330946523129</v>
      </c>
      <c r="L74" s="3227">
        <v>0.11731449444344899</v>
      </c>
      <c r="M74" s="3497">
        <v>-2.5217752454788224E-2</v>
      </c>
    </row>
    <row r="75" spans="2:13" ht="18" customHeight="1" x14ac:dyDescent="0.2">
      <c r="B75" s="2616" t="s">
        <v>576</v>
      </c>
      <c r="C75" s="2618" t="s">
        <v>576</v>
      </c>
      <c r="D75" s="3227">
        <v>1.3384576640955228</v>
      </c>
      <c r="E75" s="3227">
        <v>109.63082625717647</v>
      </c>
      <c r="F75" s="3227">
        <v>4.138199364060589</v>
      </c>
      <c r="G75" s="3103">
        <f t="shared" si="38"/>
        <v>3.5000000000000001E-3</v>
      </c>
      <c r="H75" s="3103">
        <f t="shared" si="39"/>
        <v>9.3123314815457769E-2</v>
      </c>
      <c r="I75" s="3103">
        <f t="shared" si="3"/>
        <v>0.61022828116890904</v>
      </c>
      <c r="J75" s="3227">
        <v>4.68460182433433E-3</v>
      </c>
      <c r="K75" s="3227">
        <v>10.209185947025798</v>
      </c>
      <c r="L75" s="3227">
        <v>3.2167043576206975</v>
      </c>
      <c r="M75" s="3497">
        <v>-0.69145807255573222</v>
      </c>
    </row>
    <row r="76" spans="2:13" ht="18" customHeight="1" x14ac:dyDescent="0.2">
      <c r="B76" s="2616" t="s">
        <v>577</v>
      </c>
      <c r="C76" s="2618" t="s">
        <v>577</v>
      </c>
      <c r="D76" s="3227">
        <v>0.88079314674129372</v>
      </c>
      <c r="E76" s="3227">
        <v>72.144291918384567</v>
      </c>
      <c r="F76" s="3227">
        <v>2.7232072687011923</v>
      </c>
      <c r="G76" s="3103">
        <f t="shared" si="38"/>
        <v>3.5000000000000001E-3</v>
      </c>
      <c r="H76" s="3103">
        <f t="shared" si="39"/>
        <v>9.3123314815457756E-2</v>
      </c>
      <c r="I76" s="3103">
        <f t="shared" si="3"/>
        <v>0.61022828116890893</v>
      </c>
      <c r="J76" s="3227">
        <v>3.082776013594528E-3</v>
      </c>
      <c r="K76" s="3227">
        <v>6.7183156084540112</v>
      </c>
      <c r="L76" s="3227">
        <v>2.1168029660465697</v>
      </c>
      <c r="M76" s="3497">
        <v>-0.45502487520036183</v>
      </c>
    </row>
    <row r="77" spans="2:13" ht="18" customHeight="1" x14ac:dyDescent="0.2">
      <c r="B77" s="104" t="s">
        <v>673</v>
      </c>
      <c r="C77" s="2508"/>
      <c r="D77" s="2108"/>
      <c r="E77" s="2108"/>
      <c r="F77" s="2108"/>
      <c r="G77" s="2108"/>
      <c r="H77" s="2108"/>
      <c r="I77" s="2108"/>
      <c r="J77" s="3103">
        <f>IF(SUM(J78:J89)=0,"NO",SUM(J78:J89))</f>
        <v>0.67536654105540783</v>
      </c>
      <c r="K77" s="3103">
        <f>IF(SUM(K78:K89)=0,"NO",SUM(K78:K89))</f>
        <v>606.22036232159201</v>
      </c>
      <c r="L77" s="3103">
        <f>IF(SUM(L78:L89)=0,"NO",SUM(L78:L89))</f>
        <v>663.33624889288819</v>
      </c>
      <c r="M77" s="3226">
        <f>IF(SUM(M78:M89)=0,"NO",SUM(M78:M89))</f>
        <v>-142.02003033875178</v>
      </c>
    </row>
    <row r="78" spans="2:13" ht="18" customHeight="1" x14ac:dyDescent="0.2">
      <c r="B78" s="2616" t="s">
        <v>559</v>
      </c>
      <c r="C78" s="2618" t="s">
        <v>559</v>
      </c>
      <c r="D78" s="3227">
        <v>0.53945343077252117</v>
      </c>
      <c r="E78" s="3227">
        <v>131.78625906932137</v>
      </c>
      <c r="F78" s="3227">
        <v>5.0807525852072279</v>
      </c>
      <c r="G78" s="3103">
        <f>IF(SUM(D78)=0,"NA",J78/D78)</f>
        <v>1.0340239849873666E-2</v>
      </c>
      <c r="H78" s="3103">
        <f>IF(SUM(E78)=0,"NA",K78/E78)</f>
        <v>3.7993160361569162E-2</v>
      </c>
      <c r="I78" s="3103">
        <f t="shared" si="3"/>
        <v>0.84745807187138711</v>
      </c>
      <c r="J78" s="3227">
        <v>5.5780778620250883E-3</v>
      </c>
      <c r="K78" s="3227">
        <v>5.0069764742720251</v>
      </c>
      <c r="L78" s="3227">
        <v>4.6840639592339901</v>
      </c>
      <c r="M78" s="3497">
        <v>-0.37833916971870668</v>
      </c>
    </row>
    <row r="79" spans="2:13" ht="18" customHeight="1" x14ac:dyDescent="0.2">
      <c r="B79" s="2616" t="s">
        <v>560</v>
      </c>
      <c r="C79" s="2618" t="s">
        <v>560</v>
      </c>
      <c r="D79" s="3227">
        <v>5.5550991982403906</v>
      </c>
      <c r="E79" s="3227">
        <v>1357.0879344426608</v>
      </c>
      <c r="F79" s="3227">
        <v>52.319779618649051</v>
      </c>
      <c r="G79" s="3103">
        <f t="shared" ref="G79:G89" si="40">IF(SUM(D79)=0,"NA",J79/D79)</f>
        <v>1.0340239849873664E-2</v>
      </c>
      <c r="H79" s="3103">
        <f t="shared" ref="H79:H89" si="41">IF(SUM(E79)=0,"NA",K79/E79)</f>
        <v>3.7993160361569155E-2</v>
      </c>
      <c r="I79" s="3103">
        <f t="shared" ref="I79:I89" si="42">IF(SUM(F79)=0,"NA",(SUM(L79:M79))/F79)</f>
        <v>0.84745807187138755</v>
      </c>
      <c r="J79" s="3227">
        <v>5.744105809964653E-2</v>
      </c>
      <c r="K79" s="3227">
        <v>51.560059518030663</v>
      </c>
      <c r="L79" s="3227">
        <v>132.98062869376076</v>
      </c>
      <c r="M79" s="3497">
        <v>-88.641809137404522</v>
      </c>
    </row>
    <row r="80" spans="2:13" ht="18" customHeight="1" x14ac:dyDescent="0.2">
      <c r="B80" s="2616" t="s">
        <v>562</v>
      </c>
      <c r="C80" s="2618" t="s">
        <v>562</v>
      </c>
      <c r="D80" s="3227" t="s">
        <v>2146</v>
      </c>
      <c r="E80" s="3227" t="s">
        <v>2146</v>
      </c>
      <c r="F80" s="3227" t="s">
        <v>2146</v>
      </c>
      <c r="G80" s="3103" t="str">
        <f t="shared" si="40"/>
        <v>NA</v>
      </c>
      <c r="H80" s="3103" t="str">
        <f t="shared" si="41"/>
        <v>NA</v>
      </c>
      <c r="I80" s="3103" t="str">
        <f t="shared" si="42"/>
        <v>NA</v>
      </c>
      <c r="J80" s="3227" t="s">
        <v>2146</v>
      </c>
      <c r="K80" s="3227" t="s">
        <v>2146</v>
      </c>
      <c r="L80" s="3227" t="s">
        <v>2146</v>
      </c>
      <c r="M80" s="3497" t="s">
        <v>2146</v>
      </c>
    </row>
    <row r="81" spans="2:13" ht="18" customHeight="1" x14ac:dyDescent="0.2">
      <c r="B81" s="2616" t="s">
        <v>563</v>
      </c>
      <c r="C81" s="2618" t="s">
        <v>563</v>
      </c>
      <c r="D81" s="3227">
        <v>12.472079369289503</v>
      </c>
      <c r="E81" s="3227">
        <v>3046.8778010004448</v>
      </c>
      <c r="F81" s="3227">
        <v>117.46620909924002</v>
      </c>
      <c r="G81" s="3103">
        <f t="shared" si="40"/>
        <v>1.0340239849873666E-2</v>
      </c>
      <c r="H81" s="3103">
        <f t="shared" si="41"/>
        <v>3.7993160361569162E-2</v>
      </c>
      <c r="I81" s="3103">
        <f t="shared" si="42"/>
        <v>0.84745807187138755</v>
      </c>
      <c r="J81" s="3227">
        <v>0.12896429210511454</v>
      </c>
      <c r="K81" s="3227">
        <v>115.76051689551511</v>
      </c>
      <c r="L81" s="3227">
        <v>108.29482979973771</v>
      </c>
      <c r="M81" s="3497">
        <v>-8.7471427264545305</v>
      </c>
    </row>
    <row r="82" spans="2:13" ht="18" customHeight="1" x14ac:dyDescent="0.2">
      <c r="B82" s="2616" t="s">
        <v>564</v>
      </c>
      <c r="C82" s="2618" t="s">
        <v>564</v>
      </c>
      <c r="D82" s="3227">
        <v>3.1821696096903773E-2</v>
      </c>
      <c r="E82" s="3227">
        <v>7.7739097512944983</v>
      </c>
      <c r="F82" s="3227">
        <v>0.29970736209517163</v>
      </c>
      <c r="G82" s="3103">
        <f t="shared" si="40"/>
        <v>1.0340239849873667E-2</v>
      </c>
      <c r="H82" s="3103">
        <f t="shared" si="41"/>
        <v>3.7993160361569155E-2</v>
      </c>
      <c r="I82" s="3103">
        <f t="shared" si="42"/>
        <v>0.84745807187138789</v>
      </c>
      <c r="J82" s="3227">
        <v>3.2904397007177372E-4</v>
      </c>
      <c r="K82" s="3227">
        <v>0.29535539981729808</v>
      </c>
      <c r="L82" s="3227">
        <v>0.56042887233425764</v>
      </c>
      <c r="M82" s="3497">
        <v>-0.3064394491274236</v>
      </c>
    </row>
    <row r="83" spans="2:13" ht="18" customHeight="1" x14ac:dyDescent="0.2">
      <c r="B83" s="2616" t="s">
        <v>565</v>
      </c>
      <c r="C83" s="2618" t="s">
        <v>565</v>
      </c>
      <c r="D83" s="3227">
        <v>34.866489381159646</v>
      </c>
      <c r="E83" s="3227">
        <v>8517.7402539513278</v>
      </c>
      <c r="F83" s="3227">
        <v>328.38424218888269</v>
      </c>
      <c r="G83" s="3103">
        <f t="shared" si="40"/>
        <v>1.0340239849873666E-2</v>
      </c>
      <c r="H83" s="3103">
        <f t="shared" si="41"/>
        <v>3.7993160361569155E-2</v>
      </c>
      <c r="I83" s="3103">
        <f t="shared" si="42"/>
        <v>0.84745807187138722</v>
      </c>
      <c r="J83" s="3227">
        <v>0.36052786292426398</v>
      </c>
      <c r="K83" s="3227">
        <v>323.61587138656557</v>
      </c>
      <c r="L83" s="3227">
        <v>307.84506932216107</v>
      </c>
      <c r="M83" s="3497">
        <v>-29.553192603823902</v>
      </c>
    </row>
    <row r="84" spans="2:13" ht="18" customHeight="1" x14ac:dyDescent="0.2">
      <c r="B84" s="2616" t="s">
        <v>567</v>
      </c>
      <c r="C84" s="2618" t="s">
        <v>567</v>
      </c>
      <c r="D84" s="3227">
        <v>7.7463729963012007</v>
      </c>
      <c r="E84" s="3227">
        <v>1892.4071297057485</v>
      </c>
      <c r="F84" s="3227">
        <v>72.957928121015442</v>
      </c>
      <c r="G84" s="3103">
        <f t="shared" si="40"/>
        <v>1.0340239849873664E-2</v>
      </c>
      <c r="H84" s="3103">
        <f t="shared" si="41"/>
        <v>3.7993160361569155E-2</v>
      </c>
      <c r="I84" s="3103">
        <f t="shared" si="42"/>
        <v>0.84745807187138766</v>
      </c>
      <c r="J84" s="3227">
        <v>8.009935474833893E-2</v>
      </c>
      <c r="K84" s="3227">
        <v>71.898527548287305</v>
      </c>
      <c r="L84" s="3227">
        <v>71.811896789366216</v>
      </c>
      <c r="M84" s="3497">
        <v>-9.9831116961991704</v>
      </c>
    </row>
    <row r="85" spans="2:13" ht="18" customHeight="1" x14ac:dyDescent="0.2">
      <c r="B85" s="2616" t="s">
        <v>569</v>
      </c>
      <c r="C85" s="2618" t="s">
        <v>569</v>
      </c>
      <c r="D85" s="3227">
        <v>1.151268634619955</v>
      </c>
      <c r="E85" s="3227">
        <v>271.58646667576295</v>
      </c>
      <c r="F85" s="3227">
        <v>11.716354005602122</v>
      </c>
      <c r="G85" s="3103">
        <f t="shared" si="40"/>
        <v>1.1444012250103478E-2</v>
      </c>
      <c r="H85" s="3103">
        <f t="shared" si="41"/>
        <v>4.3544954449159103E-2</v>
      </c>
      <c r="I85" s="3103">
        <f t="shared" si="42"/>
        <v>0.86800893742003682</v>
      </c>
      <c r="J85" s="3227">
        <v>1.317513235775067E-2</v>
      </c>
      <c r="K85" s="3227">
        <v>11.826220320404165</v>
      </c>
      <c r="L85" s="3227">
        <v>11.386850946920488</v>
      </c>
      <c r="M85" s="3497">
        <v>-1.2169509560807981</v>
      </c>
    </row>
    <row r="86" spans="2:13" ht="18" customHeight="1" x14ac:dyDescent="0.2">
      <c r="B86" s="2616" t="s">
        <v>571</v>
      </c>
      <c r="C86" s="2618" t="s">
        <v>571</v>
      </c>
      <c r="D86" s="3227">
        <v>0.37182929986498109</v>
      </c>
      <c r="E86" s="3227">
        <v>90.836371865126097</v>
      </c>
      <c r="F86" s="3227">
        <v>3.502012534871485</v>
      </c>
      <c r="G86" s="3103">
        <f t="shared" si="40"/>
        <v>1.0340239849873666E-2</v>
      </c>
      <c r="H86" s="3103">
        <f t="shared" si="41"/>
        <v>3.7993160361569155E-2</v>
      </c>
      <c r="I86" s="3103">
        <f t="shared" si="42"/>
        <v>0.84745807187138733</v>
      </c>
      <c r="J86" s="3227">
        <v>3.8448041438145023E-3</v>
      </c>
      <c r="K86" s="3227">
        <v>3.4511608429348644</v>
      </c>
      <c r="L86" s="3227">
        <v>3.233687287635111</v>
      </c>
      <c r="M86" s="3497">
        <v>-0.26587849716349271</v>
      </c>
    </row>
    <row r="87" spans="2:13" ht="18" customHeight="1" x14ac:dyDescent="0.2">
      <c r="B87" s="2616" t="s">
        <v>574</v>
      </c>
      <c r="C87" s="2618" t="s">
        <v>574</v>
      </c>
      <c r="D87" s="3227">
        <v>5.2882381767369473E-2</v>
      </c>
      <c r="E87" s="3227">
        <v>12.918948821619598</v>
      </c>
      <c r="F87" s="3227">
        <v>0.49806393388158293</v>
      </c>
      <c r="G87" s="3103">
        <f t="shared" si="40"/>
        <v>1.0340239849873667E-2</v>
      </c>
      <c r="H87" s="3103">
        <f t="shared" si="41"/>
        <v>3.7993160361569162E-2</v>
      </c>
      <c r="I87" s="3103">
        <f t="shared" si="42"/>
        <v>0.84745807187138689</v>
      </c>
      <c r="J87" s="3227">
        <v>5.4681651130718647E-4</v>
      </c>
      <c r="K87" s="3227">
        <v>0.49083169428269835</v>
      </c>
      <c r="L87" s="3227">
        <v>1.4503167238925931</v>
      </c>
      <c r="M87" s="3497">
        <v>-1.028228422816629</v>
      </c>
    </row>
    <row r="88" spans="2:13" ht="18" customHeight="1" x14ac:dyDescent="0.2">
      <c r="B88" s="2616" t="s">
        <v>576</v>
      </c>
      <c r="C88" s="2618" t="s">
        <v>576</v>
      </c>
      <c r="D88" s="3227">
        <v>1.3101553051085644</v>
      </c>
      <c r="E88" s="3227">
        <v>309.06813528225842</v>
      </c>
      <c r="F88" s="3227">
        <v>13.333328899416134</v>
      </c>
      <c r="G88" s="3103">
        <f t="shared" si="40"/>
        <v>1.1444012250103478E-2</v>
      </c>
      <c r="H88" s="3103">
        <f t="shared" si="41"/>
        <v>4.3544954449159103E-2</v>
      </c>
      <c r="I88" s="3103">
        <f t="shared" si="42"/>
        <v>0.86800893742003671</v>
      </c>
      <c r="J88" s="3227">
        <v>1.4993433361200469E-2</v>
      </c>
      <c r="K88" s="3227">
        <v>13.458357872552487</v>
      </c>
      <c r="L88" s="3227">
        <v>12.803169097025124</v>
      </c>
      <c r="M88" s="3497">
        <v>-1.2297204467710574</v>
      </c>
    </row>
    <row r="89" spans="2:13" ht="18" customHeight="1" x14ac:dyDescent="0.2">
      <c r="B89" s="2616" t="s">
        <v>577</v>
      </c>
      <c r="C89" s="2618" t="s">
        <v>577</v>
      </c>
      <c r="D89" s="3227">
        <v>0.86216833364407064</v>
      </c>
      <c r="E89" s="3227">
        <v>203.3871542860366</v>
      </c>
      <c r="F89" s="3227">
        <v>8.7742070839345061</v>
      </c>
      <c r="G89" s="3103">
        <f t="shared" si="40"/>
        <v>1.1444012250103478E-2</v>
      </c>
      <c r="H89" s="3103">
        <f t="shared" si="41"/>
        <v>4.3544954449159103E-2</v>
      </c>
      <c r="I89" s="3103">
        <f t="shared" si="42"/>
        <v>0.86800893742003637</v>
      </c>
      <c r="J89" s="3227">
        <v>9.8666649718740472E-3</v>
      </c>
      <c r="K89" s="3227">
        <v>8.8564843689295589</v>
      </c>
      <c r="L89" s="3227">
        <v>8.2853074008208978</v>
      </c>
      <c r="M89" s="3497">
        <v>-0.66921723319155124</v>
      </c>
    </row>
    <row r="90" spans="2:13" ht="18" customHeight="1" x14ac:dyDescent="0.2">
      <c r="B90" s="88" t="s">
        <v>475</v>
      </c>
      <c r="C90" s="2508" t="s">
        <v>623</v>
      </c>
      <c r="D90" s="2108"/>
      <c r="E90" s="2108"/>
      <c r="F90" s="2108"/>
      <c r="G90" s="2108"/>
      <c r="H90" s="2108"/>
      <c r="I90" s="2108"/>
      <c r="J90" s="3103">
        <f>IF(SUM(J91,J104)=0,"NO",SUM(J91,J104))</f>
        <v>15.544211288120827</v>
      </c>
      <c r="K90" s="3103">
        <f t="shared" ref="K90:M90" si="43">IF(SUM(K91,K104)=0,"NO",SUM(K91,K104))</f>
        <v>4.5909650639439805</v>
      </c>
      <c r="L90" s="3103">
        <f t="shared" si="43"/>
        <v>3.9869535505329754</v>
      </c>
      <c r="M90" s="3226" t="str">
        <f t="shared" si="43"/>
        <v>NO</v>
      </c>
    </row>
    <row r="91" spans="2:13" ht="18" customHeight="1" x14ac:dyDescent="0.2">
      <c r="B91" s="104" t="s">
        <v>674</v>
      </c>
      <c r="C91" s="2508"/>
      <c r="D91" s="2108"/>
      <c r="E91" s="2108"/>
      <c r="F91" s="2108"/>
      <c r="G91" s="2108"/>
      <c r="H91" s="2108"/>
      <c r="I91" s="2108"/>
      <c r="J91" s="3103">
        <f>IF(SUM(J92:J103)=0,"NO",SUM(J92:J103))</f>
        <v>15.544211288120827</v>
      </c>
      <c r="K91" s="3103">
        <f>IF(SUM(K92:K103)=0,"NO",SUM(K92:K103))</f>
        <v>4.5909650639439805</v>
      </c>
      <c r="L91" s="3103">
        <f>IF(SUM(L92:L103)=0,"NO",SUM(L92:L103))</f>
        <v>3.9869535505329754</v>
      </c>
      <c r="M91" s="3226" t="str">
        <f>IF(SUM(M92:M103)=0,"NO",SUM(M92:M103))</f>
        <v>NO</v>
      </c>
    </row>
    <row r="92" spans="2:13" ht="18" customHeight="1" x14ac:dyDescent="0.2">
      <c r="B92" s="2616" t="s">
        <v>559</v>
      </c>
      <c r="C92" s="2618" t="s">
        <v>559</v>
      </c>
      <c r="D92" s="3227">
        <v>0.21397472236189682</v>
      </c>
      <c r="E92" s="3227">
        <v>1.5891361418136076</v>
      </c>
      <c r="F92" s="3227">
        <v>3.2929581175869513E-2</v>
      </c>
      <c r="G92" s="3103">
        <f>IF(SUM(D92)=0,"NA",J92/D92)</f>
        <v>0.60000000000000009</v>
      </c>
      <c r="H92" s="3103">
        <f>IF(SUM(E92)=0,"NA",K92/E92)</f>
        <v>2.3860960072225622E-2</v>
      </c>
      <c r="I92" s="3103">
        <f t="shared" ref="I92:I103" si="44">IF(SUM(F92)=0,"NA",(SUM(L92:M92))/F92)</f>
        <v>1.0000000000000029</v>
      </c>
      <c r="J92" s="3227">
        <v>0.12838483341713811</v>
      </c>
      <c r="K92" s="3227">
        <v>3.7918314029145167E-2</v>
      </c>
      <c r="L92" s="3227">
        <v>3.292958117586961E-2</v>
      </c>
      <c r="M92" s="3497" t="s">
        <v>2146</v>
      </c>
    </row>
    <row r="93" spans="2:13" ht="18" customHeight="1" x14ac:dyDescent="0.2">
      <c r="B93" s="2616" t="s">
        <v>560</v>
      </c>
      <c r="C93" s="2618" t="s">
        <v>560</v>
      </c>
      <c r="D93" s="3227">
        <v>2.2034354419325552</v>
      </c>
      <c r="E93" s="3227">
        <v>16.364357706728804</v>
      </c>
      <c r="F93" s="3227">
        <v>0.33909709263782944</v>
      </c>
      <c r="G93" s="3103">
        <f t="shared" ref="G93:G103" si="45">IF(SUM(D93)=0,"NA",J93/D93)</f>
        <v>0.59999999999999987</v>
      </c>
      <c r="H93" s="3103">
        <f t="shared" ref="H93:H103" si="46">IF(SUM(E93)=0,"NA",K93/E93)</f>
        <v>2.3860960072225625E-2</v>
      </c>
      <c r="I93" s="3103">
        <f t="shared" si="44"/>
        <v>1.0000000000000031</v>
      </c>
      <c r="J93" s="3227">
        <v>1.3220612651595329</v>
      </c>
      <c r="K93" s="3227">
        <v>0.39046928584787366</v>
      </c>
      <c r="L93" s="3227">
        <v>0.3390970926378305</v>
      </c>
      <c r="M93" s="3497" t="s">
        <v>2146</v>
      </c>
    </row>
    <row r="94" spans="2:13" ht="18" customHeight="1" x14ac:dyDescent="0.2">
      <c r="B94" s="2616" t="s">
        <v>562</v>
      </c>
      <c r="C94" s="2618" t="s">
        <v>562</v>
      </c>
      <c r="D94" s="3227" t="s">
        <v>2146</v>
      </c>
      <c r="E94" s="3227" t="s">
        <v>2146</v>
      </c>
      <c r="F94" s="3227" t="s">
        <v>2146</v>
      </c>
      <c r="G94" s="3103" t="str">
        <f t="shared" si="45"/>
        <v>NA</v>
      </c>
      <c r="H94" s="3103" t="str">
        <f t="shared" si="46"/>
        <v>NA</v>
      </c>
      <c r="I94" s="3103" t="str">
        <f t="shared" si="44"/>
        <v>NA</v>
      </c>
      <c r="J94" s="3227" t="s">
        <v>2146</v>
      </c>
      <c r="K94" s="3227" t="s">
        <v>2146</v>
      </c>
      <c r="L94" s="3227" t="s">
        <v>2146</v>
      </c>
      <c r="M94" s="3497" t="s">
        <v>2146</v>
      </c>
    </row>
    <row r="95" spans="2:13" ht="18" customHeight="1" x14ac:dyDescent="0.2">
      <c r="B95" s="2616" t="s">
        <v>563</v>
      </c>
      <c r="C95" s="2618" t="s">
        <v>563</v>
      </c>
      <c r="D95" s="3227">
        <v>4.9470622820908794</v>
      </c>
      <c r="E95" s="3227">
        <v>36.740580296102557</v>
      </c>
      <c r="F95" s="3227">
        <v>0.76132679225853661</v>
      </c>
      <c r="G95" s="3103">
        <f t="shared" si="45"/>
        <v>0.6</v>
      </c>
      <c r="H95" s="3103">
        <f t="shared" si="46"/>
        <v>2.3860960072225622E-2</v>
      </c>
      <c r="I95" s="3103">
        <f t="shared" si="44"/>
        <v>1.0000000000000033</v>
      </c>
      <c r="J95" s="3227">
        <v>2.9682373692545276</v>
      </c>
      <c r="K95" s="3227">
        <v>0.87666551947570248</v>
      </c>
      <c r="L95" s="3227">
        <v>0.76132679225853916</v>
      </c>
      <c r="M95" s="3497" t="s">
        <v>2146</v>
      </c>
    </row>
    <row r="96" spans="2:13" ht="18" customHeight="1" x14ac:dyDescent="0.2">
      <c r="B96" s="2616" t="s">
        <v>564</v>
      </c>
      <c r="C96" s="2618" t="s">
        <v>564</v>
      </c>
      <c r="D96" s="3227">
        <v>1.2622106374722277E-2</v>
      </c>
      <c r="E96" s="3227">
        <v>9.3741191503744353E-2</v>
      </c>
      <c r="F96" s="3227">
        <v>1.9424755965982813E-3</v>
      </c>
      <c r="G96" s="3103">
        <f t="shared" si="45"/>
        <v>0.59999999999999987</v>
      </c>
      <c r="H96" s="3103">
        <f t="shared" si="46"/>
        <v>2.3860960072225622E-2</v>
      </c>
      <c r="I96" s="3103">
        <f t="shared" si="44"/>
        <v>1.0000000000000031</v>
      </c>
      <c r="J96" s="3227">
        <v>7.573263824833365E-3</v>
      </c>
      <c r="K96" s="3227">
        <v>2.2367548275936998E-3</v>
      </c>
      <c r="L96" s="3227">
        <v>1.9424755965982872E-3</v>
      </c>
      <c r="M96" s="3497" t="s">
        <v>2146</v>
      </c>
    </row>
    <row r="97" spans="2:13" ht="18" customHeight="1" x14ac:dyDescent="0.2">
      <c r="B97" s="2616" t="s">
        <v>565</v>
      </c>
      <c r="C97" s="2618" t="s">
        <v>565</v>
      </c>
      <c r="D97" s="3227">
        <v>13.829826560531512</v>
      </c>
      <c r="E97" s="3227">
        <v>102.71062385202562</v>
      </c>
      <c r="F97" s="3227">
        <v>2.1283373631534852</v>
      </c>
      <c r="G97" s="3103">
        <f t="shared" si="45"/>
        <v>0.59999999999999987</v>
      </c>
      <c r="H97" s="3103">
        <f t="shared" si="46"/>
        <v>2.3860960072225622E-2</v>
      </c>
      <c r="I97" s="3103">
        <f t="shared" si="44"/>
        <v>1.000000000000002</v>
      </c>
      <c r="J97" s="3227">
        <v>8.2978959363189055</v>
      </c>
      <c r="K97" s="3227">
        <v>2.4507740947265679</v>
      </c>
      <c r="L97" s="3227">
        <v>2.1283373631534896</v>
      </c>
      <c r="M97" s="3497" t="s">
        <v>2146</v>
      </c>
    </row>
    <row r="98" spans="2:13" ht="18" customHeight="1" x14ac:dyDescent="0.2">
      <c r="B98" s="2616" t="s">
        <v>567</v>
      </c>
      <c r="C98" s="2618" t="s">
        <v>567</v>
      </c>
      <c r="D98" s="3227">
        <v>3.0726063023115655</v>
      </c>
      <c r="E98" s="3227">
        <v>22.819469845177707</v>
      </c>
      <c r="F98" s="3227">
        <v>0.47285790366551406</v>
      </c>
      <c r="G98" s="3103">
        <f t="shared" si="45"/>
        <v>0.6</v>
      </c>
      <c r="H98" s="3103">
        <f t="shared" si="46"/>
        <v>2.3860960072225618E-2</v>
      </c>
      <c r="I98" s="3103">
        <f t="shared" si="44"/>
        <v>1.0000000000000033</v>
      </c>
      <c r="J98" s="3227">
        <v>1.8435637813869392</v>
      </c>
      <c r="K98" s="3227">
        <v>0.5444944588451418</v>
      </c>
      <c r="L98" s="3227">
        <v>0.47285790366551561</v>
      </c>
      <c r="M98" s="3497" t="s">
        <v>2146</v>
      </c>
    </row>
    <row r="99" spans="2:13" ht="18" customHeight="1" x14ac:dyDescent="0.2">
      <c r="B99" s="2616" t="s">
        <v>569</v>
      </c>
      <c r="C99" s="2618" t="s">
        <v>569</v>
      </c>
      <c r="D99" s="3227">
        <v>0.50539726372831029</v>
      </c>
      <c r="E99" s="3227">
        <v>3.7534576463008422</v>
      </c>
      <c r="F99" s="3227">
        <v>7.7777973203096956E-2</v>
      </c>
      <c r="G99" s="3103">
        <f t="shared" si="45"/>
        <v>0.6</v>
      </c>
      <c r="H99" s="3103">
        <f t="shared" si="46"/>
        <v>2.3860960072225622E-2</v>
      </c>
      <c r="I99" s="3103">
        <f t="shared" si="44"/>
        <v>1.0000000000000031</v>
      </c>
      <c r="J99" s="3227">
        <v>0.30323835823698614</v>
      </c>
      <c r="K99" s="3227">
        <v>8.9561103031174358E-2</v>
      </c>
      <c r="L99" s="3227">
        <v>7.7777973203097206E-2</v>
      </c>
      <c r="M99" s="3497" t="s">
        <v>2146</v>
      </c>
    </row>
    <row r="100" spans="2:13" ht="18" customHeight="1" x14ac:dyDescent="0.2">
      <c r="B100" s="2616" t="s">
        <v>571</v>
      </c>
      <c r="C100" s="2618" t="s">
        <v>571</v>
      </c>
      <c r="D100" s="3227">
        <v>0.14748644955448964</v>
      </c>
      <c r="E100" s="3227">
        <v>1.0953445567201496</v>
      </c>
      <c r="F100" s="3227">
        <v>2.2697386678839741E-2</v>
      </c>
      <c r="G100" s="3103">
        <f t="shared" si="45"/>
        <v>0.6</v>
      </c>
      <c r="H100" s="3103">
        <f t="shared" si="46"/>
        <v>2.3860960072225622E-2</v>
      </c>
      <c r="I100" s="3103">
        <f t="shared" si="44"/>
        <v>1.000000000000004</v>
      </c>
      <c r="J100" s="3227">
        <v>8.8491869732693781E-2</v>
      </c>
      <c r="K100" s="3227">
        <v>2.6135972733229162E-2</v>
      </c>
      <c r="L100" s="3227">
        <v>2.2697386678839832E-2</v>
      </c>
      <c r="M100" s="3497" t="s">
        <v>2146</v>
      </c>
    </row>
    <row r="101" spans="2:13" ht="18" customHeight="1" x14ac:dyDescent="0.2">
      <c r="B101" s="2616" t="s">
        <v>574</v>
      </c>
      <c r="C101" s="2618" t="s">
        <v>574</v>
      </c>
      <c r="D101" s="3227">
        <v>2.0975847609875118E-2</v>
      </c>
      <c r="E101" s="3227">
        <v>0.15578231472430654</v>
      </c>
      <c r="F101" s="3227">
        <v>3.2280723114285525E-3</v>
      </c>
      <c r="G101" s="3103">
        <f t="shared" si="45"/>
        <v>0.6</v>
      </c>
      <c r="H101" s="3103">
        <f t="shared" si="46"/>
        <v>2.3860960072225625E-2</v>
      </c>
      <c r="I101" s="3103">
        <f t="shared" si="44"/>
        <v>1.0000000000000029</v>
      </c>
      <c r="J101" s="3227">
        <v>1.2585508565925069E-2</v>
      </c>
      <c r="K101" s="3227">
        <v>3.7171155915955642E-3</v>
      </c>
      <c r="L101" s="3227">
        <v>3.228072311428562E-3</v>
      </c>
      <c r="M101" s="3497" t="s">
        <v>2146</v>
      </c>
    </row>
    <row r="102" spans="2:13" ht="18" customHeight="1" x14ac:dyDescent="0.2">
      <c r="B102" s="2616" t="s">
        <v>576</v>
      </c>
      <c r="C102" s="2618" t="s">
        <v>576</v>
      </c>
      <c r="D102" s="3227">
        <v>0.57514717794737791</v>
      </c>
      <c r="E102" s="3227">
        <v>4.2714726171834831</v>
      </c>
      <c r="F102" s="3227">
        <v>8.8512117110067748E-2</v>
      </c>
      <c r="G102" s="3103">
        <f t="shared" si="45"/>
        <v>0.59999999999999987</v>
      </c>
      <c r="H102" s="3103">
        <f t="shared" si="46"/>
        <v>2.3860960072225618E-2</v>
      </c>
      <c r="I102" s="3103">
        <f t="shared" si="44"/>
        <v>1.0000000000000036</v>
      </c>
      <c r="J102" s="3227">
        <v>0.34508830676842667</v>
      </c>
      <c r="K102" s="3227">
        <v>0.10192143756822016</v>
      </c>
      <c r="L102" s="3227">
        <v>8.8512117110068067E-2</v>
      </c>
      <c r="M102" s="3497" t="s">
        <v>2146</v>
      </c>
    </row>
    <row r="103" spans="2:13" ht="18" customHeight="1" x14ac:dyDescent="0.2">
      <c r="B103" s="2616" t="s">
        <v>577</v>
      </c>
      <c r="C103" s="2618" t="s">
        <v>577</v>
      </c>
      <c r="D103" s="3227">
        <v>0.37848465909153467</v>
      </c>
      <c r="E103" s="3227">
        <v>2.8109098319898767</v>
      </c>
      <c r="F103" s="3227">
        <v>5.8246792741698986E-2</v>
      </c>
      <c r="G103" s="3103">
        <f t="shared" si="45"/>
        <v>0.59999999999999987</v>
      </c>
      <c r="H103" s="3103">
        <f t="shared" si="46"/>
        <v>2.3860960072225625E-2</v>
      </c>
      <c r="I103" s="3103">
        <f t="shared" si="44"/>
        <v>1.0000000000000027</v>
      </c>
      <c r="J103" s="3227">
        <v>0.22709079545492075</v>
      </c>
      <c r="K103" s="3227">
        <v>6.707100726773689E-2</v>
      </c>
      <c r="L103" s="3227">
        <v>5.8246792741699138E-2</v>
      </c>
      <c r="M103" s="3497" t="s">
        <v>2146</v>
      </c>
    </row>
    <row r="104" spans="2:13" ht="18" customHeight="1" x14ac:dyDescent="0.2">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
      <c r="B105" s="2616" t="s">
        <v>559</v>
      </c>
      <c r="C105" s="2618" t="s">
        <v>559</v>
      </c>
      <c r="D105" s="3227" t="str">
        <f>IF(D92="NO","NO","IE")</f>
        <v>IE</v>
      </c>
      <c r="E105" s="3227" t="str">
        <f>IF(E92="NO","NO","IE")</f>
        <v>IE</v>
      </c>
      <c r="F105" s="2108"/>
      <c r="G105" s="3103" t="str">
        <f>IF(SUM(D105)=0,"NA",J105/D105)</f>
        <v>NA</v>
      </c>
      <c r="H105" s="3103" t="str">
        <f>IF(SUM(E105)=0,"NA",K105/E105)</f>
        <v>NA</v>
      </c>
      <c r="I105" s="2108"/>
      <c r="J105" s="3227" t="str">
        <f>IF(J92="NO","NO","IE")</f>
        <v>IE</v>
      </c>
      <c r="K105" s="3227" t="str">
        <f>IF(K92="NO","NO","IE")</f>
        <v>IE</v>
      </c>
      <c r="L105" s="3228"/>
      <c r="M105" s="3497" t="str">
        <f>IF(M92="NO","NO","IE")</f>
        <v>NO</v>
      </c>
    </row>
    <row r="106" spans="2:13" ht="18" customHeight="1" x14ac:dyDescent="0.2">
      <c r="B106" s="2616" t="s">
        <v>560</v>
      </c>
      <c r="C106" s="2618" t="s">
        <v>560</v>
      </c>
      <c r="D106" s="3227" t="str">
        <f t="shared" ref="D106:E116" si="47">IF(D93="NO","NO","IE")</f>
        <v>IE</v>
      </c>
      <c r="E106" s="3227" t="str">
        <f t="shared" si="47"/>
        <v>IE</v>
      </c>
      <c r="F106" s="2108"/>
      <c r="G106" s="3103" t="str">
        <f t="shared" ref="G106:G116" si="48">IF(SUM(D106)=0,"NA",J106/D106)</f>
        <v>NA</v>
      </c>
      <c r="H106" s="3103" t="str">
        <f t="shared" ref="H106:H116" si="49">IF(SUM(E106)=0,"NA",K106/E106)</f>
        <v>NA</v>
      </c>
      <c r="I106" s="2108"/>
      <c r="J106" s="3227" t="str">
        <f t="shared" ref="J106:K106" si="50">IF(J93="NO","NO","IE")</f>
        <v>IE</v>
      </c>
      <c r="K106" s="3227" t="str">
        <f t="shared" si="50"/>
        <v>IE</v>
      </c>
      <c r="L106" s="3228"/>
      <c r="M106" s="3497" t="str">
        <f t="shared" ref="M106" si="51">IF(M93="NO","NO","IE")</f>
        <v>NO</v>
      </c>
    </row>
    <row r="107" spans="2:13" ht="18" customHeight="1" x14ac:dyDescent="0.2">
      <c r="B107" s="2616" t="s">
        <v>562</v>
      </c>
      <c r="C107" s="2618" t="s">
        <v>562</v>
      </c>
      <c r="D107" s="3227" t="str">
        <f t="shared" si="47"/>
        <v>NO</v>
      </c>
      <c r="E107" s="3227" t="str">
        <f t="shared" si="47"/>
        <v>NO</v>
      </c>
      <c r="F107" s="2108"/>
      <c r="G107" s="3103" t="str">
        <f t="shared" si="48"/>
        <v>NA</v>
      </c>
      <c r="H107" s="3103" t="str">
        <f t="shared" si="49"/>
        <v>NA</v>
      </c>
      <c r="I107" s="2108"/>
      <c r="J107" s="3227" t="str">
        <f t="shared" ref="J107:K107" si="52">IF(J94="NO","NO","IE")</f>
        <v>NO</v>
      </c>
      <c r="K107" s="3227" t="str">
        <f t="shared" si="52"/>
        <v>NO</v>
      </c>
      <c r="L107" s="3228"/>
      <c r="M107" s="3497" t="str">
        <f t="shared" ref="M107" si="53">IF(M94="NO","NO","IE")</f>
        <v>NO</v>
      </c>
    </row>
    <row r="108" spans="2:13" ht="18" customHeight="1" x14ac:dyDescent="0.2">
      <c r="B108" s="2616" t="s">
        <v>563</v>
      </c>
      <c r="C108" s="2618" t="s">
        <v>563</v>
      </c>
      <c r="D108" s="3227" t="str">
        <f t="shared" si="47"/>
        <v>IE</v>
      </c>
      <c r="E108" s="3227" t="str">
        <f t="shared" si="47"/>
        <v>IE</v>
      </c>
      <c r="F108" s="2108"/>
      <c r="G108" s="3103" t="str">
        <f t="shared" si="48"/>
        <v>NA</v>
      </c>
      <c r="H108" s="3103" t="str">
        <f t="shared" si="49"/>
        <v>NA</v>
      </c>
      <c r="I108" s="2108"/>
      <c r="J108" s="3227" t="str">
        <f t="shared" ref="J108:K108" si="54">IF(J95="NO","NO","IE")</f>
        <v>IE</v>
      </c>
      <c r="K108" s="3227" t="str">
        <f t="shared" si="54"/>
        <v>IE</v>
      </c>
      <c r="L108" s="3228"/>
      <c r="M108" s="3497" t="str">
        <f t="shared" ref="M108" si="55">IF(M95="NO","NO","IE")</f>
        <v>NO</v>
      </c>
    </row>
    <row r="109" spans="2:13" ht="18" customHeight="1" x14ac:dyDescent="0.2">
      <c r="B109" s="2616" t="s">
        <v>564</v>
      </c>
      <c r="C109" s="2618" t="s">
        <v>564</v>
      </c>
      <c r="D109" s="3227" t="str">
        <f t="shared" si="47"/>
        <v>IE</v>
      </c>
      <c r="E109" s="3227" t="str">
        <f t="shared" si="47"/>
        <v>IE</v>
      </c>
      <c r="F109" s="2108"/>
      <c r="G109" s="3103" t="str">
        <f t="shared" si="48"/>
        <v>NA</v>
      </c>
      <c r="H109" s="3103" t="str">
        <f t="shared" si="49"/>
        <v>NA</v>
      </c>
      <c r="I109" s="2108"/>
      <c r="J109" s="3227" t="str">
        <f t="shared" ref="J109:K109" si="56">IF(J96="NO","NO","IE")</f>
        <v>IE</v>
      </c>
      <c r="K109" s="3227" t="str">
        <f t="shared" si="56"/>
        <v>IE</v>
      </c>
      <c r="L109" s="3228"/>
      <c r="M109" s="3497" t="str">
        <f t="shared" ref="M109" si="57">IF(M96="NO","NO","IE")</f>
        <v>NO</v>
      </c>
    </row>
    <row r="110" spans="2:13" ht="18" customHeight="1" x14ac:dyDescent="0.2">
      <c r="B110" s="2616" t="s">
        <v>565</v>
      </c>
      <c r="C110" s="2618" t="s">
        <v>565</v>
      </c>
      <c r="D110" s="3227" t="str">
        <f t="shared" si="47"/>
        <v>IE</v>
      </c>
      <c r="E110" s="3227" t="str">
        <f t="shared" si="47"/>
        <v>IE</v>
      </c>
      <c r="F110" s="2108"/>
      <c r="G110" s="3103" t="str">
        <f t="shared" si="48"/>
        <v>NA</v>
      </c>
      <c r="H110" s="3103" t="str">
        <f t="shared" si="49"/>
        <v>NA</v>
      </c>
      <c r="I110" s="2108"/>
      <c r="J110" s="3227" t="str">
        <f t="shared" ref="J110:K110" si="58">IF(J97="NO","NO","IE")</f>
        <v>IE</v>
      </c>
      <c r="K110" s="3227" t="str">
        <f t="shared" si="58"/>
        <v>IE</v>
      </c>
      <c r="L110" s="3228"/>
      <c r="M110" s="3497" t="str">
        <f t="shared" ref="M110" si="59">IF(M97="NO","NO","IE")</f>
        <v>NO</v>
      </c>
    </row>
    <row r="111" spans="2:13" ht="18" customHeight="1" x14ac:dyDescent="0.2">
      <c r="B111" s="2616" t="s">
        <v>567</v>
      </c>
      <c r="C111" s="2618" t="s">
        <v>567</v>
      </c>
      <c r="D111" s="3227" t="str">
        <f t="shared" si="47"/>
        <v>IE</v>
      </c>
      <c r="E111" s="3227" t="str">
        <f t="shared" si="47"/>
        <v>IE</v>
      </c>
      <c r="F111" s="2108"/>
      <c r="G111" s="3103" t="str">
        <f t="shared" si="48"/>
        <v>NA</v>
      </c>
      <c r="H111" s="3103" t="str">
        <f t="shared" si="49"/>
        <v>NA</v>
      </c>
      <c r="I111" s="2108"/>
      <c r="J111" s="3227" t="str">
        <f t="shared" ref="J111:K111" si="60">IF(J98="NO","NO","IE")</f>
        <v>IE</v>
      </c>
      <c r="K111" s="3227" t="str">
        <f t="shared" si="60"/>
        <v>IE</v>
      </c>
      <c r="L111" s="3228"/>
      <c r="M111" s="3497" t="str">
        <f t="shared" ref="M111" si="61">IF(M98="NO","NO","IE")</f>
        <v>NO</v>
      </c>
    </row>
    <row r="112" spans="2:13" ht="18" customHeight="1" x14ac:dyDescent="0.2">
      <c r="B112" s="2616" t="s">
        <v>569</v>
      </c>
      <c r="C112" s="2618" t="s">
        <v>569</v>
      </c>
      <c r="D112" s="3227" t="str">
        <f t="shared" si="47"/>
        <v>IE</v>
      </c>
      <c r="E112" s="3227" t="str">
        <f t="shared" si="47"/>
        <v>IE</v>
      </c>
      <c r="F112" s="2108"/>
      <c r="G112" s="3103" t="str">
        <f t="shared" si="48"/>
        <v>NA</v>
      </c>
      <c r="H112" s="3103" t="str">
        <f t="shared" si="49"/>
        <v>NA</v>
      </c>
      <c r="I112" s="2108"/>
      <c r="J112" s="3227" t="str">
        <f t="shared" ref="J112:K112" si="62">IF(J99="NO","NO","IE")</f>
        <v>IE</v>
      </c>
      <c r="K112" s="3227" t="str">
        <f t="shared" si="62"/>
        <v>IE</v>
      </c>
      <c r="L112" s="3228"/>
      <c r="M112" s="3497" t="str">
        <f t="shared" ref="M112" si="63">IF(M99="NO","NO","IE")</f>
        <v>NO</v>
      </c>
    </row>
    <row r="113" spans="2:13" ht="18" customHeight="1" x14ac:dyDescent="0.2">
      <c r="B113" s="2616" t="s">
        <v>571</v>
      </c>
      <c r="C113" s="2618" t="s">
        <v>571</v>
      </c>
      <c r="D113" s="3227" t="str">
        <f t="shared" si="47"/>
        <v>IE</v>
      </c>
      <c r="E113" s="3227" t="str">
        <f t="shared" si="47"/>
        <v>IE</v>
      </c>
      <c r="F113" s="2108"/>
      <c r="G113" s="3103" t="str">
        <f t="shared" si="48"/>
        <v>NA</v>
      </c>
      <c r="H113" s="3103" t="str">
        <f t="shared" si="49"/>
        <v>NA</v>
      </c>
      <c r="I113" s="2108"/>
      <c r="J113" s="3227" t="str">
        <f t="shared" ref="J113:K113" si="64">IF(J100="NO","NO","IE")</f>
        <v>IE</v>
      </c>
      <c r="K113" s="3227" t="str">
        <f t="shared" si="64"/>
        <v>IE</v>
      </c>
      <c r="L113" s="3228"/>
      <c r="M113" s="3497" t="str">
        <f t="shared" ref="M113" si="65">IF(M100="NO","NO","IE")</f>
        <v>NO</v>
      </c>
    </row>
    <row r="114" spans="2:13" ht="18" customHeight="1" x14ac:dyDescent="0.2">
      <c r="B114" s="2616" t="s">
        <v>574</v>
      </c>
      <c r="C114" s="2618" t="s">
        <v>574</v>
      </c>
      <c r="D114" s="3227" t="str">
        <f t="shared" si="47"/>
        <v>IE</v>
      </c>
      <c r="E114" s="3227" t="str">
        <f t="shared" si="47"/>
        <v>IE</v>
      </c>
      <c r="F114" s="2108"/>
      <c r="G114" s="3103" t="str">
        <f t="shared" si="48"/>
        <v>NA</v>
      </c>
      <c r="H114" s="3103" t="str">
        <f t="shared" si="49"/>
        <v>NA</v>
      </c>
      <c r="I114" s="2108"/>
      <c r="J114" s="3227" t="str">
        <f t="shared" ref="J114:K114" si="66">IF(J101="NO","NO","IE")</f>
        <v>IE</v>
      </c>
      <c r="K114" s="3227" t="str">
        <f t="shared" si="66"/>
        <v>IE</v>
      </c>
      <c r="L114" s="3228"/>
      <c r="M114" s="3497" t="str">
        <f t="shared" ref="M114" si="67">IF(M101="NO","NO","IE")</f>
        <v>NO</v>
      </c>
    </row>
    <row r="115" spans="2:13" ht="18" customHeight="1" x14ac:dyDescent="0.2">
      <c r="B115" s="2616" t="s">
        <v>576</v>
      </c>
      <c r="C115" s="2618" t="s">
        <v>576</v>
      </c>
      <c r="D115" s="3227" t="str">
        <f t="shared" si="47"/>
        <v>IE</v>
      </c>
      <c r="E115" s="3227" t="str">
        <f t="shared" si="47"/>
        <v>IE</v>
      </c>
      <c r="F115" s="2108"/>
      <c r="G115" s="3103" t="str">
        <f t="shared" si="48"/>
        <v>NA</v>
      </c>
      <c r="H115" s="3103" t="str">
        <f t="shared" si="49"/>
        <v>NA</v>
      </c>
      <c r="I115" s="2108"/>
      <c r="J115" s="3227" t="str">
        <f t="shared" ref="J115:K115" si="68">IF(J102="NO","NO","IE")</f>
        <v>IE</v>
      </c>
      <c r="K115" s="3227" t="str">
        <f t="shared" si="68"/>
        <v>IE</v>
      </c>
      <c r="L115" s="3228"/>
      <c r="M115" s="3497" t="str">
        <f t="shared" ref="M115" si="69">IF(M102="NO","NO","IE")</f>
        <v>NO</v>
      </c>
    </row>
    <row r="116" spans="2:13" ht="18" customHeight="1" x14ac:dyDescent="0.2">
      <c r="B116" s="2616" t="s">
        <v>577</v>
      </c>
      <c r="C116" s="2618" t="s">
        <v>577</v>
      </c>
      <c r="D116" s="3227" t="str">
        <f t="shared" si="47"/>
        <v>IE</v>
      </c>
      <c r="E116" s="3227" t="str">
        <f t="shared" si="47"/>
        <v>IE</v>
      </c>
      <c r="F116" s="2108"/>
      <c r="G116" s="3103" t="str">
        <f t="shared" si="48"/>
        <v>NA</v>
      </c>
      <c r="H116" s="3103" t="str">
        <f t="shared" si="49"/>
        <v>NA</v>
      </c>
      <c r="I116" s="2108"/>
      <c r="J116" s="3227" t="str">
        <f t="shared" ref="J116:K116" si="70">IF(J103="NO","NO","IE")</f>
        <v>IE</v>
      </c>
      <c r="K116" s="3227" t="str">
        <f t="shared" si="70"/>
        <v>IE</v>
      </c>
      <c r="L116" s="3228"/>
      <c r="M116" s="3497" t="str">
        <f t="shared" ref="M116" si="71">IF(M103="NO","NO","IE")</f>
        <v>NO</v>
      </c>
    </row>
    <row r="117" spans="2:13" ht="18" customHeight="1" x14ac:dyDescent="0.2">
      <c r="B117" s="147" t="s">
        <v>676</v>
      </c>
      <c r="C117" s="2508"/>
      <c r="D117" s="2108"/>
      <c r="E117" s="2108"/>
      <c r="F117" s="2108"/>
      <c r="G117" s="2108"/>
      <c r="H117" s="2108"/>
      <c r="I117" s="2108"/>
      <c r="J117" s="3103">
        <f>IF(SUM(J118:J129)=0,"NO",SUM(J118:J129))</f>
        <v>8.9891991282371589E-2</v>
      </c>
      <c r="K117" s="3103">
        <f>IF(SUM(K118:K129)=0,"NO",SUM(K118:K129))</f>
        <v>22.964428515376287</v>
      </c>
      <c r="L117" s="3103">
        <f>IF(SUM(L118:L129)=0,"NO",SUM(L118:L129))</f>
        <v>25.57209863653631</v>
      </c>
      <c r="M117" s="3226">
        <f>IF(SUM(M118:M129)=0,"NO",SUM(M118:M129))</f>
        <v>-9.4459650944432667</v>
      </c>
    </row>
    <row r="118" spans="2:13" ht="18" customHeight="1" x14ac:dyDescent="0.2">
      <c r="B118" s="2616" t="s">
        <v>559</v>
      </c>
      <c r="C118" s="2618" t="s">
        <v>559</v>
      </c>
      <c r="D118" s="3227">
        <v>0.21212799529231036</v>
      </c>
      <c r="E118" s="3227">
        <v>3.6991232451210854</v>
      </c>
      <c r="F118" s="3227">
        <v>0.28922588578864095</v>
      </c>
      <c r="G118" s="3103">
        <f>IF(SUM(D118)=0,"NA",J118/D118)</f>
        <v>3.5000000000000001E-3</v>
      </c>
      <c r="H118" s="3103">
        <f>IF(SUM(E118)=0,"NA",K118/E118)</f>
        <v>5.1274551718888443E-2</v>
      </c>
      <c r="I118" s="3103">
        <f t="shared" ref="I118:I129" si="72">IF(SUM(F118)=0,"NA",(SUM(L118:M118))/F118)</f>
        <v>0.46050900089677638</v>
      </c>
      <c r="J118" s="3227">
        <v>7.4244798352308624E-4</v>
      </c>
      <c r="K118" s="3227">
        <v>0.18967088614650354</v>
      </c>
      <c r="L118" s="3227">
        <v>0.21120850474332659</v>
      </c>
      <c r="M118" s="3497">
        <v>-7.8017381045314388E-2</v>
      </c>
    </row>
    <row r="119" spans="2:13" ht="18" customHeight="1" x14ac:dyDescent="0.2">
      <c r="B119" s="2616" t="s">
        <v>560</v>
      </c>
      <c r="C119" s="2618" t="s">
        <v>560</v>
      </c>
      <c r="D119" s="3227">
        <v>2.1844185046430145</v>
      </c>
      <c r="E119" s="3227">
        <v>38.092253011974464</v>
      </c>
      <c r="F119" s="3227">
        <v>2.9783451074803828</v>
      </c>
      <c r="G119" s="3103">
        <f t="shared" ref="G119:G129" si="73">IF(SUM(D119)=0,"NA",J119/D119)</f>
        <v>3.5000000000000001E-3</v>
      </c>
      <c r="H119" s="3103">
        <f t="shared" ref="H119:H129" si="74">IF(SUM(E119)=0,"NA",K119/E119)</f>
        <v>5.1274551718888457E-2</v>
      </c>
      <c r="I119" s="3103">
        <f t="shared" si="72"/>
        <v>0.46050900089677638</v>
      </c>
      <c r="J119" s="3227">
        <v>7.6454647662505511E-3</v>
      </c>
      <c r="K119" s="3227">
        <v>1.9531631971514691</v>
      </c>
      <c r="L119" s="3227">
        <v>2.174949918625988</v>
      </c>
      <c r="M119" s="3497">
        <v>-0.80339518885439498</v>
      </c>
    </row>
    <row r="120" spans="2:13" ht="18" customHeight="1" x14ac:dyDescent="0.2">
      <c r="B120" s="2616" t="s">
        <v>562</v>
      </c>
      <c r="C120" s="2618" t="s">
        <v>562</v>
      </c>
      <c r="D120" s="3227" t="s">
        <v>2146</v>
      </c>
      <c r="E120" s="3227" t="s">
        <v>2146</v>
      </c>
      <c r="F120" s="3227" t="s">
        <v>2146</v>
      </c>
      <c r="G120" s="3103" t="str">
        <f t="shared" si="73"/>
        <v>NA</v>
      </c>
      <c r="H120" s="3103" t="str">
        <f t="shared" si="74"/>
        <v>NA</v>
      </c>
      <c r="I120" s="3103" t="str">
        <f t="shared" si="72"/>
        <v>NA</v>
      </c>
      <c r="J120" s="3227" t="s">
        <v>2146</v>
      </c>
      <c r="K120" s="3227" t="s">
        <v>2146</v>
      </c>
      <c r="L120" s="3227" t="s">
        <v>2146</v>
      </c>
      <c r="M120" s="3497" t="s">
        <v>2146</v>
      </c>
    </row>
    <row r="121" spans="2:13" ht="18" customHeight="1" x14ac:dyDescent="0.2">
      <c r="B121" s="2616" t="s">
        <v>563</v>
      </c>
      <c r="C121" s="2618" t="s">
        <v>563</v>
      </c>
      <c r="D121" s="3227">
        <v>4.9043662396311731</v>
      </c>
      <c r="E121" s="3227">
        <v>85.523153766703231</v>
      </c>
      <c r="F121" s="3227">
        <v>6.6868574698714065</v>
      </c>
      <c r="G121" s="3103">
        <f t="shared" si="73"/>
        <v>3.5000000000000001E-3</v>
      </c>
      <c r="H121" s="3103">
        <f t="shared" si="74"/>
        <v>5.127455171888845E-2</v>
      </c>
      <c r="I121" s="3103">
        <f t="shared" si="72"/>
        <v>0.46050900089677616</v>
      </c>
      <c r="J121" s="3227">
        <v>1.7165281838709107E-2</v>
      </c>
      <c r="K121" s="3227">
        <v>4.3851613709732744</v>
      </c>
      <c r="L121" s="3227">
        <v>4.8831077612305158</v>
      </c>
      <c r="M121" s="3497">
        <v>-1.8037497086408898</v>
      </c>
    </row>
    <row r="122" spans="2:13" ht="18" customHeight="1" x14ac:dyDescent="0.2">
      <c r="B122" s="2616" t="s">
        <v>564</v>
      </c>
      <c r="C122" s="2618" t="s">
        <v>564</v>
      </c>
      <c r="D122" s="3227">
        <v>1.2513170210393594E-2</v>
      </c>
      <c r="E122" s="3227">
        <v>0.2182067422625644</v>
      </c>
      <c r="F122" s="3227">
        <v>1.7061080189524212E-2</v>
      </c>
      <c r="G122" s="3103">
        <f t="shared" si="73"/>
        <v>3.5000000000000001E-3</v>
      </c>
      <c r="H122" s="3103">
        <f t="shared" si="74"/>
        <v>5.1274551718888457E-2</v>
      </c>
      <c r="I122" s="3103">
        <f t="shared" si="72"/>
        <v>0.46050900089677616</v>
      </c>
      <c r="J122" s="3227">
        <v>4.3796095736377578E-5</v>
      </c>
      <c r="K122" s="3227">
        <v>1.1188452891552021E-2</v>
      </c>
      <c r="L122" s="3227">
        <v>1.2458930590910893E-2</v>
      </c>
      <c r="M122" s="3497">
        <v>-4.6021495986133176E-3</v>
      </c>
    </row>
    <row r="123" spans="2:13" ht="18" customHeight="1" x14ac:dyDescent="0.2">
      <c r="B123" s="2616" t="s">
        <v>565</v>
      </c>
      <c r="C123" s="2618" t="s">
        <v>565</v>
      </c>
      <c r="D123" s="3227">
        <v>13.710467064255013</v>
      </c>
      <c r="E123" s="3227">
        <v>239.08540383349975</v>
      </c>
      <c r="F123" s="3227">
        <v>18.693534419022956</v>
      </c>
      <c r="G123" s="3103">
        <f t="shared" si="73"/>
        <v>3.4999999999999996E-3</v>
      </c>
      <c r="H123" s="3103">
        <f t="shared" si="74"/>
        <v>5.1274551718888443E-2</v>
      </c>
      <c r="I123" s="3103">
        <f t="shared" si="72"/>
        <v>0.46050900089677621</v>
      </c>
      <c r="J123" s="3227">
        <v>4.7986634724892542E-2</v>
      </c>
      <c r="K123" s="3227">
        <v>12.258996904092113</v>
      </c>
      <c r="L123" s="3227">
        <v>13.651037638778357</v>
      </c>
      <c r="M123" s="3497">
        <v>-5.0424967802445977</v>
      </c>
    </row>
    <row r="124" spans="2:13" ht="18" customHeight="1" x14ac:dyDescent="0.2">
      <c r="B124" s="2616" t="s">
        <v>567</v>
      </c>
      <c r="C124" s="2618" t="s">
        <v>567</v>
      </c>
      <c r="D124" s="3227">
        <v>3.0460879118679323</v>
      </c>
      <c r="E124" s="3227">
        <v>53.11818737524964</v>
      </c>
      <c r="F124" s="3227">
        <v>4.153188141367453</v>
      </c>
      <c r="G124" s="3103">
        <f t="shared" si="73"/>
        <v>3.5000000000000005E-3</v>
      </c>
      <c r="H124" s="3103">
        <f t="shared" si="74"/>
        <v>5.1274551718888443E-2</v>
      </c>
      <c r="I124" s="3103">
        <f t="shared" si="72"/>
        <v>0.46050900089677627</v>
      </c>
      <c r="J124" s="3227">
        <v>1.0661307691537765E-2</v>
      </c>
      <c r="K124" s="3227">
        <v>2.723611245785845</v>
      </c>
      <c r="L124" s="3227">
        <v>3.0328843314424589</v>
      </c>
      <c r="M124" s="3497">
        <v>-1.120303809924994</v>
      </c>
    </row>
    <row r="125" spans="2:13" ht="18" customHeight="1" x14ac:dyDescent="0.2">
      <c r="B125" s="2616" t="s">
        <v>569</v>
      </c>
      <c r="C125" s="2618" t="s">
        <v>569</v>
      </c>
      <c r="D125" s="3227">
        <v>0.50103538958953497</v>
      </c>
      <c r="E125" s="3227">
        <v>8.7371384135554173</v>
      </c>
      <c r="F125" s="3227">
        <v>0.68313663251190448</v>
      </c>
      <c r="G125" s="3103">
        <f t="shared" si="73"/>
        <v>3.4999999999999996E-3</v>
      </c>
      <c r="H125" s="3103">
        <f t="shared" si="74"/>
        <v>5.1274551718888443E-2</v>
      </c>
      <c r="I125" s="3103">
        <f t="shared" si="72"/>
        <v>0.46050900089677621</v>
      </c>
      <c r="J125" s="3227">
        <v>1.7536238635633722E-3</v>
      </c>
      <c r="K125" s="3227">
        <v>0.44799285546093415</v>
      </c>
      <c r="L125" s="3227">
        <v>0.49886360031297483</v>
      </c>
      <c r="M125" s="3497">
        <v>-0.18427303219892957</v>
      </c>
    </row>
    <row r="126" spans="2:13" ht="18" customHeight="1" x14ac:dyDescent="0.2">
      <c r="B126" s="2616" t="s">
        <v>571</v>
      </c>
      <c r="C126" s="2618" t="s">
        <v>571</v>
      </c>
      <c r="D126" s="3227">
        <v>0.14621355518742127</v>
      </c>
      <c r="E126" s="3227">
        <v>2.5496962812488846</v>
      </c>
      <c r="F126" s="3227">
        <v>0.19935485156079832</v>
      </c>
      <c r="G126" s="3103">
        <f t="shared" si="73"/>
        <v>3.5000000000000005E-3</v>
      </c>
      <c r="H126" s="3103">
        <f t="shared" si="74"/>
        <v>5.1274551718888457E-2</v>
      </c>
      <c r="I126" s="3103">
        <f t="shared" si="72"/>
        <v>0.46050900089677616</v>
      </c>
      <c r="J126" s="3227">
        <v>5.1174744315597449E-4</v>
      </c>
      <c r="K126" s="3227">
        <v>0.1307345338403535</v>
      </c>
      <c r="L126" s="3227">
        <v>0.14557977753849333</v>
      </c>
      <c r="M126" s="3497">
        <v>-5.3775074022304963E-2</v>
      </c>
    </row>
    <row r="127" spans="2:13" ht="18" customHeight="1" x14ac:dyDescent="0.2">
      <c r="B127" s="2616" t="s">
        <v>574</v>
      </c>
      <c r="C127" s="2618" t="s">
        <v>574</v>
      </c>
      <c r="D127" s="3227">
        <v>2.0794813770171557E-2</v>
      </c>
      <c r="E127" s="3227">
        <v>0.36262341936153719</v>
      </c>
      <c r="F127" s="3227">
        <v>2.8352685953590955E-2</v>
      </c>
      <c r="G127" s="3103">
        <f t="shared" si="73"/>
        <v>3.4999999999999996E-3</v>
      </c>
      <c r="H127" s="3103">
        <f t="shared" si="74"/>
        <v>5.1274551718888443E-2</v>
      </c>
      <c r="I127" s="3103">
        <f t="shared" si="72"/>
        <v>0.46050900089677616</v>
      </c>
      <c r="J127" s="3227">
        <v>7.2781848195600446E-5</v>
      </c>
      <c r="K127" s="3227">
        <v>1.8593353270533311E-2</v>
      </c>
      <c r="L127" s="3227">
        <v>2.0704676517409593E-2</v>
      </c>
      <c r="M127" s="3497">
        <v>-7.6480094361813617E-3</v>
      </c>
    </row>
    <row r="128" spans="2:13" ht="18" customHeight="1" x14ac:dyDescent="0.2">
      <c r="B128" s="2616" t="s">
        <v>576</v>
      </c>
      <c r="C128" s="2618" t="s">
        <v>576</v>
      </c>
      <c r="D128" s="3227">
        <v>0.57018332123202586</v>
      </c>
      <c r="E128" s="3227">
        <v>9.9429515403815607</v>
      </c>
      <c r="F128" s="3227">
        <v>0.77741637032865463</v>
      </c>
      <c r="G128" s="3103">
        <f t="shared" si="73"/>
        <v>3.5000000000000001E-3</v>
      </c>
      <c r="H128" s="3103">
        <f t="shared" si="74"/>
        <v>5.1274551718888443E-2</v>
      </c>
      <c r="I128" s="3103">
        <f t="shared" si="72"/>
        <v>0.46050900089677621</v>
      </c>
      <c r="J128" s="3227">
        <v>1.9956416243120906E-3</v>
      </c>
      <c r="K128" s="3227">
        <v>0.50982038299569588</v>
      </c>
      <c r="L128" s="3227">
        <v>0.56771180315475078</v>
      </c>
      <c r="M128" s="3497">
        <v>-0.20970456717390382</v>
      </c>
    </row>
    <row r="129" spans="2:13" ht="18" customHeight="1" x14ac:dyDescent="0.2">
      <c r="B129" s="2616" t="s">
        <v>577</v>
      </c>
      <c r="C129" s="2618" t="s">
        <v>577</v>
      </c>
      <c r="D129" s="3227">
        <v>0.37521811499860486</v>
      </c>
      <c r="E129" s="3227">
        <v>6.5431158639350508</v>
      </c>
      <c r="F129" s="3227">
        <v>0.5115910869042638</v>
      </c>
      <c r="G129" s="3103">
        <f t="shared" si="73"/>
        <v>3.4999999999999996E-3</v>
      </c>
      <c r="H129" s="3103">
        <f t="shared" si="74"/>
        <v>5.1274551718888443E-2</v>
      </c>
      <c r="I129" s="3103">
        <f t="shared" si="72"/>
        <v>0.46050900089677627</v>
      </c>
      <c r="J129" s="3227">
        <v>1.3132634024951169E-3</v>
      </c>
      <c r="K129" s="3227">
        <v>0.33549533276801718</v>
      </c>
      <c r="L129" s="3227">
        <v>0.3735916936011211</v>
      </c>
      <c r="M129" s="3497">
        <v>-0.13799939330314273</v>
      </c>
    </row>
    <row r="130" spans="2:13" ht="18" customHeight="1" x14ac:dyDescent="0.2">
      <c r="B130" s="147" t="s">
        <v>477</v>
      </c>
      <c r="C130" s="2508"/>
      <c r="D130" s="4326"/>
      <c r="E130" s="4326"/>
      <c r="F130" s="4326"/>
      <c r="G130" s="4327"/>
      <c r="H130" s="4327"/>
      <c r="I130" s="4327"/>
      <c r="J130" s="3103" t="str">
        <f>IF(SUM(J131,J144)=0,"NO",SUM(J131,J144))</f>
        <v>NO</v>
      </c>
      <c r="K130" s="3103">
        <f>IF(SUM(K131,K144)=0,"NO",SUM(K131,K144))</f>
        <v>56.939854394593574</v>
      </c>
      <c r="L130" s="3229"/>
      <c r="M130" s="3226" t="str">
        <f>IF(SUM(M131,M144)=0,"NO",SUM(M131,M144))</f>
        <v>NO</v>
      </c>
    </row>
    <row r="131" spans="2:13" ht="18" customHeight="1" x14ac:dyDescent="0.2">
      <c r="B131" s="99" t="s">
        <v>677</v>
      </c>
      <c r="C131" s="2508"/>
      <c r="D131" s="2108"/>
      <c r="E131" s="2108"/>
      <c r="F131" s="2108"/>
      <c r="G131" s="2108"/>
      <c r="H131" s="2108"/>
      <c r="I131" s="2108"/>
      <c r="J131" s="3103" t="str">
        <f>IF(SUM(J132:J143)=0,"NO",SUM(J132:J143))</f>
        <v>NO</v>
      </c>
      <c r="K131" s="3103">
        <f>IF(SUM(K132:K143)=0,"NO",SUM(K132:K143))</f>
        <v>56.939854394593574</v>
      </c>
      <c r="L131" s="3229"/>
      <c r="M131" s="3226" t="str">
        <f>IF(SUM(M132:M143)=0,"NO",SUM(M132:M143))</f>
        <v>NO</v>
      </c>
    </row>
    <row r="132" spans="2:13" ht="18" customHeight="1" x14ac:dyDescent="0.2">
      <c r="B132" s="2616" t="s">
        <v>559</v>
      </c>
      <c r="C132" s="2618" t="s">
        <v>559</v>
      </c>
      <c r="D132" s="3227" t="s">
        <v>2146</v>
      </c>
      <c r="E132" s="3227">
        <v>0.60806480147273601</v>
      </c>
      <c r="F132" s="3229"/>
      <c r="G132" s="3103" t="str">
        <f>IF(SUM(D132)=0,"NA",J132/D132)</f>
        <v>NA</v>
      </c>
      <c r="H132" s="3103">
        <f>IF(SUM(E132)=0,"NA",K132/E132)</f>
        <v>0.77341309099892719</v>
      </c>
      <c r="I132" s="4327"/>
      <c r="J132" s="3227" t="s">
        <v>2146</v>
      </c>
      <c r="K132" s="3227">
        <v>0.47028527763467776</v>
      </c>
      <c r="L132" s="3229"/>
      <c r="M132" s="3497" t="s">
        <v>2146</v>
      </c>
    </row>
    <row r="133" spans="2:13" ht="18" customHeight="1" x14ac:dyDescent="0.2">
      <c r="B133" s="2616" t="s">
        <v>560</v>
      </c>
      <c r="C133" s="2618" t="s">
        <v>560</v>
      </c>
      <c r="D133" s="3227" t="s">
        <v>2146</v>
      </c>
      <c r="E133" s="3227">
        <v>6.2616346443513251</v>
      </c>
      <c r="F133" s="3229"/>
      <c r="G133" s="3103" t="str">
        <f t="shared" ref="G133:G143" si="75">IF(SUM(D133)=0,"NA",J133/D133)</f>
        <v>NA</v>
      </c>
      <c r="H133" s="3103">
        <f t="shared" ref="H133:H143" si="76">IF(SUM(E133)=0,"NA",K133/E133)</f>
        <v>0.77341309099892697</v>
      </c>
      <c r="I133" s="4327"/>
      <c r="J133" s="3227" t="s">
        <v>2146</v>
      </c>
      <c r="K133" s="3227">
        <v>4.8428302049937253</v>
      </c>
      <c r="L133" s="3229"/>
      <c r="M133" s="3497" t="s">
        <v>2146</v>
      </c>
    </row>
    <row r="134" spans="2:13" ht="18" customHeight="1" x14ac:dyDescent="0.2">
      <c r="B134" s="2616" t="s">
        <v>562</v>
      </c>
      <c r="C134" s="2618" t="s">
        <v>562</v>
      </c>
      <c r="D134" s="3227" t="s">
        <v>2146</v>
      </c>
      <c r="E134" s="3227" t="s">
        <v>2146</v>
      </c>
      <c r="F134" s="3229"/>
      <c r="G134" s="3103" t="str">
        <f t="shared" si="75"/>
        <v>NA</v>
      </c>
      <c r="H134" s="3103" t="str">
        <f t="shared" si="76"/>
        <v>NA</v>
      </c>
      <c r="I134" s="4327"/>
      <c r="J134" s="3227" t="s">
        <v>2146</v>
      </c>
      <c r="K134" s="3227" t="s">
        <v>2146</v>
      </c>
      <c r="L134" s="3229"/>
      <c r="M134" s="3497" t="s">
        <v>2146</v>
      </c>
    </row>
    <row r="135" spans="2:13" ht="18" customHeight="1" x14ac:dyDescent="0.2">
      <c r="B135" s="2616" t="s">
        <v>563</v>
      </c>
      <c r="C135" s="2618" t="s">
        <v>563</v>
      </c>
      <c r="D135" s="3227" t="s">
        <v>2146</v>
      </c>
      <c r="E135" s="3227">
        <v>14.058363582522489</v>
      </c>
      <c r="F135" s="3229"/>
      <c r="G135" s="3103" t="str">
        <f t="shared" si="75"/>
        <v>NA</v>
      </c>
      <c r="H135" s="3103">
        <f t="shared" si="76"/>
        <v>0.7734130909989273</v>
      </c>
      <c r="I135" s="4327"/>
      <c r="J135" s="3227" t="s">
        <v>2146</v>
      </c>
      <c r="K135" s="3227">
        <v>10.872922432745471</v>
      </c>
      <c r="L135" s="3229"/>
      <c r="M135" s="3497" t="s">
        <v>2146</v>
      </c>
    </row>
    <row r="136" spans="2:13" ht="18" customHeight="1" x14ac:dyDescent="0.2">
      <c r="B136" s="2616" t="s">
        <v>564</v>
      </c>
      <c r="C136" s="2618" t="s">
        <v>564</v>
      </c>
      <c r="D136" s="3227" t="s">
        <v>2146</v>
      </c>
      <c r="E136" s="3227">
        <v>3.5868996684254972E-2</v>
      </c>
      <c r="F136" s="3229"/>
      <c r="G136" s="3103" t="str">
        <f t="shared" si="75"/>
        <v>NA</v>
      </c>
      <c r="H136" s="3103">
        <f t="shared" si="76"/>
        <v>0.77341309099892719</v>
      </c>
      <c r="I136" s="4327"/>
      <c r="J136" s="3227" t="s">
        <v>2146</v>
      </c>
      <c r="K136" s="3227">
        <v>2.7741551596599908E-2</v>
      </c>
      <c r="L136" s="3229"/>
      <c r="M136" s="3497" t="s">
        <v>2146</v>
      </c>
    </row>
    <row r="137" spans="2:13" ht="18" customHeight="1" x14ac:dyDescent="0.2">
      <c r="B137" s="2616" t="s">
        <v>565</v>
      </c>
      <c r="C137" s="2618" t="s">
        <v>565</v>
      </c>
      <c r="D137" s="3227" t="s">
        <v>2146</v>
      </c>
      <c r="E137" s="3227">
        <v>39.301047568175086</v>
      </c>
      <c r="F137" s="3229"/>
      <c r="G137" s="3103" t="str">
        <f t="shared" si="75"/>
        <v>NA</v>
      </c>
      <c r="H137" s="3103">
        <f t="shared" si="76"/>
        <v>0.77341309099892719</v>
      </c>
      <c r="I137" s="4327"/>
      <c r="J137" s="3227" t="s">
        <v>2146</v>
      </c>
      <c r="K137" s="3227">
        <v>30.395944679198163</v>
      </c>
      <c r="L137" s="3229"/>
      <c r="M137" s="3497" t="s">
        <v>2146</v>
      </c>
    </row>
    <row r="138" spans="2:13" ht="18" customHeight="1" x14ac:dyDescent="0.2">
      <c r="B138" s="2616" t="s">
        <v>567</v>
      </c>
      <c r="C138" s="2618" t="s">
        <v>567</v>
      </c>
      <c r="D138" s="3227" t="s">
        <v>2146</v>
      </c>
      <c r="E138" s="3227">
        <v>8.7316096060123289</v>
      </c>
      <c r="F138" s="3229"/>
      <c r="G138" s="3103" t="str">
        <f t="shared" si="75"/>
        <v>NA</v>
      </c>
      <c r="H138" s="3103">
        <f t="shared" si="76"/>
        <v>0.77341309099892719</v>
      </c>
      <c r="I138" s="4327"/>
      <c r="J138" s="3227" t="s">
        <v>2146</v>
      </c>
      <c r="K138" s="3227">
        <v>6.7531411747819199</v>
      </c>
      <c r="L138" s="3229"/>
      <c r="M138" s="3497" t="s">
        <v>2146</v>
      </c>
    </row>
    <row r="139" spans="2:13" ht="18" customHeight="1" x14ac:dyDescent="0.2">
      <c r="B139" s="2616" t="s">
        <v>569</v>
      </c>
      <c r="C139" s="2618" t="s">
        <v>569</v>
      </c>
      <c r="D139" s="3227" t="s">
        <v>2146</v>
      </c>
      <c r="E139" s="3227">
        <v>1.4362177150722333</v>
      </c>
      <c r="F139" s="3229"/>
      <c r="G139" s="3103" t="str">
        <f t="shared" si="75"/>
        <v>NA</v>
      </c>
      <c r="H139" s="3103">
        <f t="shared" si="76"/>
        <v>0.77341309099892719</v>
      </c>
      <c r="I139" s="4327"/>
      <c r="J139" s="3227" t="s">
        <v>2146</v>
      </c>
      <c r="K139" s="3227">
        <v>1.1107895823614324</v>
      </c>
      <c r="L139" s="3229"/>
      <c r="M139" s="3497" t="s">
        <v>2146</v>
      </c>
    </row>
    <row r="140" spans="2:13" ht="18" customHeight="1" x14ac:dyDescent="0.2">
      <c r="B140" s="2616" t="s">
        <v>571</v>
      </c>
      <c r="C140" s="2618" t="s">
        <v>571</v>
      </c>
      <c r="D140" s="3227" t="s">
        <v>2146</v>
      </c>
      <c r="E140" s="3227">
        <v>0.4191210890629915</v>
      </c>
      <c r="F140" s="3229"/>
      <c r="G140" s="3103" t="str">
        <f t="shared" si="75"/>
        <v>NA</v>
      </c>
      <c r="H140" s="3103">
        <f t="shared" si="76"/>
        <v>0.77341309099892719</v>
      </c>
      <c r="I140" s="4327"/>
      <c r="J140" s="3227" t="s">
        <v>2146</v>
      </c>
      <c r="K140" s="3227">
        <v>0.32415373699504491</v>
      </c>
      <c r="L140" s="3229"/>
      <c r="M140" s="3497" t="s">
        <v>2146</v>
      </c>
    </row>
    <row r="141" spans="2:13" ht="18" customHeight="1" x14ac:dyDescent="0.2">
      <c r="B141" s="2616" t="s">
        <v>574</v>
      </c>
      <c r="C141" s="2618" t="s">
        <v>574</v>
      </c>
      <c r="D141" s="3227" t="s">
        <v>2146</v>
      </c>
      <c r="E141" s="3227">
        <v>5.9608324160126791E-2</v>
      </c>
      <c r="F141" s="3229"/>
      <c r="G141" s="3103" t="str">
        <f t="shared" si="75"/>
        <v>NA</v>
      </c>
      <c r="H141" s="3103">
        <f t="shared" si="76"/>
        <v>0.77341309099892708</v>
      </c>
      <c r="I141" s="4327"/>
      <c r="J141" s="3227" t="s">
        <v>2146</v>
      </c>
      <c r="K141" s="3227">
        <v>4.6101858237949683E-2</v>
      </c>
      <c r="L141" s="3229"/>
      <c r="M141" s="3497" t="s">
        <v>2146</v>
      </c>
    </row>
    <row r="142" spans="2:13" ht="18" customHeight="1" x14ac:dyDescent="0.2">
      <c r="B142" s="2616" t="s">
        <v>576</v>
      </c>
      <c r="C142" s="2618" t="s">
        <v>576</v>
      </c>
      <c r="D142" s="3227" t="s">
        <v>2146</v>
      </c>
      <c r="E142" s="3227">
        <v>1.6344302294954334</v>
      </c>
      <c r="F142" s="3229"/>
      <c r="G142" s="3103" t="str">
        <f t="shared" si="75"/>
        <v>NA</v>
      </c>
      <c r="H142" s="3103">
        <f t="shared" si="76"/>
        <v>0.77341309099892708</v>
      </c>
      <c r="I142" s="4327"/>
      <c r="J142" s="3227" t="s">
        <v>2146</v>
      </c>
      <c r="K142" s="3227">
        <v>1.2640897358161489</v>
      </c>
      <c r="L142" s="3229"/>
      <c r="M142" s="3497" t="s">
        <v>2146</v>
      </c>
    </row>
    <row r="143" spans="2:13" ht="18" customHeight="1" x14ac:dyDescent="0.2">
      <c r="B143" s="2616" t="s">
        <v>577</v>
      </c>
      <c r="C143" s="2618" t="s">
        <v>577</v>
      </c>
      <c r="D143" s="3227" t="s">
        <v>2146</v>
      </c>
      <c r="E143" s="3227">
        <v>1.0755625550093131</v>
      </c>
      <c r="F143" s="3229"/>
      <c r="G143" s="3103" t="str">
        <f t="shared" si="75"/>
        <v>NA</v>
      </c>
      <c r="H143" s="3103">
        <f t="shared" si="76"/>
        <v>0.77341309099892708</v>
      </c>
      <c r="I143" s="4327"/>
      <c r="J143" s="3227" t="s">
        <v>2146</v>
      </c>
      <c r="K143" s="3227">
        <v>0.8318541602324564</v>
      </c>
      <c r="L143" s="3229"/>
      <c r="M143" s="3497" t="s">
        <v>2146</v>
      </c>
    </row>
    <row r="144" spans="2:13" ht="18" customHeight="1" x14ac:dyDescent="0.2">
      <c r="B144" s="104" t="s">
        <v>2277</v>
      </c>
      <c r="C144" s="2508"/>
      <c r="D144" s="4326"/>
      <c r="E144" s="4326"/>
      <c r="F144" s="4326"/>
      <c r="G144" s="4327"/>
      <c r="H144" s="4327"/>
      <c r="I144" s="4327"/>
      <c r="J144" s="3103" t="s">
        <v>2147</v>
      </c>
      <c r="K144" s="3103" t="s">
        <v>2147</v>
      </c>
      <c r="L144" s="3229"/>
      <c r="M144" s="3226" t="s">
        <v>2147</v>
      </c>
    </row>
    <row r="145" spans="2:13" ht="18" customHeight="1" x14ac:dyDescent="0.2">
      <c r="B145" s="2616" t="s">
        <v>2147</v>
      </c>
      <c r="C145" s="2508"/>
      <c r="D145" s="4326"/>
      <c r="E145" s="4326"/>
      <c r="F145" s="3229"/>
      <c r="G145" s="3103" t="s">
        <v>2147</v>
      </c>
      <c r="H145" s="3103" t="s">
        <v>2147</v>
      </c>
      <c r="I145" s="4327"/>
      <c r="J145" s="3227" t="s">
        <v>2147</v>
      </c>
      <c r="K145" s="3227" t="s">
        <v>2147</v>
      </c>
      <c r="L145" s="3229"/>
      <c r="M145" s="3497" t="s">
        <v>2147</v>
      </c>
    </row>
    <row r="146" spans="2:13" ht="18" customHeight="1" x14ac:dyDescent="0.2">
      <c r="B146" s="147" t="s">
        <v>478</v>
      </c>
      <c r="C146" s="2508"/>
      <c r="D146" s="2108"/>
      <c r="E146" s="2108"/>
      <c r="F146" s="2108"/>
      <c r="G146" s="2108"/>
      <c r="H146" s="2108"/>
      <c r="I146" s="2108"/>
      <c r="J146" s="3103" t="str">
        <f>IF(SUM(J147:J158)=0,"NO",SUM(J147:J158))</f>
        <v>NO</v>
      </c>
      <c r="K146" s="3103">
        <f>IF(SUM(K147:K158)=0,"NO",SUM(K147:K158))</f>
        <v>41.393904999245862</v>
      </c>
      <c r="L146" s="3103">
        <f>IF(SUM(L147:L158)=0,"NO",SUM(L147:L158))</f>
        <v>19.313717240877427</v>
      </c>
      <c r="M146" s="3226" t="str">
        <f>IF(SUM(M147:M158)=0,"NO",SUM(M147:M158))</f>
        <v>NO</v>
      </c>
    </row>
    <row r="147" spans="2:13" ht="18" customHeight="1" x14ac:dyDescent="0.2">
      <c r="B147" s="2616" t="s">
        <v>559</v>
      </c>
      <c r="C147" s="2618" t="s">
        <v>559</v>
      </c>
      <c r="D147" s="3227">
        <v>0.24734339541918993</v>
      </c>
      <c r="E147" s="3227">
        <v>0.80744387492830572</v>
      </c>
      <c r="F147" s="3227">
        <v>0.159518442246774</v>
      </c>
      <c r="G147" s="3103" t="str">
        <f>IFERROR(J147/D147,"NA")</f>
        <v>NA</v>
      </c>
      <c r="H147" s="3103">
        <f>IF(SUM(E147)=0,"NA",K147/E147)</f>
        <v>0.42341777456632768</v>
      </c>
      <c r="I147" s="3103">
        <f t="shared" ref="I147:I158" si="77">IF(SUM(F147)=0,"NA",(SUM(L147:M147))/F147)</f>
        <v>1.0000000000000002</v>
      </c>
      <c r="J147" s="3227" t="s">
        <v>2146</v>
      </c>
      <c r="K147" s="3227">
        <v>0.34188608860935543</v>
      </c>
      <c r="L147" s="3227">
        <v>0.15951844224677403</v>
      </c>
      <c r="M147" s="3497" t="s">
        <v>2146</v>
      </c>
    </row>
    <row r="148" spans="2:13" ht="18" customHeight="1" x14ac:dyDescent="0.2">
      <c r="B148" s="2616" t="s">
        <v>560</v>
      </c>
      <c r="C148" s="2618" t="s">
        <v>560</v>
      </c>
      <c r="D148" s="3227">
        <v>2.5470541462968259</v>
      </c>
      <c r="E148" s="3227">
        <v>8.3147692949417529</v>
      </c>
      <c r="F148" s="3227">
        <v>1.6426640745626875</v>
      </c>
      <c r="G148" s="3103" t="str">
        <f t="shared" ref="G148:G158" si="78">IFERROR(J148/D148,"NA")</f>
        <v>NA</v>
      </c>
      <c r="H148" s="3103">
        <f t="shared" ref="H148:H158" si="79">IF(SUM(E148)=0,"NA",K148/E148)</f>
        <v>0.42341777456632762</v>
      </c>
      <c r="I148" s="3103">
        <f t="shared" si="77"/>
        <v>1</v>
      </c>
      <c r="J148" s="3227" t="s">
        <v>2146</v>
      </c>
      <c r="K148" s="3227">
        <v>3.5206211108966698</v>
      </c>
      <c r="L148" s="3227">
        <v>1.6426640745626875</v>
      </c>
      <c r="M148" s="3497" t="s">
        <v>2146</v>
      </c>
    </row>
    <row r="149" spans="2:13" ht="18" customHeight="1" x14ac:dyDescent="0.2">
      <c r="B149" s="2616" t="s">
        <v>562</v>
      </c>
      <c r="C149" s="2618" t="s">
        <v>562</v>
      </c>
      <c r="D149" s="3227" t="s">
        <v>2146</v>
      </c>
      <c r="E149" s="3227" t="s">
        <v>2146</v>
      </c>
      <c r="F149" s="3227" t="s">
        <v>2146</v>
      </c>
      <c r="G149" s="3103" t="str">
        <f t="shared" si="78"/>
        <v>NA</v>
      </c>
      <c r="H149" s="3103" t="str">
        <f t="shared" si="79"/>
        <v>NA</v>
      </c>
      <c r="I149" s="3103" t="str">
        <f t="shared" si="77"/>
        <v>NA</v>
      </c>
      <c r="J149" s="3227" t="s">
        <v>2146</v>
      </c>
      <c r="K149" s="3227" t="s">
        <v>2146</v>
      </c>
      <c r="L149" s="3227" t="s">
        <v>2146</v>
      </c>
      <c r="M149" s="3497" t="s">
        <v>2146</v>
      </c>
    </row>
    <row r="150" spans="2:13" ht="18" customHeight="1" x14ac:dyDescent="0.2">
      <c r="B150" s="2616" t="s">
        <v>563</v>
      </c>
      <c r="C150" s="2618" t="s">
        <v>563</v>
      </c>
      <c r="D150" s="3227">
        <v>5.7185408103161022</v>
      </c>
      <c r="E150" s="3227">
        <v>18.667976733285556</v>
      </c>
      <c r="F150" s="3227">
        <v>3.6880415603587862</v>
      </c>
      <c r="G150" s="3103" t="str">
        <f t="shared" si="78"/>
        <v>NA</v>
      </c>
      <c r="H150" s="3103">
        <f t="shared" si="79"/>
        <v>0.42341777456632762</v>
      </c>
      <c r="I150" s="3103">
        <f t="shared" si="77"/>
        <v>1.0000000000000002</v>
      </c>
      <c r="J150" s="3227" t="s">
        <v>2146</v>
      </c>
      <c r="K150" s="3227">
        <v>7.9043531640637532</v>
      </c>
      <c r="L150" s="3227">
        <v>3.6880415603587871</v>
      </c>
      <c r="M150" s="3497" t="s">
        <v>2146</v>
      </c>
    </row>
    <row r="151" spans="2:13" ht="18" customHeight="1" x14ac:dyDescent="0.2">
      <c r="B151" s="2616" t="s">
        <v>564</v>
      </c>
      <c r="C151" s="2618" t="s">
        <v>564</v>
      </c>
      <c r="D151" s="3227">
        <v>1.4590483462741733E-2</v>
      </c>
      <c r="E151" s="3227">
        <v>4.7630123635472379E-2</v>
      </c>
      <c r="F151" s="3227">
        <v>9.4097972159692643E-3</v>
      </c>
      <c r="G151" s="3103" t="str">
        <f t="shared" si="78"/>
        <v>NA</v>
      </c>
      <c r="H151" s="3103">
        <f t="shared" si="79"/>
        <v>0.42341777456632768</v>
      </c>
      <c r="I151" s="3103">
        <f t="shared" si="77"/>
        <v>1.0000000000000004</v>
      </c>
      <c r="J151" s="3227" t="s">
        <v>2146</v>
      </c>
      <c r="K151" s="3227">
        <v>2.0167440952050759E-2</v>
      </c>
      <c r="L151" s="3227">
        <v>9.4097972159692678E-3</v>
      </c>
      <c r="M151" s="3497" t="s">
        <v>2146</v>
      </c>
    </row>
    <row r="152" spans="2:13" ht="18" customHeight="1" x14ac:dyDescent="0.2">
      <c r="B152" s="2616" t="s">
        <v>565</v>
      </c>
      <c r="C152" s="2618" t="s">
        <v>565</v>
      </c>
      <c r="D152" s="3227">
        <v>15.986543745830321</v>
      </c>
      <c r="E152" s="3227">
        <v>52.187513666850194</v>
      </c>
      <c r="F152" s="3227">
        <v>10.310154232834265</v>
      </c>
      <c r="G152" s="3103" t="str">
        <f t="shared" si="78"/>
        <v>NA</v>
      </c>
      <c r="H152" s="3103">
        <f t="shared" si="79"/>
        <v>0.42341777456632756</v>
      </c>
      <c r="I152" s="3103">
        <f t="shared" si="77"/>
        <v>1.0000000000000011</v>
      </c>
      <c r="J152" s="3227" t="s">
        <v>2146</v>
      </c>
      <c r="K152" s="3227">
        <v>22.097120896967514</v>
      </c>
      <c r="L152" s="3227">
        <v>10.310154232834275</v>
      </c>
      <c r="M152" s="3497" t="s">
        <v>2146</v>
      </c>
    </row>
    <row r="153" spans="2:13" ht="18" customHeight="1" x14ac:dyDescent="0.2">
      <c r="B153" s="2616" t="s">
        <v>567</v>
      </c>
      <c r="C153" s="2618" t="s">
        <v>567</v>
      </c>
      <c r="D153" s="3227">
        <v>3.5517694202905443</v>
      </c>
      <c r="E153" s="3227">
        <v>11.594627213356185</v>
      </c>
      <c r="F153" s="3227">
        <v>2.2906321156635912</v>
      </c>
      <c r="G153" s="3103" t="str">
        <f t="shared" si="78"/>
        <v>NA</v>
      </c>
      <c r="H153" s="3103">
        <f t="shared" si="79"/>
        <v>0.42341777456632768</v>
      </c>
      <c r="I153" s="3103">
        <f t="shared" si="77"/>
        <v>1</v>
      </c>
      <c r="J153" s="3227" t="s">
        <v>2146</v>
      </c>
      <c r="K153" s="3227">
        <v>4.9093712516054575</v>
      </c>
      <c r="L153" s="3227">
        <v>2.2906321156635912</v>
      </c>
      <c r="M153" s="3497" t="s">
        <v>2146</v>
      </c>
    </row>
    <row r="154" spans="2:13" ht="18" customHeight="1" x14ac:dyDescent="0.2">
      <c r="B154" s="2616" t="s">
        <v>569</v>
      </c>
      <c r="C154" s="2618" t="s">
        <v>569</v>
      </c>
      <c r="D154" s="3227">
        <v>0.58421234931995136</v>
      </c>
      <c r="E154" s="3227">
        <v>1.9071408084958816</v>
      </c>
      <c r="F154" s="3227">
        <v>0.37677433734143906</v>
      </c>
      <c r="G154" s="3103" t="str">
        <f t="shared" si="78"/>
        <v>NA</v>
      </c>
      <c r="H154" s="3103">
        <f t="shared" si="79"/>
        <v>0.42341777456632762</v>
      </c>
      <c r="I154" s="3103">
        <f t="shared" si="77"/>
        <v>1.0000000000000009</v>
      </c>
      <c r="J154" s="3227" t="s">
        <v>2146</v>
      </c>
      <c r="K154" s="3227">
        <v>0.80751731691795303</v>
      </c>
      <c r="L154" s="3227">
        <v>0.37677433734143939</v>
      </c>
      <c r="M154" s="3497" t="s">
        <v>2146</v>
      </c>
    </row>
    <row r="155" spans="2:13" ht="18" customHeight="1" x14ac:dyDescent="0.2">
      <c r="B155" s="2616" t="s">
        <v>571</v>
      </c>
      <c r="C155" s="2618" t="s">
        <v>571</v>
      </c>
      <c r="D155" s="3227">
        <v>0.17048648928460822</v>
      </c>
      <c r="E155" s="3227">
        <v>0.55654718937446512</v>
      </c>
      <c r="F155" s="3227">
        <v>0.10995134577461238</v>
      </c>
      <c r="G155" s="3103" t="str">
        <f t="shared" si="78"/>
        <v>NA</v>
      </c>
      <c r="H155" s="3103">
        <f t="shared" si="79"/>
        <v>0.42341777456632768</v>
      </c>
      <c r="I155" s="3103">
        <f t="shared" si="77"/>
        <v>1.0000000000000002</v>
      </c>
      <c r="J155" s="3227" t="s">
        <v>2146</v>
      </c>
      <c r="K155" s="3227">
        <v>0.23565197236608054</v>
      </c>
      <c r="L155" s="3227">
        <v>0.10995134577461241</v>
      </c>
      <c r="M155" s="3497" t="s">
        <v>2146</v>
      </c>
    </row>
    <row r="156" spans="2:13" ht="18" customHeight="1" x14ac:dyDescent="0.2">
      <c r="B156" s="2616" t="s">
        <v>574</v>
      </c>
      <c r="C156" s="2618" t="s">
        <v>574</v>
      </c>
      <c r="D156" s="3227">
        <v>2.4246963904676139E-2</v>
      </c>
      <c r="E156" s="3227">
        <v>7.9153366748516446E-2</v>
      </c>
      <c r="F156" s="3227">
        <v>1.5637522500783183E-2</v>
      </c>
      <c r="G156" s="3103" t="str">
        <f t="shared" si="78"/>
        <v>NA</v>
      </c>
      <c r="H156" s="3103">
        <f t="shared" si="79"/>
        <v>0.42341777456632768</v>
      </c>
      <c r="I156" s="3103">
        <f t="shared" si="77"/>
        <v>1.0000000000000002</v>
      </c>
      <c r="J156" s="3227" t="s">
        <v>2146</v>
      </c>
      <c r="K156" s="3227">
        <v>3.3514942398089193E-2</v>
      </c>
      <c r="L156" s="3227">
        <v>1.5637522500783187E-2</v>
      </c>
      <c r="M156" s="3497" t="s">
        <v>2146</v>
      </c>
    </row>
    <row r="157" spans="2:13" ht="18" customHeight="1" x14ac:dyDescent="0.2">
      <c r="B157" s="2616" t="s">
        <v>576</v>
      </c>
      <c r="C157" s="2618" t="s">
        <v>576</v>
      </c>
      <c r="D157" s="3227">
        <v>0.66483953940440754</v>
      </c>
      <c r="E157" s="3227">
        <v>2.1703454543124465</v>
      </c>
      <c r="F157" s="3227">
        <v>0.42877299185659073</v>
      </c>
      <c r="G157" s="3103" t="str">
        <f t="shared" si="78"/>
        <v>NA</v>
      </c>
      <c r="H157" s="3103">
        <f t="shared" si="79"/>
        <v>0.42341777456632762</v>
      </c>
      <c r="I157" s="3103">
        <f t="shared" si="77"/>
        <v>1.0000000000000004</v>
      </c>
      <c r="J157" s="3227" t="s">
        <v>2146</v>
      </c>
      <c r="K157" s="3227">
        <v>0.91896284230512137</v>
      </c>
      <c r="L157" s="3227">
        <v>0.4287729918565909</v>
      </c>
      <c r="M157" s="3497" t="s">
        <v>2146</v>
      </c>
    </row>
    <row r="158" spans="2:13" ht="18" customHeight="1" x14ac:dyDescent="0.2">
      <c r="B158" s="2616" t="s">
        <v>577</v>
      </c>
      <c r="C158" s="2618" t="s">
        <v>577</v>
      </c>
      <c r="D158" s="3227">
        <v>0.43750813021475476</v>
      </c>
      <c r="E158" s="3227">
        <v>1.4282300094350191</v>
      </c>
      <c r="F158" s="3227">
        <v>0.28216082052192043</v>
      </c>
      <c r="G158" s="3103" t="str">
        <f t="shared" si="78"/>
        <v>NA</v>
      </c>
      <c r="H158" s="3103">
        <f t="shared" si="79"/>
        <v>0.42341777456632768</v>
      </c>
      <c r="I158" s="3103">
        <f t="shared" si="77"/>
        <v>0.99999999999999978</v>
      </c>
      <c r="J158" s="3227" t="s">
        <v>2146</v>
      </c>
      <c r="K158" s="3227">
        <v>0.60473797216382097</v>
      </c>
      <c r="L158" s="3227">
        <v>0.28216082052192037</v>
      </c>
      <c r="M158" s="3497" t="s">
        <v>2146</v>
      </c>
    </row>
    <row r="159" spans="2:13" ht="18" customHeight="1" x14ac:dyDescent="0.2">
      <c r="B159" s="88" t="s">
        <v>678</v>
      </c>
      <c r="C159" s="2508"/>
      <c r="D159" s="4326"/>
      <c r="E159" s="4326"/>
      <c r="F159" s="4326"/>
      <c r="G159" s="4327"/>
      <c r="H159" s="4327"/>
      <c r="I159" s="4327"/>
      <c r="J159" s="3230" t="s">
        <v>2146</v>
      </c>
      <c r="K159" s="3230" t="s">
        <v>2146</v>
      </c>
      <c r="L159" s="3230" t="s">
        <v>2146</v>
      </c>
      <c r="M159" s="3226" t="s">
        <v>2146</v>
      </c>
    </row>
    <row r="160" spans="2:13" ht="18" customHeight="1" x14ac:dyDescent="0.2">
      <c r="B160" s="104" t="s">
        <v>679</v>
      </c>
      <c r="C160" s="2508"/>
      <c r="D160" s="2147" t="s">
        <v>2146</v>
      </c>
      <c r="E160" s="2147" t="s">
        <v>2146</v>
      </c>
      <c r="F160" s="628"/>
      <c r="G160" s="4323" t="str">
        <f t="shared" ref="G160" si="80">IF(SUM(D160)=0,"NA",J160/D160)</f>
        <v>NA</v>
      </c>
      <c r="H160" s="4323" t="str">
        <f t="shared" ref="H160" si="81">IF(SUM(E160)=0,"NA",K160/E160)</f>
        <v>NA</v>
      </c>
      <c r="I160" s="4328"/>
      <c r="J160" s="2147" t="s">
        <v>2146</v>
      </c>
      <c r="K160" s="2147" t="s">
        <v>2146</v>
      </c>
      <c r="L160" s="628"/>
      <c r="M160" s="3231" t="s">
        <v>2146</v>
      </c>
    </row>
    <row r="161" spans="2:13" ht="18" customHeight="1" thickBot="1" x14ac:dyDescent="0.25">
      <c r="B161" s="106" t="s">
        <v>680</v>
      </c>
      <c r="C161" s="2509"/>
      <c r="D161" s="2606" t="s">
        <v>2146</v>
      </c>
      <c r="E161" s="2606" t="s">
        <v>2146</v>
      </c>
      <c r="F161" s="2606" t="s">
        <v>2146</v>
      </c>
      <c r="G161" s="4325" t="str">
        <f t="shared" ref="G161" si="82">IF(SUM(D161)=0,"NA",J161/D161)</f>
        <v>NA</v>
      </c>
      <c r="H161" s="4325"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
      <c r="B162" s="2623" t="s">
        <v>480</v>
      </c>
      <c r="C162" s="2510"/>
      <c r="D162" s="4329"/>
      <c r="E162" s="4329"/>
      <c r="F162" s="4329"/>
      <c r="G162" s="4329"/>
      <c r="H162" s="4329"/>
      <c r="I162" s="4329"/>
      <c r="J162" s="3233">
        <f>IF(SUM(J163,J165,J175)=0,"NO",SUM(J163,J165,J175))</f>
        <v>1.1202700073907057</v>
      </c>
      <c r="K162" s="3233">
        <f t="shared" ref="K162:M162" si="85">IF(SUM(K163,K165,K175)=0,"NO",SUM(K163,K165,K175))</f>
        <v>2.8767978156867979</v>
      </c>
      <c r="L162" s="3233">
        <f t="shared" si="85"/>
        <v>1.1399999999999999</v>
      </c>
      <c r="M162" s="3234" t="str">
        <f t="shared" si="85"/>
        <v>NO</v>
      </c>
    </row>
    <row r="163" spans="2:13" ht="18" customHeight="1" x14ac:dyDescent="0.2">
      <c r="B163" s="88" t="s">
        <v>681</v>
      </c>
      <c r="C163" s="2508"/>
      <c r="D163" s="4326"/>
      <c r="E163" s="4326"/>
      <c r="F163" s="4326"/>
      <c r="G163" s="4327"/>
      <c r="H163" s="4327"/>
      <c r="I163" s="4327"/>
      <c r="J163" s="3230">
        <f>J164</f>
        <v>1.1202700073907057</v>
      </c>
      <c r="K163" s="3230">
        <f t="shared" ref="K163:M163" si="86">K164</f>
        <v>2.0398895711502778</v>
      </c>
      <c r="L163" s="3230">
        <f t="shared" si="86"/>
        <v>1.1399999999999999</v>
      </c>
      <c r="M163" s="3226" t="str">
        <f t="shared" si="86"/>
        <v>NO</v>
      </c>
    </row>
    <row r="164" spans="2:13" ht="18" customHeight="1" x14ac:dyDescent="0.2">
      <c r="B164" s="2616" t="s">
        <v>1621</v>
      </c>
      <c r="C164" s="2618" t="s">
        <v>1621</v>
      </c>
      <c r="D164" s="3235">
        <v>13.179647145773007</v>
      </c>
      <c r="E164" s="3235">
        <v>657.43655309524081</v>
      </c>
      <c r="F164" s="3235">
        <v>1.1399999999999999</v>
      </c>
      <c r="G164" s="3103">
        <f t="shared" ref="G164" si="87">IF(SUM(D164)=0,"NA",J164/D164)</f>
        <v>8.5000000000000006E-2</v>
      </c>
      <c r="H164" s="3103">
        <f t="shared" ref="H164" si="88">IF(SUM(E164)=0,"NA",K164/E164)</f>
        <v>3.1027930551570126E-3</v>
      </c>
      <c r="I164" s="3103">
        <f t="shared" ref="I164" si="89">IF(SUM(F164)=0,"NA",(SUM(L164:M164))/F164)</f>
        <v>1</v>
      </c>
      <c r="J164" s="3142">
        <v>1.1202700073907057</v>
      </c>
      <c r="K164" s="3142">
        <v>2.0398895711502778</v>
      </c>
      <c r="L164" s="3142">
        <v>1.1399999999999999</v>
      </c>
      <c r="M164" s="3231" t="s">
        <v>2146</v>
      </c>
    </row>
    <row r="165" spans="2:13" ht="18" customHeight="1" x14ac:dyDescent="0.25">
      <c r="B165" s="88" t="s">
        <v>682</v>
      </c>
      <c r="C165" s="2508"/>
      <c r="D165" s="4326"/>
      <c r="E165" s="4326"/>
      <c r="F165" s="4326"/>
      <c r="G165" s="4327"/>
      <c r="H165" s="4327"/>
      <c r="I165" s="4327"/>
      <c r="J165" s="3230" t="str">
        <f>IF(SUM(J166:J170)=0,"NO",SUM(J166:J170))</f>
        <v>NO</v>
      </c>
      <c r="K165" s="3230">
        <f t="shared" ref="K165:M165" si="90">IF(SUM(K166:K170)=0,"NO",SUM(K166:K170))</f>
        <v>0.83690824453652013</v>
      </c>
      <c r="L165" s="3230" t="str">
        <f t="shared" si="90"/>
        <v>NO</v>
      </c>
      <c r="M165" s="3226" t="str">
        <f t="shared" si="90"/>
        <v>NO</v>
      </c>
    </row>
    <row r="166" spans="2:13" ht="18" customHeight="1" x14ac:dyDescent="0.2">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
      <c r="B170" s="104" t="s">
        <v>687</v>
      </c>
      <c r="C170" s="2508"/>
      <c r="D170" s="4326"/>
      <c r="E170" s="4326"/>
      <c r="F170" s="4326"/>
      <c r="G170" s="4327"/>
      <c r="H170" s="4327"/>
      <c r="I170" s="4327"/>
      <c r="J170" s="3230" t="str">
        <f>IF(SUM(J172:J173)=0,"NO",SUM(J172:J173))</f>
        <v>NO</v>
      </c>
      <c r="K170" s="3230">
        <f t="shared" ref="K170:M170" si="98">IF(SUM(K172:K173)=0,"NO",SUM(K172:K173))</f>
        <v>0.83690824453652013</v>
      </c>
      <c r="L170" s="3230" t="str">
        <f t="shared" si="98"/>
        <v>NO</v>
      </c>
      <c r="M170" s="3226" t="str">
        <f t="shared" si="98"/>
        <v>NO</v>
      </c>
    </row>
    <row r="171" spans="2:13" ht="18" customHeight="1" x14ac:dyDescent="0.2">
      <c r="B171" s="1242" t="s">
        <v>203</v>
      </c>
      <c r="C171" s="2508"/>
      <c r="D171" s="4330"/>
      <c r="E171" s="4330"/>
      <c r="F171" s="4330"/>
      <c r="G171" s="3236"/>
      <c r="H171" s="3236"/>
      <c r="I171" s="3236"/>
      <c r="J171" s="3236"/>
      <c r="K171" s="3236"/>
      <c r="L171" s="3236"/>
      <c r="M171" s="3237"/>
    </row>
    <row r="172" spans="2:13" ht="18" customHeight="1" x14ac:dyDescent="0.2">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
      <c r="B173" s="2421" t="s">
        <v>689</v>
      </c>
      <c r="C173" s="2508"/>
      <c r="D173" s="4326"/>
      <c r="E173" s="4326"/>
      <c r="F173" s="4326"/>
      <c r="G173" s="4327"/>
      <c r="H173" s="4327"/>
      <c r="I173" s="4327"/>
      <c r="J173" s="3230" t="str">
        <f>J174</f>
        <v>NA</v>
      </c>
      <c r="K173" s="3230">
        <f t="shared" ref="K173:M173" si="102">K174</f>
        <v>0.83690824453652013</v>
      </c>
      <c r="L173" s="3230" t="str">
        <f t="shared" si="102"/>
        <v>NA</v>
      </c>
      <c r="M173" s="3226" t="str">
        <f t="shared" si="102"/>
        <v>NO</v>
      </c>
    </row>
    <row r="174" spans="2:13" ht="18" customHeight="1" x14ac:dyDescent="0.2">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0.83690824453652013</v>
      </c>
      <c r="L174" s="3235" t="s">
        <v>2147</v>
      </c>
      <c r="M174" s="3231" t="s">
        <v>2146</v>
      </c>
    </row>
    <row r="175" spans="2:13" ht="18" customHeight="1" x14ac:dyDescent="0.2">
      <c r="B175" s="88" t="s">
        <v>2096</v>
      </c>
      <c r="C175" s="2508"/>
      <c r="D175" s="4326"/>
      <c r="E175" s="4326"/>
      <c r="F175" s="4326"/>
      <c r="G175" s="4327"/>
      <c r="H175" s="4327"/>
      <c r="I175" s="4327"/>
      <c r="J175" s="3230" t="str">
        <f>J176</f>
        <v>NO</v>
      </c>
      <c r="K175" s="3230" t="str">
        <f t="shared" ref="K175" si="106">K176</f>
        <v>NO</v>
      </c>
      <c r="L175" s="3230" t="str">
        <f t="shared" ref="L175" si="107">L176</f>
        <v>NO</v>
      </c>
      <c r="M175" s="3226" t="str">
        <f t="shared" ref="M175" si="108">M176</f>
        <v>NO</v>
      </c>
    </row>
    <row r="176" spans="2:13" ht="18" customHeight="1" thickBot="1" x14ac:dyDescent="0.25">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
      <c r="B177" s="91" t="s">
        <v>690</v>
      </c>
      <c r="C177" s="2622"/>
      <c r="D177" s="4326"/>
      <c r="E177" s="4326"/>
      <c r="F177" s="4326"/>
      <c r="G177" s="4327"/>
      <c r="H177" s="4327"/>
      <c r="I177" s="4327"/>
      <c r="J177" s="3230" t="str">
        <f>J178</f>
        <v>NO</v>
      </c>
      <c r="K177" s="3230" t="str">
        <f t="shared" ref="K177" si="112">K178</f>
        <v>NO</v>
      </c>
      <c r="L177" s="3230" t="str">
        <f t="shared" ref="L177" si="113">L178</f>
        <v>NO</v>
      </c>
      <c r="M177" s="3226" t="str">
        <f t="shared" ref="M177" si="114">M178</f>
        <v>NO</v>
      </c>
    </row>
    <row r="178" spans="2:13" ht="18" customHeight="1" thickBot="1" x14ac:dyDescent="0.25">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4"/>
      <c r="C210" s="2025"/>
      <c r="D210" s="2025"/>
      <c r="E210" s="2025"/>
      <c r="F210" s="2025"/>
      <c r="G210" s="2025"/>
      <c r="H210" s="2025"/>
      <c r="I210" s="2025"/>
      <c r="J210" s="2025"/>
      <c r="K210" s="2025"/>
      <c r="L210" s="2025"/>
      <c r="M210" s="2026"/>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1" t="s">
        <v>1853</v>
      </c>
      <c r="C1" s="2442"/>
    </row>
    <row r="2" spans="2:5" ht="15.75" x14ac:dyDescent="0.2">
      <c r="B2" s="2445" t="s">
        <v>64</v>
      </c>
      <c r="C2" s="2443"/>
    </row>
    <row r="3" spans="2:5" ht="15.75" x14ac:dyDescent="0.2">
      <c r="B3" s="2444" t="s">
        <v>1796</v>
      </c>
      <c r="C3" s="2444" t="s">
        <v>1797</v>
      </c>
    </row>
    <row r="4" spans="2:5" ht="15.75" x14ac:dyDescent="0.2">
      <c r="B4" s="2444" t="s">
        <v>1798</v>
      </c>
      <c r="C4" s="2444" t="s">
        <v>1799</v>
      </c>
    </row>
    <row r="5" spans="2:5" ht="15.75" x14ac:dyDescent="0.2">
      <c r="B5" s="2444" t="s">
        <v>1863</v>
      </c>
      <c r="C5" s="2444" t="s">
        <v>1864</v>
      </c>
    </row>
    <row r="6" spans="2:5" ht="18.75" x14ac:dyDescent="0.2">
      <c r="B6" s="2444" t="s">
        <v>1923</v>
      </c>
      <c r="C6" s="2444" t="s">
        <v>1800</v>
      </c>
    </row>
    <row r="7" spans="2:5" ht="15.75" x14ac:dyDescent="0.2">
      <c r="B7" s="2444" t="s">
        <v>1801</v>
      </c>
      <c r="C7" s="2444" t="s">
        <v>1802</v>
      </c>
    </row>
    <row r="8" spans="2:5" ht="15.75" x14ac:dyDescent="0.2">
      <c r="B8" s="2444" t="s">
        <v>1803</v>
      </c>
      <c r="C8" s="2444" t="s">
        <v>1804</v>
      </c>
    </row>
    <row r="9" spans="2:5" ht="15.75" x14ac:dyDescent="0.2">
      <c r="B9" s="2444" t="s">
        <v>70</v>
      </c>
      <c r="C9" s="2444" t="s">
        <v>1805</v>
      </c>
      <c r="D9" s="2427"/>
      <c r="E9" s="2427"/>
    </row>
    <row r="10" spans="2:5" ht="18.75" x14ac:dyDescent="0.2">
      <c r="B10" s="2444" t="s">
        <v>1924</v>
      </c>
      <c r="C10" s="2444" t="s">
        <v>1806</v>
      </c>
      <c r="E10" s="2427"/>
    </row>
    <row r="11" spans="2:5" ht="18.75" x14ac:dyDescent="0.2">
      <c r="B11" s="2444" t="s">
        <v>1925</v>
      </c>
      <c r="C11" s="2444" t="s">
        <v>1807</v>
      </c>
      <c r="E11" s="2427"/>
    </row>
    <row r="12" spans="2:5" ht="15.75" x14ac:dyDescent="0.2">
      <c r="B12" s="2444" t="s">
        <v>1861</v>
      </c>
      <c r="C12" s="2444" t="s">
        <v>1862</v>
      </c>
    </row>
    <row r="13" spans="2:5" ht="15.75" x14ac:dyDescent="0.2">
      <c r="B13" s="2444" t="s">
        <v>1808</v>
      </c>
      <c r="C13" s="2444" t="s">
        <v>1809</v>
      </c>
    </row>
    <row r="14" spans="2:5" ht="15.75" x14ac:dyDescent="0.2">
      <c r="B14" s="2444" t="s">
        <v>1859</v>
      </c>
      <c r="C14" s="2444" t="s">
        <v>1860</v>
      </c>
    </row>
    <row r="15" spans="2:5" ht="15.75" x14ac:dyDescent="0.2">
      <c r="B15" s="2444" t="s">
        <v>1916</v>
      </c>
      <c r="C15" s="2444" t="s">
        <v>1917</v>
      </c>
    </row>
    <row r="16" spans="2:5" ht="15.75" x14ac:dyDescent="0.2">
      <c r="B16" s="2444" t="s">
        <v>1810</v>
      </c>
      <c r="C16" s="2444" t="s">
        <v>1811</v>
      </c>
    </row>
    <row r="17" spans="2:3" ht="15.75" x14ac:dyDescent="0.2">
      <c r="B17" s="2444" t="s">
        <v>1812</v>
      </c>
      <c r="C17" s="2444" t="s">
        <v>1813</v>
      </c>
    </row>
    <row r="18" spans="2:3" ht="18.75" x14ac:dyDescent="0.2">
      <c r="B18" s="2444" t="s">
        <v>1926</v>
      </c>
      <c r="C18" s="2444" t="s">
        <v>1865</v>
      </c>
    </row>
    <row r="19" spans="2:3" ht="18.75" x14ac:dyDescent="0.2">
      <c r="B19" s="2444" t="s">
        <v>1927</v>
      </c>
      <c r="C19" s="2444" t="s">
        <v>1866</v>
      </c>
    </row>
    <row r="20" spans="2:3" ht="15.75" x14ac:dyDescent="0.2">
      <c r="B20" s="2444" t="s">
        <v>1814</v>
      </c>
      <c r="C20" s="2444" t="s">
        <v>1815</v>
      </c>
    </row>
    <row r="21" spans="2:3" ht="15.75" x14ac:dyDescent="0.2">
      <c r="B21" s="2444" t="s">
        <v>1697</v>
      </c>
      <c r="C21" s="2444" t="s">
        <v>1816</v>
      </c>
    </row>
    <row r="22" spans="2:3" ht="15.75" x14ac:dyDescent="0.2">
      <c r="B22" s="2444" t="s">
        <v>1817</v>
      </c>
      <c r="C22" s="2444" t="s">
        <v>1818</v>
      </c>
    </row>
    <row r="23" spans="2:3" ht="15.75" x14ac:dyDescent="0.2">
      <c r="B23" s="2444" t="s">
        <v>1819</v>
      </c>
      <c r="C23" s="2444" t="s">
        <v>1820</v>
      </c>
    </row>
    <row r="24" spans="2:3" ht="15.75" x14ac:dyDescent="0.2">
      <c r="B24" s="2444" t="s">
        <v>1821</v>
      </c>
      <c r="C24" s="2444" t="s">
        <v>1822</v>
      </c>
    </row>
    <row r="25" spans="2:3" ht="15.75" x14ac:dyDescent="0.2">
      <c r="B25" s="2444" t="s">
        <v>1823</v>
      </c>
      <c r="C25" s="2444" t="s">
        <v>1824</v>
      </c>
    </row>
    <row r="26" spans="2:3" ht="15.75" x14ac:dyDescent="0.2">
      <c r="B26" s="2444" t="s">
        <v>1825</v>
      </c>
      <c r="C26" s="2444" t="s">
        <v>1826</v>
      </c>
    </row>
    <row r="27" spans="2:3" ht="15.75" x14ac:dyDescent="0.2">
      <c r="B27" s="2444" t="s">
        <v>1827</v>
      </c>
      <c r="C27" s="2444" t="s">
        <v>1828</v>
      </c>
    </row>
    <row r="28" spans="2:3" ht="15.75" x14ac:dyDescent="0.2">
      <c r="B28" s="2444" t="s">
        <v>1829</v>
      </c>
      <c r="C28" s="2444" t="s">
        <v>1830</v>
      </c>
    </row>
    <row r="29" spans="2:3" ht="15.75" x14ac:dyDescent="0.2">
      <c r="B29" s="2444" t="s">
        <v>1874</v>
      </c>
      <c r="C29" s="2444" t="s">
        <v>1875</v>
      </c>
    </row>
    <row r="30" spans="2:3" ht="15.75" x14ac:dyDescent="0.2">
      <c r="B30" s="2444" t="s">
        <v>1831</v>
      </c>
      <c r="C30" s="2444" t="s">
        <v>1832</v>
      </c>
    </row>
    <row r="31" spans="2:3" ht="15.75" x14ac:dyDescent="0.2">
      <c r="B31" s="2444" t="s">
        <v>1390</v>
      </c>
      <c r="C31" s="2444" t="s">
        <v>1858</v>
      </c>
    </row>
    <row r="32" spans="2:3" ht="15.75" x14ac:dyDescent="0.2">
      <c r="B32" s="2444" t="s">
        <v>1878</v>
      </c>
      <c r="C32" s="2444" t="s">
        <v>1879</v>
      </c>
    </row>
    <row r="33" spans="2:4" ht="15.75" x14ac:dyDescent="0.2">
      <c r="B33" s="2444" t="s">
        <v>1872</v>
      </c>
      <c r="C33" s="2444" t="s">
        <v>1873</v>
      </c>
    </row>
    <row r="34" spans="2:4" ht="31.5" x14ac:dyDescent="0.2">
      <c r="B34" s="2444" t="s">
        <v>1833</v>
      </c>
      <c r="C34" s="2444" t="s">
        <v>1834</v>
      </c>
    </row>
    <row r="35" spans="2:4" ht="15.75" x14ac:dyDescent="0.2">
      <c r="B35" s="2444" t="s">
        <v>1918</v>
      </c>
      <c r="C35" s="2444" t="s">
        <v>1919</v>
      </c>
    </row>
    <row r="36" spans="2:4" ht="15.75" x14ac:dyDescent="0.2">
      <c r="B36" s="2444" t="s">
        <v>1867</v>
      </c>
      <c r="C36" s="2444" t="s">
        <v>1868</v>
      </c>
    </row>
    <row r="37" spans="2:4" ht="18.75" x14ac:dyDescent="0.2">
      <c r="B37" s="2444" t="s">
        <v>1928</v>
      </c>
      <c r="C37" s="2444" t="s">
        <v>1835</v>
      </c>
    </row>
    <row r="38" spans="2:4" ht="15.75" x14ac:dyDescent="0.2">
      <c r="B38" s="2444" t="s">
        <v>1836</v>
      </c>
      <c r="C38" s="2444" t="s">
        <v>1837</v>
      </c>
    </row>
    <row r="39" spans="2:4" ht="15.75" x14ac:dyDescent="0.2">
      <c r="B39" s="2444" t="s">
        <v>1920</v>
      </c>
      <c r="C39" s="2444" t="s">
        <v>1921</v>
      </c>
    </row>
    <row r="40" spans="2:4" ht="15.75" x14ac:dyDescent="0.2">
      <c r="B40" s="2444" t="s">
        <v>1838</v>
      </c>
      <c r="C40" s="2444" t="s">
        <v>1839</v>
      </c>
    </row>
    <row r="41" spans="2:4" ht="18.75" x14ac:dyDescent="0.2">
      <c r="B41" s="2444" t="s">
        <v>1929</v>
      </c>
      <c r="C41" s="2444" t="s">
        <v>1840</v>
      </c>
    </row>
    <row r="42" spans="2:4" ht="15.75" x14ac:dyDescent="0.2">
      <c r="B42" s="2444" t="s">
        <v>1841</v>
      </c>
      <c r="C42" s="2444" t="s">
        <v>1842</v>
      </c>
    </row>
    <row r="43" spans="2:4" ht="15.75" x14ac:dyDescent="0.2">
      <c r="B43" s="2444" t="s">
        <v>71</v>
      </c>
      <c r="C43" s="2444" t="s">
        <v>1843</v>
      </c>
    </row>
    <row r="44" spans="2:4" ht="18.75" x14ac:dyDescent="0.2">
      <c r="B44" s="2444" t="s">
        <v>1930</v>
      </c>
      <c r="C44" s="2444" t="s">
        <v>1844</v>
      </c>
    </row>
    <row r="45" spans="2:4" ht="15.75" x14ac:dyDescent="0.25">
      <c r="B45" s="2444" t="s">
        <v>1869</v>
      </c>
      <c r="C45" s="2444" t="s">
        <v>1870</v>
      </c>
      <c r="D45" s="2428"/>
    </row>
    <row r="46" spans="2:4" ht="15.75" x14ac:dyDescent="0.2">
      <c r="B46" s="2444" t="s">
        <v>1845</v>
      </c>
      <c r="C46" s="2444" t="s">
        <v>1846</v>
      </c>
    </row>
    <row r="47" spans="2:4" ht="15.75" x14ac:dyDescent="0.2">
      <c r="B47" s="2444" t="s">
        <v>1847</v>
      </c>
      <c r="C47" s="2444" t="s">
        <v>1848</v>
      </c>
    </row>
    <row r="48" spans="2:4" ht="15.75" x14ac:dyDescent="0.2">
      <c r="B48" s="2444" t="s">
        <v>1849</v>
      </c>
      <c r="C48" s="2444" t="s">
        <v>1850</v>
      </c>
    </row>
    <row r="49" spans="2:3" ht="18.75" x14ac:dyDescent="0.2">
      <c r="B49" s="2444" t="s">
        <v>1931</v>
      </c>
      <c r="C49" s="2444" t="s">
        <v>1851</v>
      </c>
    </row>
    <row r="50" spans="2:3" ht="18.75" x14ac:dyDescent="0.2">
      <c r="B50" s="2444" t="s">
        <v>1932</v>
      </c>
      <c r="C50" s="2444" t="s">
        <v>1852</v>
      </c>
    </row>
    <row r="51" spans="2:3" ht="15.75" x14ac:dyDescent="0.2">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6" t="s">
        <v>64</v>
      </c>
      <c r="G7" s="235"/>
    </row>
    <row r="8" spans="1:10" ht="13.5" customHeight="1" x14ac:dyDescent="0.2">
      <c r="B8" s="236" t="s">
        <v>326</v>
      </c>
      <c r="C8" s="237" t="s">
        <v>66</v>
      </c>
      <c r="D8" s="238" t="s">
        <v>67</v>
      </c>
      <c r="E8" s="238" t="s">
        <v>68</v>
      </c>
      <c r="F8" s="238" t="s">
        <v>442</v>
      </c>
      <c r="G8" s="239" t="s">
        <v>70</v>
      </c>
      <c r="H8" s="2395" t="s">
        <v>71</v>
      </c>
      <c r="I8" s="2424" t="s">
        <v>692</v>
      </c>
      <c r="J8" s="2473"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3">
        <f>IF(SUM(C11,C20,C31:C32,C42:C47)=0,"NO",SUM(C11,C20,C31:C32,C42:C47))</f>
        <v>2663.2503062592914</v>
      </c>
      <c r="D10" s="2500">
        <f t="shared" ref="D10:I10" si="0">IF(SUM(D11,D20,D31:D32,D42:D47)=0,"NO",SUM(D11,D20,D31:D32,D42:D47))</f>
        <v>2249.5777747439324</v>
      </c>
      <c r="E10" s="2500">
        <f t="shared" si="0"/>
        <v>46.09803679386939</v>
      </c>
      <c r="F10" s="2500">
        <f t="shared" si="0"/>
        <v>18.434460559700462</v>
      </c>
      <c r="G10" s="2500">
        <f t="shared" si="0"/>
        <v>300.36637330069351</v>
      </c>
      <c r="H10" s="2915">
        <f t="shared" si="0"/>
        <v>17.521371775873792</v>
      </c>
      <c r="I10" s="2924" t="str">
        <f t="shared" si="0"/>
        <v>NO</v>
      </c>
      <c r="J10" s="2925">
        <f>IF(SUM(C10:E10)=0,"NO",SUM(C10)+28*SUM(D10)+265*SUM(E10))</f>
        <v>77867.407749464794</v>
      </c>
    </row>
    <row r="11" spans="1:10" ht="18" customHeight="1" x14ac:dyDescent="0.2">
      <c r="B11" s="234" t="s">
        <v>694</v>
      </c>
      <c r="C11" s="2926"/>
      <c r="D11" s="2137">
        <f>SUM(D16:D19)</f>
        <v>1999.2611503361798</v>
      </c>
      <c r="E11" s="1929"/>
      <c r="F11" s="1929"/>
      <c r="G11" s="1929"/>
      <c r="H11" s="2927"/>
      <c r="I11" s="2928"/>
      <c r="J11" s="1880">
        <f>IF(SUM(C11:E11)=0,"NO",SUM(C11)+28*SUM(D11)+265*SUM(E11))</f>
        <v>55979.31220941303</v>
      </c>
    </row>
    <row r="12" spans="1:10" ht="18" customHeight="1" x14ac:dyDescent="0.2">
      <c r="B12" s="230" t="s">
        <v>695</v>
      </c>
      <c r="C12" s="2929"/>
      <c r="D12" s="2135"/>
      <c r="E12" s="628"/>
      <c r="F12" s="628"/>
      <c r="G12" s="628"/>
      <c r="H12" s="2930"/>
      <c r="I12" s="2931"/>
      <c r="J12" s="2932"/>
    </row>
    <row r="13" spans="1:10" ht="18" customHeight="1" x14ac:dyDescent="0.2">
      <c r="B13" s="232" t="s">
        <v>696</v>
      </c>
      <c r="C13" s="2933"/>
      <c r="D13" s="2920"/>
      <c r="E13" s="628"/>
      <c r="F13" s="628"/>
      <c r="G13" s="628"/>
      <c r="H13" s="2930"/>
      <c r="I13" s="2931"/>
      <c r="J13" s="2934"/>
    </row>
    <row r="14" spans="1:10" ht="18" customHeight="1" x14ac:dyDescent="0.2">
      <c r="B14" s="232" t="s">
        <v>697</v>
      </c>
      <c r="C14" s="2933"/>
      <c r="D14" s="2920"/>
      <c r="E14" s="628"/>
      <c r="F14" s="628"/>
      <c r="G14" s="628"/>
      <c r="H14" s="2930"/>
      <c r="I14" s="2931"/>
      <c r="J14" s="2934"/>
    </row>
    <row r="15" spans="1:10" ht="18" customHeight="1" x14ac:dyDescent="0.2">
      <c r="B15" s="230" t="s">
        <v>698</v>
      </c>
      <c r="C15" s="2929"/>
      <c r="D15" s="1910"/>
      <c r="E15" s="628"/>
      <c r="F15" s="628"/>
      <c r="G15" s="628"/>
      <c r="H15" s="2930"/>
      <c r="I15" s="2931"/>
      <c r="J15" s="2935"/>
    </row>
    <row r="16" spans="1:10" ht="18" customHeight="1" x14ac:dyDescent="0.2">
      <c r="B16" s="232" t="s">
        <v>2094</v>
      </c>
      <c r="C16" s="2936"/>
      <c r="D16" s="2920">
        <f>Table3.A!G15</f>
        <v>1509.2805385713184</v>
      </c>
      <c r="E16" s="628"/>
      <c r="F16" s="628"/>
      <c r="G16" s="628"/>
      <c r="H16" s="2930"/>
      <c r="I16" s="2931"/>
      <c r="J16" s="2934">
        <f>IF(SUM(C16:E16)=0,"NO",SUM(C16)+28*SUM(D16)+265*SUM(E16))</f>
        <v>42259.855079996916</v>
      </c>
    </row>
    <row r="17" spans="2:10" ht="18" customHeight="1" x14ac:dyDescent="0.2">
      <c r="B17" s="228" t="s">
        <v>699</v>
      </c>
      <c r="C17" s="2936"/>
      <c r="D17" s="2920">
        <f>Table3.A!G24</f>
        <v>477.79871630728292</v>
      </c>
      <c r="E17" s="628"/>
      <c r="F17" s="628"/>
      <c r="G17" s="628"/>
      <c r="H17" s="2930"/>
      <c r="I17" s="2931"/>
      <c r="J17" s="2934">
        <f t="shared" ref="J17:J21" si="1">IF(SUM(C17:E17)=0,"NO",SUM(C17)+28*SUM(D17)+265*SUM(E17))</f>
        <v>13378.364056603921</v>
      </c>
    </row>
    <row r="18" spans="2:10" ht="18" customHeight="1" x14ac:dyDescent="0.2">
      <c r="B18" s="228" t="s">
        <v>700</v>
      </c>
      <c r="C18" s="2936"/>
      <c r="D18" s="2920">
        <f>Table3.A!G27</f>
        <v>3.6341411247677105</v>
      </c>
      <c r="E18" s="628"/>
      <c r="F18" s="628"/>
      <c r="G18" s="628"/>
      <c r="H18" s="2930"/>
      <c r="I18" s="2931"/>
      <c r="J18" s="2934">
        <f t="shared" si="1"/>
        <v>101.7559514934959</v>
      </c>
    </row>
    <row r="19" spans="2:10" ht="18" customHeight="1" thickBot="1" x14ac:dyDescent="0.25">
      <c r="B19" s="1297" t="s">
        <v>701</v>
      </c>
      <c r="C19" s="2937"/>
      <c r="D19" s="2500">
        <f>Table3.A!G30</f>
        <v>8.5477543328109125</v>
      </c>
      <c r="E19" s="1923"/>
      <c r="F19" s="1923"/>
      <c r="G19" s="1923"/>
      <c r="H19" s="2938"/>
      <c r="I19" s="2939"/>
      <c r="J19" s="2934">
        <f t="shared" si="1"/>
        <v>239.33712131870556</v>
      </c>
    </row>
    <row r="20" spans="2:10" ht="18" customHeight="1" x14ac:dyDescent="0.2">
      <c r="B20" s="1456" t="s">
        <v>702</v>
      </c>
      <c r="C20" s="2940"/>
      <c r="D20" s="2920">
        <f>IF(SUM(D26:D30)=0,"NO",SUM(D26:D30))</f>
        <v>238.20013821966251</v>
      </c>
      <c r="E20" s="2920">
        <f>IF(SUM(E26:E30)=0,"NO",SUM(E26:E30))</f>
        <v>1.8801364660716187</v>
      </c>
      <c r="F20" s="2134"/>
      <c r="G20" s="2134"/>
      <c r="H20" s="2920" t="str">
        <f>IF(SUM(H26:H30)=0,"NE",SUM(H26:H30))</f>
        <v>NE</v>
      </c>
      <c r="I20" s="2931"/>
      <c r="J20" s="2941">
        <f t="shared" si="1"/>
        <v>7167.8400336595296</v>
      </c>
    </row>
    <row r="21" spans="2:10" ht="18" customHeight="1" x14ac:dyDescent="0.2">
      <c r="B21" s="228" t="s">
        <v>2019</v>
      </c>
      <c r="C21" s="2936"/>
      <c r="D21" s="2920">
        <f>D26</f>
        <v>156.42542545354641</v>
      </c>
      <c r="E21" s="2920">
        <f>E26</f>
        <v>0.9021506409224237</v>
      </c>
      <c r="F21" s="2942"/>
      <c r="G21" s="2942"/>
      <c r="H21" s="2920" t="str">
        <f>H26</f>
        <v>NE</v>
      </c>
      <c r="I21" s="2931"/>
      <c r="J21" s="2934">
        <f t="shared" si="1"/>
        <v>4618.9818325437418</v>
      </c>
    </row>
    <row r="22" spans="2:10" ht="18" customHeight="1" x14ac:dyDescent="0.2">
      <c r="B22" s="230" t="s">
        <v>695</v>
      </c>
      <c r="C22" s="2929"/>
      <c r="D22" s="2135"/>
      <c r="E22" s="628"/>
      <c r="F22" s="628"/>
      <c r="G22" s="628"/>
      <c r="H22" s="2930"/>
      <c r="I22" s="2931"/>
      <c r="J22" s="2932"/>
    </row>
    <row r="23" spans="2:10" ht="18" customHeight="1" x14ac:dyDescent="0.2">
      <c r="B23" s="232" t="s">
        <v>703</v>
      </c>
      <c r="C23" s="2933"/>
      <c r="D23" s="2920"/>
      <c r="E23" s="2920"/>
      <c r="F23" s="628"/>
      <c r="G23" s="628"/>
      <c r="H23" s="2943"/>
      <c r="I23" s="2931"/>
      <c r="J23" s="2934"/>
    </row>
    <row r="24" spans="2:10" ht="18" customHeight="1" x14ac:dyDescent="0.2">
      <c r="B24" s="232" t="s">
        <v>704</v>
      </c>
      <c r="C24" s="2933"/>
      <c r="D24" s="2920"/>
      <c r="E24" s="2920"/>
      <c r="F24" s="628"/>
      <c r="G24" s="628"/>
      <c r="H24" s="2943"/>
      <c r="I24" s="2931"/>
      <c r="J24" s="2934"/>
    </row>
    <row r="25" spans="2:10" ht="18" customHeight="1" x14ac:dyDescent="0.2">
      <c r="B25" s="230" t="s">
        <v>698</v>
      </c>
      <c r="C25" s="2929"/>
      <c r="D25" s="1910"/>
      <c r="E25" s="628"/>
      <c r="F25" s="628"/>
      <c r="G25" s="628"/>
      <c r="H25" s="2930"/>
      <c r="I25" s="2931"/>
      <c r="J25" s="2935"/>
    </row>
    <row r="26" spans="2:10" ht="18" customHeight="1" x14ac:dyDescent="0.2">
      <c r="B26" s="232" t="s">
        <v>2095</v>
      </c>
      <c r="C26" s="2936"/>
      <c r="D26" s="2920">
        <f>'Table3.B(a)'!K15</f>
        <v>156.42542545354641</v>
      </c>
      <c r="E26" s="2920">
        <f>'Table3.B(b)'!X15</f>
        <v>0.9021506409224237</v>
      </c>
      <c r="F26" s="628"/>
      <c r="G26" s="628"/>
      <c r="H26" s="2944" t="s">
        <v>2154</v>
      </c>
      <c r="I26" s="2931"/>
      <c r="J26" s="2934">
        <f t="shared" ref="J26:J48" si="2">IF(SUM(C26:E26)=0,"NO",SUM(C26)+28*SUM(D26)+265*SUM(E26))</f>
        <v>4618.9818325437418</v>
      </c>
    </row>
    <row r="27" spans="2:10" ht="18" customHeight="1" x14ac:dyDescent="0.2">
      <c r="B27" s="228" t="s">
        <v>705</v>
      </c>
      <c r="C27" s="2936"/>
      <c r="D27" s="2920">
        <f>'Table3.B(a)'!K24</f>
        <v>24.138513405036822</v>
      </c>
      <c r="E27" s="2920" t="str">
        <f>'Table3.B(b)'!X24</f>
        <v>NA</v>
      </c>
      <c r="F27" s="2942"/>
      <c r="G27" s="2942"/>
      <c r="H27" s="2944" t="s">
        <v>2154</v>
      </c>
      <c r="I27" s="2931"/>
      <c r="J27" s="2934">
        <f t="shared" si="2"/>
        <v>675.87837534103096</v>
      </c>
    </row>
    <row r="28" spans="2:10" ht="18" customHeight="1" x14ac:dyDescent="0.2">
      <c r="B28" s="228" t="s">
        <v>706</v>
      </c>
      <c r="C28" s="2936"/>
      <c r="D28" s="2920">
        <f>'Table3.B(a)'!K27</f>
        <v>53.149333546041333</v>
      </c>
      <c r="E28" s="2920">
        <f>'Table3.B(b)'!X27</f>
        <v>0.18669075019081782</v>
      </c>
      <c r="F28" s="2942"/>
      <c r="G28" s="2942"/>
      <c r="H28" s="2944" t="s">
        <v>2154</v>
      </c>
      <c r="I28" s="2931"/>
      <c r="J28" s="2934">
        <f t="shared" si="2"/>
        <v>1537.6543880897239</v>
      </c>
    </row>
    <row r="29" spans="2:10" ht="18" customHeight="1" x14ac:dyDescent="0.2">
      <c r="B29" s="228" t="s">
        <v>707</v>
      </c>
      <c r="C29" s="2936"/>
      <c r="D29" s="2920">
        <f>'Table3.B(a)'!K30</f>
        <v>4.4868658150379304</v>
      </c>
      <c r="E29" s="2920">
        <f>'Table3.B(b)'!X30</f>
        <v>0.4295325075041237</v>
      </c>
      <c r="F29" s="2942"/>
      <c r="G29" s="2942"/>
      <c r="H29" s="2944" t="s">
        <v>2154</v>
      </c>
      <c r="I29" s="2931"/>
      <c r="J29" s="2934">
        <f t="shared" si="2"/>
        <v>239.45835730965484</v>
      </c>
    </row>
    <row r="30" spans="2:10" ht="18" customHeight="1" thickBot="1" x14ac:dyDescent="0.25">
      <c r="B30" s="1297" t="s">
        <v>708</v>
      </c>
      <c r="C30" s="2945"/>
      <c r="D30" s="2946"/>
      <c r="E30" s="2947">
        <f>SUM('Table3.B(b)'!Y46:Z46)</f>
        <v>0.36176256745425356</v>
      </c>
      <c r="F30" s="2948"/>
      <c r="G30" s="2948"/>
      <c r="H30" s="2949"/>
      <c r="I30" s="2950"/>
      <c r="J30" s="2934">
        <f t="shared" si="2"/>
        <v>95.867080375377199</v>
      </c>
    </row>
    <row r="31" spans="2:10" ht="18" customHeight="1" thickBot="1" x14ac:dyDescent="0.25">
      <c r="B31" s="2639" t="s">
        <v>709</v>
      </c>
      <c r="C31" s="2951"/>
      <c r="D31" s="2952">
        <f>Table3.C!G11</f>
        <v>4.4147843085853342</v>
      </c>
      <c r="E31" s="2953"/>
      <c r="F31" s="2953"/>
      <c r="G31" s="2953"/>
      <c r="H31" s="2954" t="s">
        <v>2154</v>
      </c>
      <c r="I31" s="2955"/>
      <c r="J31" s="2956">
        <f t="shared" si="2"/>
        <v>123.61396064038937</v>
      </c>
    </row>
    <row r="32" spans="2:10" ht="18" customHeight="1" x14ac:dyDescent="0.2">
      <c r="B32" s="2638" t="s">
        <v>2020</v>
      </c>
      <c r="C32" s="2957"/>
      <c r="D32" s="2958" t="s">
        <v>2154</v>
      </c>
      <c r="E32" s="2958">
        <f>IF(SUM(E33,E41)=0,"NO",SUM(E33,E41))</f>
        <v>43.898827677116415</v>
      </c>
      <c r="F32" s="2958" t="str">
        <f>IF(SUM(F33,F41)=0,"NO",SUM(F33,F41))</f>
        <v>NO</v>
      </c>
      <c r="G32" s="2958" t="str">
        <f>IF(SUM(G33,G41)=0,"NO",SUM(G33,G41))</f>
        <v>NO</v>
      </c>
      <c r="H32" s="2958" t="str">
        <f>IF(SUM(H33,H41)=0,"NO",SUM(H33,H41))</f>
        <v>NO</v>
      </c>
      <c r="I32" s="2959"/>
      <c r="J32" s="2960">
        <f t="shared" si="2"/>
        <v>11633.18933443585</v>
      </c>
    </row>
    <row r="33" spans="2:10" ht="18" customHeight="1" x14ac:dyDescent="0.2">
      <c r="B33" s="228" t="s">
        <v>710</v>
      </c>
      <c r="C33" s="2961"/>
      <c r="D33" s="2962" t="s">
        <v>2154</v>
      </c>
      <c r="E33" s="2962">
        <f>IF(SUM(E34:E40)=0,"NO",SUM(E34:E40))</f>
        <v>33.372305193177752</v>
      </c>
      <c r="F33" s="2962" t="str">
        <f>IF(SUM(F34:F40)=0,"NO",SUM(F34:F40))</f>
        <v>NO</v>
      </c>
      <c r="G33" s="2962" t="str">
        <f>IF(SUM(G34:G40)=0,"NO",SUM(G34:G40))</f>
        <v>NO</v>
      </c>
      <c r="H33" s="2962" t="str">
        <f>IF(SUM(H34:H40)=0,"NO",SUM(H34:H40))</f>
        <v>NO</v>
      </c>
      <c r="I33" s="2931"/>
      <c r="J33" s="2963">
        <f t="shared" si="2"/>
        <v>8843.6608761921034</v>
      </c>
    </row>
    <row r="34" spans="2:10" ht="18" customHeight="1" x14ac:dyDescent="0.2">
      <c r="B34" s="232" t="s">
        <v>711</v>
      </c>
      <c r="C34" s="2961"/>
      <c r="D34" s="2905" t="s">
        <v>2154</v>
      </c>
      <c r="E34" s="2962">
        <f>Table3.D!F11</f>
        <v>8.698575101442561</v>
      </c>
      <c r="F34" s="2964" t="s">
        <v>2147</v>
      </c>
      <c r="G34" s="2964" t="s">
        <v>2147</v>
      </c>
      <c r="H34" s="2964" t="s">
        <v>2147</v>
      </c>
      <c r="I34" s="2931"/>
      <c r="J34" s="2963">
        <f t="shared" si="2"/>
        <v>2305.1224018822786</v>
      </c>
    </row>
    <row r="35" spans="2:10" ht="18" customHeight="1" x14ac:dyDescent="0.2">
      <c r="B35" s="232" t="s">
        <v>712</v>
      </c>
      <c r="C35" s="2961"/>
      <c r="D35" s="2905" t="s">
        <v>2154</v>
      </c>
      <c r="E35" s="2962">
        <f>Table3.D!F12</f>
        <v>1.607353149823352</v>
      </c>
      <c r="F35" s="2964" t="s">
        <v>2147</v>
      </c>
      <c r="G35" s="2964" t="s">
        <v>2147</v>
      </c>
      <c r="H35" s="2965" t="s">
        <v>2147</v>
      </c>
      <c r="I35" s="2931"/>
      <c r="J35" s="2963">
        <f t="shared" si="2"/>
        <v>425.94858470318826</v>
      </c>
    </row>
    <row r="36" spans="2:10" ht="18" customHeight="1" x14ac:dyDescent="0.2">
      <c r="B36" s="232" t="s">
        <v>713</v>
      </c>
      <c r="C36" s="2961"/>
      <c r="D36" s="2905" t="s">
        <v>2154</v>
      </c>
      <c r="E36" s="2962">
        <f>Table3.D!F16</f>
        <v>10.118246074862023</v>
      </c>
      <c r="F36" s="2964" t="s">
        <v>2147</v>
      </c>
      <c r="G36" s="2964" t="s">
        <v>2147</v>
      </c>
      <c r="H36" s="2965" t="s">
        <v>2147</v>
      </c>
      <c r="I36" s="2931"/>
      <c r="J36" s="2963">
        <f t="shared" si="2"/>
        <v>2681.3352098384362</v>
      </c>
    </row>
    <row r="37" spans="2:10" ht="18" customHeight="1" x14ac:dyDescent="0.2">
      <c r="B37" s="232" t="s">
        <v>714</v>
      </c>
      <c r="C37" s="2961"/>
      <c r="D37" s="2905" t="s">
        <v>2154</v>
      </c>
      <c r="E37" s="2962">
        <f>Table3.D!F17</f>
        <v>12.791036663593829</v>
      </c>
      <c r="F37" s="2964" t="s">
        <v>2147</v>
      </c>
      <c r="G37" s="2964" t="s">
        <v>2147</v>
      </c>
      <c r="H37" s="2965" t="s">
        <v>2147</v>
      </c>
      <c r="I37" s="2931"/>
      <c r="J37" s="2963">
        <f t="shared" si="2"/>
        <v>3389.6247158523647</v>
      </c>
    </row>
    <row r="38" spans="2:10" ht="18" customHeight="1" x14ac:dyDescent="0.2">
      <c r="B38" s="1705" t="s">
        <v>715</v>
      </c>
      <c r="C38" s="2961"/>
      <c r="D38" s="2905" t="s">
        <v>2154</v>
      </c>
      <c r="E38" s="2962">
        <f>Table3.D!F18</f>
        <v>6.9094203455985839E-2</v>
      </c>
      <c r="F38" s="2964" t="s">
        <v>2147</v>
      </c>
      <c r="G38" s="2964" t="s">
        <v>2147</v>
      </c>
      <c r="H38" s="2965" t="s">
        <v>2147</v>
      </c>
      <c r="I38" s="2931"/>
      <c r="J38" s="2963">
        <f t="shared" si="2"/>
        <v>18.309963915836246</v>
      </c>
    </row>
    <row r="39" spans="2:10" ht="18" customHeight="1" x14ac:dyDescent="0.2">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25">
      <c r="B41" s="2640" t="s">
        <v>718</v>
      </c>
      <c r="C41" s="2966"/>
      <c r="D41" s="2967" t="s">
        <v>2154</v>
      </c>
      <c r="E41" s="2968">
        <f>Table3.D!F21</f>
        <v>10.526522483938663</v>
      </c>
      <c r="F41" s="2969" t="s">
        <v>2147</v>
      </c>
      <c r="G41" s="2969" t="s">
        <v>2147</v>
      </c>
      <c r="H41" s="2970" t="s">
        <v>2147</v>
      </c>
      <c r="I41" s="2971"/>
      <c r="J41" s="2972">
        <f t="shared" si="2"/>
        <v>2789.5284582437457</v>
      </c>
    </row>
    <row r="42" spans="2:10" ht="18" customHeight="1" thickBot="1" x14ac:dyDescent="0.25">
      <c r="B42" s="236" t="s">
        <v>719</v>
      </c>
      <c r="C42" s="2973"/>
      <c r="D42" s="2974" t="s">
        <v>2147</v>
      </c>
      <c r="E42" s="2974" t="s">
        <v>2147</v>
      </c>
      <c r="F42" s="2975" t="s">
        <v>2147</v>
      </c>
      <c r="G42" s="2975" t="s">
        <v>2147</v>
      </c>
      <c r="H42" s="2976" t="s">
        <v>2147</v>
      </c>
      <c r="I42" s="2977" t="s">
        <v>2147</v>
      </c>
      <c r="J42" s="2978" t="s">
        <v>2147</v>
      </c>
    </row>
    <row r="43" spans="2:10" ht="18" customHeight="1" thickBot="1" x14ac:dyDescent="0.25">
      <c r="B43" s="2639" t="s">
        <v>720</v>
      </c>
      <c r="C43" s="2951"/>
      <c r="D43" s="2979">
        <f>SUM(Table3.F!I10,Table3.F!I20,Table3.F!I23,Table3.F!I26:I27)</f>
        <v>7.7017018795049603</v>
      </c>
      <c r="E43" s="2979">
        <f>SUM(Table3.F!J10,Table3.F!J20,Table3.F!J23,Table3.F!J26:J27)</f>
        <v>0.31907265068135787</v>
      </c>
      <c r="F43" s="2909">
        <v>18.434460559700462</v>
      </c>
      <c r="G43" s="2909">
        <v>300.36637330069351</v>
      </c>
      <c r="H43" s="2910">
        <v>17.521371775873792</v>
      </c>
      <c r="I43" s="2980" t="s">
        <v>2146</v>
      </c>
      <c r="J43" s="2981">
        <f t="shared" si="2"/>
        <v>300.20190505669871</v>
      </c>
    </row>
    <row r="44" spans="2:10" ht="18" customHeight="1" thickBot="1" x14ac:dyDescent="0.25">
      <c r="B44" s="2641" t="s">
        <v>721</v>
      </c>
      <c r="C44" s="2982">
        <f>'Table3.G-J'!E10</f>
        <v>1153.3920301118246</v>
      </c>
      <c r="D44" s="2983"/>
      <c r="E44" s="2983"/>
      <c r="F44" s="2983"/>
      <c r="G44" s="2983"/>
      <c r="H44" s="2984"/>
      <c r="I44" s="2985"/>
      <c r="J44" s="2981">
        <f t="shared" si="2"/>
        <v>1153.3920301118246</v>
      </c>
    </row>
    <row r="45" spans="2:10" ht="18" customHeight="1" thickBot="1" x14ac:dyDescent="0.25">
      <c r="B45" s="2641" t="s">
        <v>722</v>
      </c>
      <c r="C45" s="2982">
        <f>'Table3.G-J'!E13</f>
        <v>1509.858276147467</v>
      </c>
      <c r="D45" s="2983"/>
      <c r="E45" s="2983"/>
      <c r="F45" s="2983"/>
      <c r="G45" s="2983"/>
      <c r="H45" s="2984"/>
      <c r="I45" s="2985"/>
      <c r="J45" s="2981">
        <f t="shared" si="2"/>
        <v>1509.858276147467</v>
      </c>
    </row>
    <row r="46" spans="2:10" ht="18" customHeight="1" thickBot="1" x14ac:dyDescent="0.25">
      <c r="B46" s="2641" t="s">
        <v>723</v>
      </c>
      <c r="C46" s="2982" t="str">
        <f>'Table3.G-J'!E14</f>
        <v>NE</v>
      </c>
      <c r="D46" s="2983"/>
      <c r="E46" s="2983"/>
      <c r="F46" s="2983"/>
      <c r="G46" s="2983"/>
      <c r="H46" s="2984"/>
      <c r="I46" s="2985"/>
      <c r="J46" s="2981" t="str">
        <f t="shared" si="2"/>
        <v>NO</v>
      </c>
    </row>
    <row r="47" spans="2:10" ht="18" customHeight="1" x14ac:dyDescent="0.2">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25">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50"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7"/>
      <c r="O9" s="272"/>
    </row>
    <row r="10" spans="2:16" ht="18" customHeight="1" thickTop="1" x14ac:dyDescent="0.2">
      <c r="B10" s="273" t="s">
        <v>737</v>
      </c>
      <c r="C10" s="3266">
        <f>C15</f>
        <v>27013.671000000002</v>
      </c>
      <c r="D10" s="3241"/>
      <c r="E10" s="3241"/>
      <c r="F10" s="3131">
        <f>IF(SUM(C10)=0,"NA",G10*1000/C10)</f>
        <v>55.870989861811758</v>
      </c>
      <c r="G10" s="3242">
        <f>G15</f>
        <v>1509.2805385713184</v>
      </c>
      <c r="I10" s="275" t="s">
        <v>738</v>
      </c>
      <c r="J10" s="276" t="s">
        <v>739</v>
      </c>
      <c r="K10" s="691">
        <v>450.04839208744897</v>
      </c>
      <c r="L10" s="691">
        <v>358.35004154791199</v>
      </c>
      <c r="M10" s="3147">
        <v>536.87463798096803</v>
      </c>
      <c r="N10" s="3147">
        <v>43.847692834546002</v>
      </c>
      <c r="O10" s="2911">
        <v>56.614268553993398</v>
      </c>
    </row>
    <row r="11" spans="2:16" ht="18" customHeight="1" x14ac:dyDescent="0.2">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
      <c r="B12" s="282" t="s">
        <v>696</v>
      </c>
      <c r="C12" s="3267"/>
      <c r="D12" s="2905"/>
      <c r="E12" s="2905"/>
      <c r="F12" s="3131"/>
      <c r="G12" s="3239"/>
      <c r="I12" s="275" t="s">
        <v>741</v>
      </c>
      <c r="J12" s="276" t="s">
        <v>742</v>
      </c>
      <c r="K12" s="691">
        <v>16.593663747611199</v>
      </c>
      <c r="L12" s="691" t="s">
        <v>2147</v>
      </c>
      <c r="M12" s="3147" t="s">
        <v>2147</v>
      </c>
      <c r="N12" s="3147" t="s">
        <v>2147</v>
      </c>
      <c r="O12" s="2911" t="s">
        <v>2147</v>
      </c>
    </row>
    <row r="13" spans="2:16" ht="18" customHeight="1" x14ac:dyDescent="0.2">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25">
      <c r="B15" s="286" t="s">
        <v>747</v>
      </c>
      <c r="C15" s="2635">
        <f>SUM(C21:C23)</f>
        <v>27013.671000000002</v>
      </c>
      <c r="D15" s="3248"/>
      <c r="E15" s="3248"/>
      <c r="F15" s="3131">
        <f>IF(SUM(C15)=0,"NA",G15*1000/C15)</f>
        <v>55.870989861811758</v>
      </c>
      <c r="G15" s="3249">
        <f>G20</f>
        <v>1509.2805385713184</v>
      </c>
      <c r="I15" s="1777" t="s">
        <v>748</v>
      </c>
      <c r="J15" s="1849" t="s">
        <v>297</v>
      </c>
      <c r="K15" s="3445">
        <v>75</v>
      </c>
      <c r="L15" s="3445">
        <v>57.727493409542099</v>
      </c>
      <c r="M15" s="1560">
        <v>80.265392375277798</v>
      </c>
      <c r="N15" s="1560">
        <v>66.863931894586599</v>
      </c>
      <c r="O15" s="1561" t="s">
        <v>2147</v>
      </c>
    </row>
    <row r="16" spans="2:16" ht="18" customHeight="1" x14ac:dyDescent="0.2">
      <c r="B16" s="1737" t="s">
        <v>200</v>
      </c>
      <c r="C16" s="3269"/>
      <c r="D16" s="3250"/>
      <c r="E16" s="3250"/>
      <c r="F16" s="3250"/>
      <c r="G16" s="3251"/>
      <c r="I16" s="994"/>
      <c r="J16" s="994"/>
      <c r="K16" s="994"/>
      <c r="L16" s="994"/>
      <c r="M16" s="994"/>
      <c r="N16" s="994"/>
      <c r="O16" s="994"/>
      <c r="P16" s="254"/>
    </row>
    <row r="17" spans="2:15" ht="18" customHeight="1" x14ac:dyDescent="0.2">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
      <c r="B20" s="1734" t="s">
        <v>752</v>
      </c>
      <c r="C20" s="284"/>
      <c r="D20" s="3248"/>
      <c r="E20" s="3248"/>
      <c r="F20" s="3248"/>
      <c r="G20" s="3249">
        <f>SUM(G21:G23)</f>
        <v>1509.2805385713184</v>
      </c>
      <c r="I20" s="72"/>
      <c r="J20" s="288"/>
      <c r="K20" s="288"/>
      <c r="L20" s="288"/>
      <c r="M20" s="288"/>
      <c r="N20" s="288"/>
      <c r="O20" s="288"/>
    </row>
    <row r="21" spans="2:15" ht="18" customHeight="1" x14ac:dyDescent="0.2">
      <c r="B21" s="2633" t="s">
        <v>2196</v>
      </c>
      <c r="C21" s="3272">
        <v>2742.9279999999999</v>
      </c>
      <c r="D21" s="3257">
        <v>229.76943332745199</v>
      </c>
      <c r="E21" s="3257">
        <v>6.1428670082358101</v>
      </c>
      <c r="F21" s="3131">
        <f t="shared" ref="F21:F30" si="0">IF(SUM(C21)=0,"NA",G21*1000/C21)</f>
        <v>93.29532470039247</v>
      </c>
      <c r="G21" s="3239">
        <v>255.90235838979811</v>
      </c>
      <c r="I21" s="72"/>
      <c r="J21" s="288"/>
      <c r="K21" s="288"/>
      <c r="L21" s="288"/>
      <c r="M21" s="288"/>
      <c r="N21" s="288"/>
      <c r="O21" s="288"/>
    </row>
    <row r="22" spans="2:15" ht="18" customHeight="1" x14ac:dyDescent="0.2">
      <c r="B22" s="2633" t="s">
        <v>2197</v>
      </c>
      <c r="C22" s="3272">
        <v>23334.113000000001</v>
      </c>
      <c r="D22" s="3257">
        <v>124.18352959811899</v>
      </c>
      <c r="E22" s="3257">
        <v>6.21225</v>
      </c>
      <c r="F22" s="3131">
        <f t="shared" si="0"/>
        <v>50.992861191831885</v>
      </c>
      <c r="G22" s="3239">
        <v>1189.8731852435199</v>
      </c>
      <c r="I22" s="72"/>
      <c r="J22" s="288"/>
      <c r="K22" s="288"/>
      <c r="L22" s="288"/>
      <c r="M22" s="288"/>
      <c r="N22" s="288"/>
      <c r="O22" s="288"/>
    </row>
    <row r="23" spans="2:15" ht="18" customHeight="1" x14ac:dyDescent="0.2">
      <c r="B23" s="2633" t="s">
        <v>2198</v>
      </c>
      <c r="C23" s="3272">
        <v>936.63</v>
      </c>
      <c r="D23" s="3257">
        <v>203.35009408734399</v>
      </c>
      <c r="E23" s="3257">
        <v>5.0442782792730796</v>
      </c>
      <c r="F23" s="3131">
        <f t="shared" si="0"/>
        <v>67.801581134493276</v>
      </c>
      <c r="G23" s="3239">
        <v>63.504994938000436</v>
      </c>
      <c r="I23" s="72"/>
      <c r="J23" s="288"/>
      <c r="K23" s="288"/>
      <c r="L23" s="288"/>
      <c r="M23" s="288"/>
      <c r="N23" s="288"/>
      <c r="O23" s="288"/>
    </row>
    <row r="24" spans="2:15" ht="18" customHeight="1" x14ac:dyDescent="0.2">
      <c r="B24" s="287" t="s">
        <v>753</v>
      </c>
      <c r="C24" s="2635">
        <f>C25</f>
        <v>70866.582999999999</v>
      </c>
      <c r="D24" s="3258"/>
      <c r="E24" s="3258"/>
      <c r="F24" s="3131">
        <f t="shared" si="0"/>
        <v>6.7422287921979098</v>
      </c>
      <c r="G24" s="3128">
        <f>G25</f>
        <v>477.79871630728292</v>
      </c>
      <c r="I24" s="72"/>
    </row>
    <row r="25" spans="2:15" ht="18" customHeight="1" x14ac:dyDescent="0.2">
      <c r="B25" s="282" t="s">
        <v>754</v>
      </c>
      <c r="C25" s="2635">
        <f>C26</f>
        <v>70866.582999999999</v>
      </c>
      <c r="D25" s="3258"/>
      <c r="E25" s="3258"/>
      <c r="F25" s="3131">
        <f t="shared" si="0"/>
        <v>6.7422287921979098</v>
      </c>
      <c r="G25" s="3128">
        <f>G26</f>
        <v>477.79871630728292</v>
      </c>
    </row>
    <row r="26" spans="2:15" ht="18" customHeight="1" x14ac:dyDescent="0.2">
      <c r="B26" s="2634" t="s">
        <v>2201</v>
      </c>
      <c r="C26" s="289">
        <v>70866.582999999999</v>
      </c>
      <c r="D26" s="3259">
        <v>16.532458341670701</v>
      </c>
      <c r="E26" s="3259">
        <v>6.1697786655928599</v>
      </c>
      <c r="F26" s="3131">
        <f t="shared" si="0"/>
        <v>6.7422287921979098</v>
      </c>
      <c r="G26" s="3240">
        <v>477.79871630728292</v>
      </c>
    </row>
    <row r="27" spans="2:15" ht="18" customHeight="1" x14ac:dyDescent="0.2">
      <c r="B27" s="287" t="s">
        <v>755</v>
      </c>
      <c r="C27" s="2635">
        <f>C28</f>
        <v>2320.279</v>
      </c>
      <c r="D27" s="3258"/>
      <c r="E27" s="3258"/>
      <c r="F27" s="3131">
        <f t="shared" si="0"/>
        <v>1.5662517847068007</v>
      </c>
      <c r="G27" s="3128">
        <f>G28</f>
        <v>3.6341411247677105</v>
      </c>
    </row>
    <row r="28" spans="2:15" ht="18" customHeight="1" x14ac:dyDescent="0.2">
      <c r="B28" s="282" t="s">
        <v>756</v>
      </c>
      <c r="C28" s="2635">
        <f>C29</f>
        <v>2320.279</v>
      </c>
      <c r="D28" s="3258"/>
      <c r="E28" s="3258"/>
      <c r="F28" s="3131">
        <f t="shared" si="0"/>
        <v>1.5662517847068007</v>
      </c>
      <c r="G28" s="3128">
        <f>G29</f>
        <v>3.6341411247677105</v>
      </c>
    </row>
    <row r="29" spans="2:15" ht="18" customHeight="1" x14ac:dyDescent="0.2">
      <c r="B29" s="2634" t="s">
        <v>817</v>
      </c>
      <c r="C29" s="289">
        <v>2320.279</v>
      </c>
      <c r="D29" s="3259">
        <v>33.850658792803401</v>
      </c>
      <c r="E29" s="3259">
        <v>0.7</v>
      </c>
      <c r="F29" s="3131">
        <f t="shared" si="0"/>
        <v>1.5662517847068007</v>
      </c>
      <c r="G29" s="3240">
        <v>3.6341411247677105</v>
      </c>
    </row>
    <row r="30" spans="2:15" ht="18" customHeight="1" x14ac:dyDescent="0.2">
      <c r="B30" s="287" t="s">
        <v>757</v>
      </c>
      <c r="C30" s="2635">
        <f>SUM(C32:C39)</f>
        <v>96076.285999999993</v>
      </c>
      <c r="D30" s="3258"/>
      <c r="E30" s="3258"/>
      <c r="F30" s="3131">
        <f t="shared" si="0"/>
        <v>8.896840925773207E-2</v>
      </c>
      <c r="G30" s="3128">
        <f>SUM(G32:G39)</f>
        <v>8.5477543328109125</v>
      </c>
    </row>
    <row r="31" spans="2:15" ht="18" customHeight="1" x14ac:dyDescent="0.2">
      <c r="B31" s="1305" t="s">
        <v>345</v>
      </c>
      <c r="C31" s="3273"/>
      <c r="D31" s="3261"/>
      <c r="E31" s="3261"/>
      <c r="F31" s="3261"/>
      <c r="G31" s="3262"/>
    </row>
    <row r="32" spans="2:15" ht="18" customHeight="1" x14ac:dyDescent="0.2">
      <c r="B32" s="286" t="s">
        <v>758</v>
      </c>
      <c r="C32" s="3267">
        <v>5.1520000000000001</v>
      </c>
      <c r="D32" s="3263" t="s">
        <v>2147</v>
      </c>
      <c r="E32" s="3263" t="s">
        <v>2147</v>
      </c>
      <c r="F32" s="3131">
        <f t="shared" ref="F32:F40" si="1">IF(SUM(C32)=0,"NA",G32*1000/C32)</f>
        <v>76.006174462646882</v>
      </c>
      <c r="G32" s="3239">
        <v>0.39158381083155674</v>
      </c>
    </row>
    <row r="33" spans="2:7" ht="18" customHeight="1" x14ac:dyDescent="0.2">
      <c r="B33" s="286" t="s">
        <v>759</v>
      </c>
      <c r="C33" s="3267">
        <v>2.7589999999999999</v>
      </c>
      <c r="D33" s="3263" t="s">
        <v>2147</v>
      </c>
      <c r="E33" s="3263" t="s">
        <v>2147</v>
      </c>
      <c r="F33" s="3131">
        <f t="shared" si="1"/>
        <v>45.996686405068701</v>
      </c>
      <c r="G33" s="3239">
        <v>0.12690485779158453</v>
      </c>
    </row>
    <row r="34" spans="2:7" ht="18" customHeight="1" x14ac:dyDescent="0.2">
      <c r="B34" s="286" t="s">
        <v>760</v>
      </c>
      <c r="C34" s="3267">
        <v>30.123000000000001</v>
      </c>
      <c r="D34" s="3263" t="s">
        <v>2147</v>
      </c>
      <c r="E34" s="3263" t="s">
        <v>2147</v>
      </c>
      <c r="F34" s="3131">
        <f t="shared" si="1"/>
        <v>19.999704881094388</v>
      </c>
      <c r="G34" s="3239">
        <v>0.60245111013320629</v>
      </c>
    </row>
    <row r="35" spans="2:7" ht="18" customHeight="1" x14ac:dyDescent="0.2">
      <c r="B35" s="286" t="s">
        <v>761</v>
      </c>
      <c r="C35" s="3267">
        <v>460.32400000000001</v>
      </c>
      <c r="D35" s="3263" t="s">
        <v>2147</v>
      </c>
      <c r="E35" s="3263" t="s">
        <v>2147</v>
      </c>
      <c r="F35" s="3131">
        <f t="shared" si="1"/>
        <v>4.999996687116032</v>
      </c>
      <c r="G35" s="3239">
        <v>2.3016184750000002</v>
      </c>
    </row>
    <row r="36" spans="2:7" ht="18" customHeight="1" x14ac:dyDescent="0.2">
      <c r="B36" s="286" t="s">
        <v>762</v>
      </c>
      <c r="C36" s="3267">
        <v>222.53</v>
      </c>
      <c r="D36" s="3263" t="s">
        <v>2147</v>
      </c>
      <c r="E36" s="3263" t="s">
        <v>2147</v>
      </c>
      <c r="F36" s="3131">
        <f t="shared" si="1"/>
        <v>17.999997951186046</v>
      </c>
      <c r="G36" s="3239">
        <v>4.0055395440774308</v>
      </c>
    </row>
    <row r="37" spans="2:7" ht="18" customHeight="1" x14ac:dyDescent="0.2">
      <c r="B37" s="286" t="s">
        <v>763</v>
      </c>
      <c r="C37" s="3267">
        <v>0.64600000000000002</v>
      </c>
      <c r="D37" s="3263" t="s">
        <v>2147</v>
      </c>
      <c r="E37" s="3263" t="s">
        <v>2147</v>
      </c>
      <c r="F37" s="3131">
        <f t="shared" si="1"/>
        <v>10.006287556295343</v>
      </c>
      <c r="G37" s="3239">
        <v>6.4640617613667918E-3</v>
      </c>
    </row>
    <row r="38" spans="2:7" ht="18" customHeight="1" x14ac:dyDescent="0.2">
      <c r="B38" s="286" t="s">
        <v>764</v>
      </c>
      <c r="C38" s="3274">
        <v>95211.923999999999</v>
      </c>
      <c r="D38" s="3263" t="s">
        <v>2147</v>
      </c>
      <c r="E38" s="3263" t="s">
        <v>2147</v>
      </c>
      <c r="F38" s="3131" t="s">
        <v>2147</v>
      </c>
      <c r="G38" s="3264" t="s">
        <v>2154</v>
      </c>
    </row>
    <row r="39" spans="2:7" ht="18" customHeight="1" x14ac:dyDescent="0.2">
      <c r="B39" s="286" t="s">
        <v>765</v>
      </c>
      <c r="C39" s="2635">
        <f>SUM(C40:C44)</f>
        <v>142.828</v>
      </c>
      <c r="D39" s="3258"/>
      <c r="E39" s="3258"/>
      <c r="F39" s="3131">
        <f t="shared" si="1"/>
        <v>7.7939372757146161</v>
      </c>
      <c r="G39" s="3128">
        <f>SUM(G40:G44)</f>
        <v>1.1131924732157672</v>
      </c>
    </row>
    <row r="40" spans="2:7" ht="18" customHeight="1" x14ac:dyDescent="0.2">
      <c r="B40" s="290" t="s">
        <v>766</v>
      </c>
      <c r="C40" s="3267" t="s">
        <v>2146</v>
      </c>
      <c r="D40" s="2905" t="s">
        <v>2147</v>
      </c>
      <c r="E40" s="2905" t="s">
        <v>2147</v>
      </c>
      <c r="F40" s="3131" t="str">
        <f t="shared" si="1"/>
        <v>NA</v>
      </c>
      <c r="G40" s="3239" t="s">
        <v>2146</v>
      </c>
    </row>
    <row r="41" spans="2:7" ht="18" customHeight="1" x14ac:dyDescent="0.2">
      <c r="B41" s="290" t="s">
        <v>767</v>
      </c>
      <c r="C41" s="3267" t="s">
        <v>2146</v>
      </c>
      <c r="D41" s="2905" t="s">
        <v>2147</v>
      </c>
      <c r="E41" s="2905" t="s">
        <v>2147</v>
      </c>
      <c r="F41" s="3131" t="str">
        <f t="shared" ref="F41:F43" si="2">IF(SUM(C41)=0,"NA",G41*1000/C41)</f>
        <v>NA</v>
      </c>
      <c r="G41" s="3239" t="s">
        <v>2146</v>
      </c>
    </row>
    <row r="42" spans="2:7" ht="18" customHeight="1" x14ac:dyDescent="0.2">
      <c r="B42" s="290" t="s">
        <v>768</v>
      </c>
      <c r="C42" s="3275">
        <v>9.8109999999999999</v>
      </c>
      <c r="D42" s="2967" t="s">
        <v>2147</v>
      </c>
      <c r="E42" s="2967" t="s">
        <v>2147</v>
      </c>
      <c r="F42" s="3131">
        <f t="shared" si="2"/>
        <v>4.9999415727966809</v>
      </c>
      <c r="G42" s="3201">
        <v>4.9054426770708238E-2</v>
      </c>
    </row>
    <row r="43" spans="2:7" ht="18" customHeight="1" x14ac:dyDescent="0.2">
      <c r="B43" s="290" t="s">
        <v>769</v>
      </c>
      <c r="C43" s="3267" t="s">
        <v>2146</v>
      </c>
      <c r="D43" s="2905" t="s">
        <v>2147</v>
      </c>
      <c r="E43" s="2905" t="s">
        <v>2147</v>
      </c>
      <c r="F43" s="3131" t="str">
        <f t="shared" si="2"/>
        <v>NA</v>
      </c>
      <c r="G43" s="3239" t="s">
        <v>2146</v>
      </c>
    </row>
    <row r="44" spans="2:7" ht="18" customHeight="1" x14ac:dyDescent="0.2">
      <c r="B44" s="2494" t="s">
        <v>2093</v>
      </c>
      <c r="C44" s="2635">
        <f>C45</f>
        <v>133.017</v>
      </c>
      <c r="D44" s="3258"/>
      <c r="E44" s="3258"/>
      <c r="F44" s="3131">
        <f>IF(SUM(C44)=0,"NA",G44*1000/C44)</f>
        <v>8.0000153848384716</v>
      </c>
      <c r="G44" s="3128">
        <f>G45</f>
        <v>1.0641380464450589</v>
      </c>
    </row>
    <row r="45" spans="2:7" ht="18" customHeight="1" thickBot="1" x14ac:dyDescent="0.25">
      <c r="B45" s="2636" t="s">
        <v>2199</v>
      </c>
      <c r="C45" s="3276">
        <v>133.017</v>
      </c>
      <c r="D45" s="3137" t="s">
        <v>2147</v>
      </c>
      <c r="E45" s="3137" t="s">
        <v>2147</v>
      </c>
      <c r="F45" s="3265">
        <f>IF(SUM(C45)=0,"NA",G45*1000/C45)</f>
        <v>8.0000153848384716</v>
      </c>
      <c r="G45" s="3203">
        <v>1.0641380464450589</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3"/>
      <c r="D55" s="2023"/>
      <c r="E55" s="2023"/>
      <c r="F55" s="2023"/>
      <c r="G55" s="2023"/>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77" t="s">
        <v>2200</v>
      </c>
      <c r="C66" s="4478"/>
      <c r="D66" s="4478"/>
      <c r="E66" s="4478"/>
      <c r="F66" s="4478"/>
      <c r="G66" s="4479"/>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82">
        <f>C15</f>
        <v>27013.671000000002</v>
      </c>
      <c r="D10" s="2942"/>
      <c r="E10" s="2942"/>
      <c r="F10" s="2942"/>
      <c r="G10" s="2942"/>
      <c r="H10" s="2942"/>
      <c r="I10" s="3279"/>
      <c r="J10" s="3280">
        <f>IF(SUM(C10)=0,"NA",K10*1000/C10)</f>
        <v>5.7906023010921537</v>
      </c>
      <c r="K10" s="3281">
        <f>K15</f>
        <v>156.42542545354641</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84">
        <f>SUM(C17:C20)</f>
        <v>27013.671000000002</v>
      </c>
      <c r="D15" s="3293"/>
      <c r="E15" s="3293"/>
      <c r="F15" s="3293"/>
      <c r="G15" s="3293"/>
      <c r="H15" s="3293"/>
      <c r="I15" s="3288"/>
      <c r="J15" s="3287">
        <f>IF(SUM(C15)=0,"NA",K15*1000/C15)</f>
        <v>5.7906023010921537</v>
      </c>
      <c r="K15" s="3281">
        <f>SUM(K17:K20)</f>
        <v>156.42542545354641</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84">
        <f>SUM(C21:C23)</f>
        <v>27013.671000000002</v>
      </c>
      <c r="D20" s="3293"/>
      <c r="E20" s="3293"/>
      <c r="F20" s="3293"/>
      <c r="G20" s="3293"/>
      <c r="H20" s="3293"/>
      <c r="I20" s="3288"/>
      <c r="J20" s="3301">
        <f>IF(SUM(C20)=0,"NA",K20*1000/C20)</f>
        <v>5.7906023010921537</v>
      </c>
      <c r="K20" s="3281">
        <f>SUM(K21:K23)</f>
        <v>156.42542545354641</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2" t="s">
        <v>2196</v>
      </c>
      <c r="C21" s="3325">
        <f>Table3.A!C21</f>
        <v>2742.9279999999999</v>
      </c>
      <c r="D21" s="3325">
        <v>9.7287729124606805</v>
      </c>
      <c r="E21" s="3325">
        <v>90.270579968917644</v>
      </c>
      <c r="F21" s="3325">
        <v>6.4711862168000003E-4</v>
      </c>
      <c r="G21" s="3298">
        <f>Table3.A!K10</f>
        <v>450.04839208744897</v>
      </c>
      <c r="H21" s="3299">
        <v>3.2960768994644098</v>
      </c>
      <c r="I21" s="3300">
        <v>0.24</v>
      </c>
      <c r="J21" s="3301">
        <f>IF(SUM(C21)=0,"NA",K21*1000/C21)</f>
        <v>14.947343330187053</v>
      </c>
      <c r="K21" s="3277">
        <v>40.999486545983309</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
      <c r="B22" s="2642" t="s">
        <v>2197</v>
      </c>
      <c r="C22" s="3325">
        <f>Table3.A!C22</f>
        <v>23334.113000000001</v>
      </c>
      <c r="D22" s="3325" t="s">
        <v>2146</v>
      </c>
      <c r="E22" s="3325">
        <v>82.678757104412995</v>
      </c>
      <c r="F22" s="3325">
        <v>17.321242895587002</v>
      </c>
      <c r="G22" s="3298">
        <f>Table3.A!L10</f>
        <v>358.35004154791199</v>
      </c>
      <c r="H22" s="3299" t="s">
        <v>2147</v>
      </c>
      <c r="I22" s="3300" t="s">
        <v>2147</v>
      </c>
      <c r="J22" s="3301">
        <f t="shared" ref="J22:J45" si="0">IF(SUM(C22)=0,"NA",K22*1000/C22)</f>
        <v>4.8070033008005426</v>
      </c>
      <c r="K22" s="3277">
        <v>112.16715821225284</v>
      </c>
      <c r="M22" s="1594" t="s">
        <v>800</v>
      </c>
      <c r="N22" s="4486" t="s">
        <v>2196</v>
      </c>
      <c r="O22" s="1690" t="s">
        <v>802</v>
      </c>
      <c r="P22" s="1691" t="s">
        <v>791</v>
      </c>
      <c r="Q22" s="3774">
        <v>6.3049721839612198</v>
      </c>
      <c r="R22" s="300" t="s">
        <v>2146</v>
      </c>
      <c r="S22" s="3772">
        <v>3.8240683421519202</v>
      </c>
      <c r="T22" s="3772">
        <v>1.5722925621657682</v>
      </c>
      <c r="U22" s="3772" t="s">
        <v>2146</v>
      </c>
      <c r="V22" s="3772" t="s">
        <v>2153</v>
      </c>
      <c r="W22" s="3772" t="s">
        <v>2146</v>
      </c>
      <c r="X22" s="3772">
        <v>88.298666911721099</v>
      </c>
      <c r="Y22" s="301" t="s">
        <v>2146</v>
      </c>
      <c r="Z22" s="301" t="s">
        <v>2146</v>
      </c>
      <c r="AA22" s="301" t="s">
        <v>2146</v>
      </c>
      <c r="AB22" s="1306" t="s">
        <v>2146</v>
      </c>
    </row>
    <row r="23" spans="2:28" s="84" customFormat="1" ht="18" customHeight="1" x14ac:dyDescent="0.2">
      <c r="B23" s="2642" t="s">
        <v>2198</v>
      </c>
      <c r="C23" s="3325">
        <f>Table3.A!C23</f>
        <v>936.63</v>
      </c>
      <c r="D23" s="3325" t="s">
        <v>2146</v>
      </c>
      <c r="E23" s="3325">
        <v>100</v>
      </c>
      <c r="F23" s="3325" t="s">
        <v>2146</v>
      </c>
      <c r="G23" s="3298">
        <f>Table3.A!M10</f>
        <v>536.87463798096803</v>
      </c>
      <c r="H23" s="3299">
        <v>1.75570251380303</v>
      </c>
      <c r="I23" s="3300">
        <v>0.19</v>
      </c>
      <c r="J23" s="3301">
        <f t="shared" si="0"/>
        <v>3.4792614963328852</v>
      </c>
      <c r="K23" s="3277">
        <v>3.2587806953102705</v>
      </c>
      <c r="M23" s="1664" t="s">
        <v>813</v>
      </c>
      <c r="N23" s="4487"/>
      <c r="O23" s="1692" t="s">
        <v>794</v>
      </c>
      <c r="P23" s="1693" t="s">
        <v>792</v>
      </c>
      <c r="Q23" s="3776">
        <v>9.1493268765372306</v>
      </c>
      <c r="R23" s="277" t="s">
        <v>2146</v>
      </c>
      <c r="S23" s="691">
        <v>1.95317686429006</v>
      </c>
      <c r="T23" s="3147">
        <v>2.5089734605404472</v>
      </c>
      <c r="U23" s="3147" t="s">
        <v>2146</v>
      </c>
      <c r="V23" s="3147" t="s">
        <v>2153</v>
      </c>
      <c r="W23" s="3147" t="s">
        <v>2146</v>
      </c>
      <c r="X23" s="3147">
        <v>86.388522798632295</v>
      </c>
      <c r="Y23" s="278" t="s">
        <v>2146</v>
      </c>
      <c r="Z23" s="278" t="s">
        <v>2146</v>
      </c>
      <c r="AA23" s="278" t="s">
        <v>2146</v>
      </c>
      <c r="AB23" s="279" t="s">
        <v>2146</v>
      </c>
    </row>
    <row r="24" spans="2:28" s="84" customFormat="1" ht="18" customHeight="1" thickBot="1" x14ac:dyDescent="0.25">
      <c r="B24" s="1643" t="s">
        <v>811</v>
      </c>
      <c r="C24" s="4184">
        <f>C25</f>
        <v>70866.582999999999</v>
      </c>
      <c r="D24" s="3303"/>
      <c r="E24" s="3303"/>
      <c r="F24" s="3303"/>
      <c r="G24" s="3303"/>
      <c r="H24" s="3303"/>
      <c r="I24" s="3304"/>
      <c r="J24" s="3301">
        <f t="shared" si="0"/>
        <v>0.34061912375592912</v>
      </c>
      <c r="K24" s="3281">
        <f>K25</f>
        <v>24.138513405036822</v>
      </c>
      <c r="M24" s="1656"/>
      <c r="N24" s="4487"/>
      <c r="O24" s="1694"/>
      <c r="P24" s="1693" t="s">
        <v>793</v>
      </c>
      <c r="Q24" s="4208">
        <v>9.68</v>
      </c>
      <c r="R24" s="304" t="s">
        <v>2146</v>
      </c>
      <c r="S24" s="1559">
        <v>5.94</v>
      </c>
      <c r="T24" s="1560">
        <v>5.01</v>
      </c>
      <c r="U24" s="1560" t="s">
        <v>2146</v>
      </c>
      <c r="V24" s="1560" t="s">
        <v>2153</v>
      </c>
      <c r="W24" s="1560" t="s">
        <v>2146</v>
      </c>
      <c r="X24" s="1560">
        <v>79.37</v>
      </c>
      <c r="Y24" s="305" t="s">
        <v>2146</v>
      </c>
      <c r="Z24" s="305" t="s">
        <v>2146</v>
      </c>
      <c r="AA24" s="305" t="s">
        <v>2146</v>
      </c>
      <c r="AB24" s="442" t="s">
        <v>2146</v>
      </c>
    </row>
    <row r="25" spans="2:28" s="84" customFormat="1" ht="18" customHeight="1" x14ac:dyDescent="0.2">
      <c r="B25" s="1644" t="s">
        <v>812</v>
      </c>
      <c r="C25" s="4184">
        <f>C26</f>
        <v>70866.582999999999</v>
      </c>
      <c r="D25" s="3250"/>
      <c r="E25" s="3250"/>
      <c r="F25" s="3250"/>
      <c r="G25" s="3250"/>
      <c r="H25" s="3250"/>
      <c r="I25" s="3260"/>
      <c r="J25" s="3301">
        <f t="shared" si="0"/>
        <v>0.34061912375592912</v>
      </c>
      <c r="K25" s="3281">
        <f>K26</f>
        <v>24.138513405036822</v>
      </c>
      <c r="M25" s="1656"/>
      <c r="N25" s="4487"/>
      <c r="O25" s="1695" t="s">
        <v>2026</v>
      </c>
      <c r="P25" s="1691" t="s">
        <v>791</v>
      </c>
      <c r="Q25" s="4209">
        <v>0.7</v>
      </c>
      <c r="R25" s="1308" t="s">
        <v>2146</v>
      </c>
      <c r="S25" s="692">
        <v>3.911363636364E-2</v>
      </c>
      <c r="T25" s="3141">
        <v>2</v>
      </c>
      <c r="U25" s="3141" t="s">
        <v>2146</v>
      </c>
      <c r="V25" s="3141" t="s">
        <v>2153</v>
      </c>
      <c r="W25" s="3141" t="s">
        <v>2146</v>
      </c>
      <c r="X25" s="3141">
        <v>0.01</v>
      </c>
      <c r="Y25" s="1309" t="s">
        <v>2146</v>
      </c>
      <c r="Z25" s="1309" t="s">
        <v>2146</v>
      </c>
      <c r="AA25" s="1309" t="s">
        <v>2146</v>
      </c>
      <c r="AB25" s="1310" t="s">
        <v>2146</v>
      </c>
    </row>
    <row r="26" spans="2:28" s="84" customFormat="1" ht="18" customHeight="1" x14ac:dyDescent="0.2">
      <c r="B26" s="2643" t="s">
        <v>2201</v>
      </c>
      <c r="C26" s="3307">
        <f>Table3.A!C26</f>
        <v>70866.582999999999</v>
      </c>
      <c r="D26" s="3325" t="s">
        <v>2146</v>
      </c>
      <c r="E26" s="3325">
        <v>100</v>
      </c>
      <c r="F26" s="3325" t="s">
        <v>2146</v>
      </c>
      <c r="G26" s="3305">
        <f>Table3.A!N10</f>
        <v>43.847692834546002</v>
      </c>
      <c r="H26" s="3033" t="s">
        <v>2147</v>
      </c>
      <c r="I26" s="3126" t="s">
        <v>2147</v>
      </c>
      <c r="J26" s="3301">
        <f t="shared" si="0"/>
        <v>0.34061912375592912</v>
      </c>
      <c r="K26" s="3277">
        <v>24.138513405036822</v>
      </c>
      <c r="M26" s="1656"/>
      <c r="N26" s="4487"/>
      <c r="O26" s="1696"/>
      <c r="P26" s="1693" t="s">
        <v>792</v>
      </c>
      <c r="Q26" s="3776">
        <v>0.74383172585651003</v>
      </c>
      <c r="R26" s="277" t="s">
        <v>2146</v>
      </c>
      <c r="S26" s="691">
        <v>6.5748651256780005E-2</v>
      </c>
      <c r="T26" s="3147">
        <v>2.0000000000000004</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25">
      <c r="B27" s="1643" t="s">
        <v>814</v>
      </c>
      <c r="C27" s="4184">
        <f>C28</f>
        <v>2320.279</v>
      </c>
      <c r="D27" s="3250"/>
      <c r="E27" s="3250"/>
      <c r="F27" s="3250"/>
      <c r="G27" s="3250"/>
      <c r="H27" s="3250"/>
      <c r="I27" s="3260"/>
      <c r="J27" s="3301">
        <f t="shared" si="0"/>
        <v>22.906440797008177</v>
      </c>
      <c r="K27" s="3281">
        <f>K28</f>
        <v>53.149333546041333</v>
      </c>
      <c r="M27" s="1656"/>
      <c r="N27" s="4488"/>
      <c r="O27" s="1697"/>
      <c r="P27" s="1693" t="s">
        <v>793</v>
      </c>
      <c r="Q27" s="4208">
        <v>0.8</v>
      </c>
      <c r="R27" s="304" t="s">
        <v>2146</v>
      </c>
      <c r="S27" s="1559">
        <v>0.28222222222221999</v>
      </c>
      <c r="T27" s="1560">
        <v>2</v>
      </c>
      <c r="U27" s="1560" t="s">
        <v>2146</v>
      </c>
      <c r="V27" s="1560" t="s">
        <v>2153</v>
      </c>
      <c r="W27" s="1560" t="s">
        <v>2146</v>
      </c>
      <c r="X27" s="1560">
        <v>0.02</v>
      </c>
      <c r="Y27" s="305" t="s">
        <v>2146</v>
      </c>
      <c r="Z27" s="305" t="s">
        <v>2146</v>
      </c>
      <c r="AA27" s="305" t="s">
        <v>2146</v>
      </c>
      <c r="AB27" s="442" t="s">
        <v>2146</v>
      </c>
    </row>
    <row r="28" spans="2:28" s="84" customFormat="1" ht="18" customHeight="1" x14ac:dyDescent="0.2">
      <c r="B28" s="1644" t="s">
        <v>815</v>
      </c>
      <c r="C28" s="4184">
        <f>C29</f>
        <v>2320.279</v>
      </c>
      <c r="D28" s="3250"/>
      <c r="E28" s="3250"/>
      <c r="F28" s="3250"/>
      <c r="G28" s="3250"/>
      <c r="H28" s="3250"/>
      <c r="I28" s="3260"/>
      <c r="J28" s="3301">
        <f t="shared" si="0"/>
        <v>22.906440797008177</v>
      </c>
      <c r="K28" s="3281">
        <f>K29</f>
        <v>53.149333546041333</v>
      </c>
      <c r="M28" s="1595"/>
      <c r="N28" s="4486"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3" t="s">
        <v>817</v>
      </c>
      <c r="C29" s="3307">
        <f>Table3.A!C29</f>
        <v>2320.279</v>
      </c>
      <c r="D29" s="3325">
        <v>0.68357902007674998</v>
      </c>
      <c r="E29" s="3325">
        <v>99.316420979923251</v>
      </c>
      <c r="F29" s="3325" t="s">
        <v>2146</v>
      </c>
      <c r="G29" s="3305">
        <f>Table3.A!O10</f>
        <v>56.614268553993398</v>
      </c>
      <c r="H29" s="3033">
        <v>0.39614406921215001</v>
      </c>
      <c r="I29" s="3126">
        <v>0.45</v>
      </c>
      <c r="J29" s="3301">
        <f t="shared" si="0"/>
        <v>22.906440797008177</v>
      </c>
      <c r="K29" s="3277">
        <v>53.149333546041333</v>
      </c>
      <c r="M29" s="1664"/>
      <c r="N29" s="4487"/>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25">
      <c r="B30" s="1643" t="s">
        <v>816</v>
      </c>
      <c r="C30" s="4184">
        <f>SUM(C32:C39)</f>
        <v>96076.285999999993</v>
      </c>
      <c r="D30" s="3250"/>
      <c r="E30" s="3250"/>
      <c r="F30" s="3250"/>
      <c r="G30" s="3250"/>
      <c r="H30" s="3250"/>
      <c r="I30" s="3260"/>
      <c r="J30" s="3301">
        <f t="shared" si="0"/>
        <v>4.6701074758842477E-2</v>
      </c>
      <c r="K30" s="3281">
        <f>SUM(K32:K39)</f>
        <v>4.4868658150379304</v>
      </c>
      <c r="M30" s="1656"/>
      <c r="N30" s="4487"/>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
      <c r="B31" s="1642" t="s">
        <v>200</v>
      </c>
      <c r="C31" s="3261"/>
      <c r="D31" s="3261"/>
      <c r="E31" s="3261"/>
      <c r="F31" s="3261"/>
      <c r="G31" s="3261"/>
      <c r="H31" s="3261"/>
      <c r="I31" s="3261"/>
      <c r="J31" s="3306"/>
      <c r="K31" s="3262"/>
      <c r="M31" s="1656"/>
      <c r="N31" s="4487"/>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7">
        <f>Table3.A!C32</f>
        <v>5.1520000000000001</v>
      </c>
      <c r="D32" s="3325" t="s">
        <v>2146</v>
      </c>
      <c r="E32" s="3325">
        <v>30.906369136234275</v>
      </c>
      <c r="F32" s="3325">
        <v>69.093630863765725</v>
      </c>
      <c r="G32" s="3307" t="s">
        <v>2147</v>
      </c>
      <c r="H32" s="3307" t="s">
        <v>2147</v>
      </c>
      <c r="I32" s="3307" t="s">
        <v>2147</v>
      </c>
      <c r="J32" s="3301">
        <f t="shared" si="0"/>
        <v>8.9219319239120214</v>
      </c>
      <c r="K32" s="3277">
        <v>4.5965793271994737E-2</v>
      </c>
      <c r="M32" s="1656"/>
      <c r="N32" s="4487"/>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7">
        <f>Table3.A!C33</f>
        <v>2.7589999999999999</v>
      </c>
      <c r="D33" s="3325" t="s">
        <v>2146</v>
      </c>
      <c r="E33" s="3325">
        <v>17.4938433155952</v>
      </c>
      <c r="F33" s="3325">
        <v>82.5061566844048</v>
      </c>
      <c r="G33" s="3307" t="s">
        <v>2147</v>
      </c>
      <c r="H33" s="3307" t="s">
        <v>2147</v>
      </c>
      <c r="I33" s="3307" t="s">
        <v>2147</v>
      </c>
      <c r="J33" s="3287">
        <f t="shared" si="0"/>
        <v>10.069984507856596</v>
      </c>
      <c r="K33" s="3277">
        <v>2.7783087257176344E-2</v>
      </c>
      <c r="M33" s="1656"/>
      <c r="N33" s="4488"/>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7">
        <f>Table3.A!C34</f>
        <v>30.123000000000001</v>
      </c>
      <c r="D34" s="3325" t="s">
        <v>2146</v>
      </c>
      <c r="E34" s="3325">
        <v>98.491322971022257</v>
      </c>
      <c r="F34" s="3325">
        <v>1.50867702897774</v>
      </c>
      <c r="G34" s="3307" t="s">
        <v>2147</v>
      </c>
      <c r="H34" s="3307" t="s">
        <v>2147</v>
      </c>
      <c r="I34" s="3307" t="s">
        <v>2147</v>
      </c>
      <c r="J34" s="3287">
        <f t="shared" si="0"/>
        <v>1.0429605904073735</v>
      </c>
      <c r="K34" s="3277">
        <v>3.1417101864841313E-2</v>
      </c>
      <c r="M34" s="1595"/>
      <c r="N34" s="4486"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
      <c r="B35" s="1644" t="s">
        <v>821</v>
      </c>
      <c r="C35" s="3307">
        <f>Table3.A!C35</f>
        <v>460.32400000000001</v>
      </c>
      <c r="D35" s="3325" t="s">
        <v>2146</v>
      </c>
      <c r="E35" s="3325">
        <v>99.831102328981785</v>
      </c>
      <c r="F35" s="3325">
        <v>0.16889767101822001</v>
      </c>
      <c r="G35" s="3307" t="s">
        <v>2147</v>
      </c>
      <c r="H35" s="3307" t="s">
        <v>2147</v>
      </c>
      <c r="I35" s="3307" t="s">
        <v>2147</v>
      </c>
      <c r="J35" s="3287">
        <f t="shared" si="0"/>
        <v>0.35904662420392758</v>
      </c>
      <c r="K35" s="3277">
        <v>0.16527777824004877</v>
      </c>
      <c r="M35" s="1664"/>
      <c r="N35" s="4487"/>
      <c r="O35" s="1692" t="s">
        <v>794</v>
      </c>
      <c r="P35" s="1693" t="s">
        <v>792</v>
      </c>
      <c r="Q35" s="3776">
        <v>1.8</v>
      </c>
      <c r="R35" s="277" t="s">
        <v>2146</v>
      </c>
      <c r="S35" s="277" t="s">
        <v>2146</v>
      </c>
      <c r="T35" s="3147" t="s">
        <v>2153</v>
      </c>
      <c r="U35" s="3147" t="s">
        <v>2146</v>
      </c>
      <c r="V35" s="3147">
        <v>100</v>
      </c>
      <c r="W35" s="3147" t="s">
        <v>2146</v>
      </c>
      <c r="X35" s="278" t="s">
        <v>2146</v>
      </c>
      <c r="Y35" s="3147">
        <v>19</v>
      </c>
      <c r="Z35" s="278" t="s">
        <v>2146</v>
      </c>
      <c r="AA35" s="278" t="s">
        <v>2146</v>
      </c>
      <c r="AB35" s="279" t="s">
        <v>2146</v>
      </c>
    </row>
    <row r="36" spans="2:28" s="84" customFormat="1" ht="18" customHeight="1" thickBot="1" x14ac:dyDescent="0.25">
      <c r="B36" s="1644" t="s">
        <v>822</v>
      </c>
      <c r="C36" s="3307">
        <f>Table3.A!C36</f>
        <v>222.53</v>
      </c>
      <c r="D36" s="3325" t="s">
        <v>2146</v>
      </c>
      <c r="E36" s="3325">
        <v>97.11537488707107</v>
      </c>
      <c r="F36" s="3325">
        <v>2.88462511292893</v>
      </c>
      <c r="G36" s="3307" t="s">
        <v>2147</v>
      </c>
      <c r="H36" s="3307" t="s">
        <v>2147</v>
      </c>
      <c r="I36" s="3307" t="s">
        <v>2147</v>
      </c>
      <c r="J36" s="3287">
        <f t="shared" si="0"/>
        <v>3.2468513850301717</v>
      </c>
      <c r="K36" s="3277">
        <v>0.72252183871076414</v>
      </c>
      <c r="M36" s="1656"/>
      <c r="N36" s="4487"/>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7">
        <f>Table3.A!C37</f>
        <v>0.64600000000000002</v>
      </c>
      <c r="D37" s="3325" t="s">
        <v>2146</v>
      </c>
      <c r="E37" s="3325">
        <v>93.085004642196907</v>
      </c>
      <c r="F37" s="3325">
        <v>6.9149953578030896</v>
      </c>
      <c r="G37" s="3307" t="s">
        <v>2147</v>
      </c>
      <c r="H37" s="3307" t="s">
        <v>2147</v>
      </c>
      <c r="I37" s="3307" t="s">
        <v>2147</v>
      </c>
      <c r="J37" s="3287">
        <f t="shared" si="0"/>
        <v>1.1981759907957066</v>
      </c>
      <c r="K37" s="3277">
        <v>7.7402169005402646E-4</v>
      </c>
      <c r="M37" s="1656"/>
      <c r="N37" s="4487"/>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
      <c r="B38" s="1644" t="s">
        <v>824</v>
      </c>
      <c r="C38" s="3307">
        <f>Table3.A!C38</f>
        <v>95211.923999999999</v>
      </c>
      <c r="D38" s="3325">
        <v>0.30532083250325998</v>
      </c>
      <c r="E38" s="3325">
        <v>99.694679167496744</v>
      </c>
      <c r="F38" s="3325" t="s">
        <v>2146</v>
      </c>
      <c r="G38" s="3307" t="s">
        <v>2147</v>
      </c>
      <c r="H38" s="3307" t="s">
        <v>2147</v>
      </c>
      <c r="I38" s="3307" t="s">
        <v>2147</v>
      </c>
      <c r="J38" s="3287">
        <f t="shared" si="0"/>
        <v>3.6151884489651433E-2</v>
      </c>
      <c r="K38" s="3277">
        <v>3.4420904784854711</v>
      </c>
      <c r="M38" s="1656"/>
      <c r="N38" s="4487"/>
      <c r="O38" s="1696"/>
      <c r="P38" s="1693" t="s">
        <v>792</v>
      </c>
      <c r="Q38" s="3776">
        <v>0.76184056717893001</v>
      </c>
      <c r="R38" s="277" t="s">
        <v>2146</v>
      </c>
      <c r="S38" s="277" t="s">
        <v>2146</v>
      </c>
      <c r="T38" s="3147" t="s">
        <v>2153</v>
      </c>
      <c r="U38" s="3147" t="s">
        <v>2146</v>
      </c>
      <c r="V38" s="3147">
        <v>2.0872736873676512E-2</v>
      </c>
      <c r="W38" s="3147" t="s">
        <v>2146</v>
      </c>
      <c r="X38" s="278" t="s">
        <v>2146</v>
      </c>
      <c r="Y38" s="3147">
        <v>0.01</v>
      </c>
      <c r="Z38" s="278" t="s">
        <v>2146</v>
      </c>
      <c r="AA38" s="278" t="s">
        <v>2146</v>
      </c>
      <c r="AB38" s="279" t="s">
        <v>2146</v>
      </c>
    </row>
    <row r="39" spans="2:28" s="84" customFormat="1" ht="18" customHeight="1" thickBot="1" x14ac:dyDescent="0.25">
      <c r="B39" s="1644" t="s">
        <v>825</v>
      </c>
      <c r="C39" s="4184">
        <f>SUM(C40:C44)</f>
        <v>142.828</v>
      </c>
      <c r="D39" s="3294"/>
      <c r="E39" s="3294"/>
      <c r="F39" s="3294"/>
      <c r="G39" s="3294"/>
      <c r="H39" s="3294"/>
      <c r="I39" s="3295"/>
      <c r="J39" s="3287">
        <f t="shared" si="0"/>
        <v>0.35732290249517074</v>
      </c>
      <c r="K39" s="3281">
        <f>SUM(K40:K44)</f>
        <v>5.1035715517580252E-2</v>
      </c>
      <c r="M39" s="1660"/>
      <c r="N39" s="4488"/>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89" t="s">
        <v>817</v>
      </c>
      <c r="N40" s="4490"/>
      <c r="O40" s="1690" t="s">
        <v>802</v>
      </c>
      <c r="P40" s="1691" t="s">
        <v>791</v>
      </c>
      <c r="Q40" s="3774">
        <v>73</v>
      </c>
      <c r="R40" s="300" t="s">
        <v>2146</v>
      </c>
      <c r="S40" s="300" t="s">
        <v>2146</v>
      </c>
      <c r="T40" s="3773" t="s">
        <v>2153</v>
      </c>
      <c r="U40" s="3773" t="s">
        <v>2153</v>
      </c>
      <c r="V40" s="3773">
        <v>23</v>
      </c>
      <c r="W40" s="3773" t="s">
        <v>2153</v>
      </c>
      <c r="X40" s="301" t="s">
        <v>2146</v>
      </c>
      <c r="Y40" s="301" t="s">
        <v>2146</v>
      </c>
      <c r="Z40" s="3773" t="s">
        <v>2146</v>
      </c>
      <c r="AA40" s="301" t="s">
        <v>2146</v>
      </c>
      <c r="AB40" s="3775">
        <v>23</v>
      </c>
    </row>
    <row r="41" spans="2:28" s="84" customFormat="1" ht="18" customHeight="1" x14ac:dyDescent="0.2">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91"/>
      <c r="N41" s="4492"/>
      <c r="O41" s="1692" t="s">
        <v>794</v>
      </c>
      <c r="P41" s="1693" t="s">
        <v>792</v>
      </c>
      <c r="Q41" s="3776">
        <v>65.587591846046394</v>
      </c>
      <c r="R41" s="277" t="s">
        <v>2146</v>
      </c>
      <c r="S41" s="277" t="s">
        <v>2146</v>
      </c>
      <c r="T41" s="3147" t="s">
        <v>2153</v>
      </c>
      <c r="U41" s="3147" t="s">
        <v>2153</v>
      </c>
      <c r="V41" s="3147">
        <v>27.106825801369926</v>
      </c>
      <c r="W41" s="3147" t="s">
        <v>2153</v>
      </c>
      <c r="X41" s="278" t="s">
        <v>2146</v>
      </c>
      <c r="Y41" s="278" t="s">
        <v>2146</v>
      </c>
      <c r="Z41" s="3147">
        <v>5.5784384739900803</v>
      </c>
      <c r="AA41" s="278" t="s">
        <v>2146</v>
      </c>
      <c r="AB41" s="2911">
        <v>22.758422660804602</v>
      </c>
    </row>
    <row r="42" spans="2:28" s="84" customFormat="1" ht="18" customHeight="1" thickBot="1" x14ac:dyDescent="0.25">
      <c r="B42" s="350" t="s">
        <v>828</v>
      </c>
      <c r="C42" s="3307">
        <f>Table3.A!C42</f>
        <v>9.8109999999999999</v>
      </c>
      <c r="D42" s="3325" t="s">
        <v>2146</v>
      </c>
      <c r="E42" s="3325">
        <v>100</v>
      </c>
      <c r="F42" s="3325" t="s">
        <v>2146</v>
      </c>
      <c r="G42" s="3307" t="s">
        <v>2147</v>
      </c>
      <c r="H42" s="3307" t="s">
        <v>2147</v>
      </c>
      <c r="I42" s="3307" t="s">
        <v>2147</v>
      </c>
      <c r="J42" s="3287">
        <f t="shared" si="0"/>
        <v>0.35731837387468801</v>
      </c>
      <c r="K42" s="3277">
        <v>3.5056505660845637E-3</v>
      </c>
      <c r="M42" s="4491"/>
      <c r="N42" s="4492"/>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91"/>
      <c r="N43" s="4492"/>
      <c r="O43" s="1695" t="s">
        <v>2026</v>
      </c>
      <c r="P43" s="1691" t="s">
        <v>791</v>
      </c>
      <c r="Q43" s="3774">
        <v>0.7</v>
      </c>
      <c r="R43" s="300" t="s">
        <v>2146</v>
      </c>
      <c r="S43" s="300" t="s">
        <v>2146</v>
      </c>
      <c r="T43" s="3773" t="s">
        <v>2153</v>
      </c>
      <c r="U43" s="3773" t="s">
        <v>2153</v>
      </c>
      <c r="V43" s="3773">
        <v>1.9130434782608694</v>
      </c>
      <c r="W43" s="3773" t="s">
        <v>2153</v>
      </c>
      <c r="X43" s="301" t="s">
        <v>2146</v>
      </c>
      <c r="Y43" s="301" t="s">
        <v>2146</v>
      </c>
      <c r="Z43" s="3773" t="s">
        <v>2146</v>
      </c>
      <c r="AA43" s="301" t="s">
        <v>2146</v>
      </c>
      <c r="AB43" s="3775">
        <v>3.8695652173910002E-2</v>
      </c>
    </row>
    <row r="44" spans="2:28" s="84" customFormat="1" ht="18" customHeight="1" x14ac:dyDescent="0.2">
      <c r="B44" s="2644" t="s">
        <v>2091</v>
      </c>
      <c r="C44" s="4184">
        <f>C45</f>
        <v>133.017</v>
      </c>
      <c r="D44" s="3294"/>
      <c r="E44" s="3294"/>
      <c r="F44" s="3294"/>
      <c r="G44" s="3294"/>
      <c r="H44" s="3294"/>
      <c r="I44" s="3295"/>
      <c r="J44" s="3287">
        <f t="shared" si="0"/>
        <v>0.35732323651484915</v>
      </c>
      <c r="K44" s="3281">
        <f>K45</f>
        <v>4.7530064951495692E-2</v>
      </c>
      <c r="M44" s="4491"/>
      <c r="N44" s="4492"/>
      <c r="O44" s="1696"/>
      <c r="P44" s="1693" t="s">
        <v>792</v>
      </c>
      <c r="Q44" s="3776">
        <v>0.75473571464886002</v>
      </c>
      <c r="R44" s="277" t="s">
        <v>2146</v>
      </c>
      <c r="S44" s="277" t="s">
        <v>2146</v>
      </c>
      <c r="T44" s="3147" t="s">
        <v>2153</v>
      </c>
      <c r="U44" s="3147" t="s">
        <v>2153</v>
      </c>
      <c r="V44" s="3147">
        <v>1.9106531394105053</v>
      </c>
      <c r="W44" s="3147" t="s">
        <v>2153</v>
      </c>
      <c r="X44" s="278" t="s">
        <v>2146</v>
      </c>
      <c r="Y44" s="278" t="s">
        <v>2146</v>
      </c>
      <c r="Z44" s="3147">
        <v>0.1</v>
      </c>
      <c r="AA44" s="278" t="s">
        <v>2146</v>
      </c>
      <c r="AB44" s="2911">
        <v>3.9402191583939997E-2</v>
      </c>
    </row>
    <row r="45" spans="2:28" s="84" customFormat="1" ht="18" customHeight="1" thickBot="1" x14ac:dyDescent="0.25">
      <c r="B45" s="2648" t="s">
        <v>2199</v>
      </c>
      <c r="C45" s="4186">
        <f>Table3.A!C45</f>
        <v>133.017</v>
      </c>
      <c r="D45" s="3040" t="s">
        <v>2146</v>
      </c>
      <c r="E45" s="3040">
        <v>100</v>
      </c>
      <c r="F45" s="3040" t="s">
        <v>2146</v>
      </c>
      <c r="G45" s="3040" t="s">
        <v>2147</v>
      </c>
      <c r="H45" s="3040" t="s">
        <v>2147</v>
      </c>
      <c r="I45" s="3308" t="s">
        <v>2147</v>
      </c>
      <c r="J45" s="3309">
        <f t="shared" si="0"/>
        <v>0.35732323651484915</v>
      </c>
      <c r="K45" s="3278">
        <v>4.7530064951495692E-2</v>
      </c>
      <c r="M45" s="4493"/>
      <c r="N45" s="4494"/>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89" t="s">
        <v>2206</v>
      </c>
      <c r="N46" s="4490"/>
      <c r="O46" s="1690" t="s">
        <v>802</v>
      </c>
      <c r="P46" s="1691" t="s">
        <v>791</v>
      </c>
      <c r="Q46" s="299" t="s">
        <v>2146</v>
      </c>
      <c r="R46" s="300" t="s">
        <v>2146</v>
      </c>
      <c r="S46" s="300" t="s">
        <v>2146</v>
      </c>
      <c r="T46" s="3773">
        <v>63.681136277258396</v>
      </c>
      <c r="U46" s="3773" t="s">
        <v>2146</v>
      </c>
      <c r="V46" s="3773" t="s">
        <v>2146</v>
      </c>
      <c r="W46" s="3773" t="s">
        <v>2153</v>
      </c>
      <c r="X46" s="3773">
        <v>1.5055887999803901</v>
      </c>
      <c r="Y46" s="3773">
        <v>14.986721951808001</v>
      </c>
      <c r="Z46" s="3773">
        <v>1.1097328847500501</v>
      </c>
      <c r="AA46" s="301" t="s">
        <v>2146</v>
      </c>
      <c r="AB46" s="3775">
        <v>98.494411200019599</v>
      </c>
    </row>
    <row r="47" spans="2:28" s="84" customFormat="1" ht="13.5" x14ac:dyDescent="0.2">
      <c r="B47" s="313"/>
      <c r="C47" s="1645"/>
      <c r="D47" s="1645"/>
      <c r="E47" s="1645"/>
      <c r="F47" s="1645"/>
      <c r="G47" s="1645"/>
      <c r="H47" s="1645"/>
      <c r="I47" s="1645"/>
      <c r="J47" s="1645"/>
      <c r="K47" s="1645"/>
      <c r="M47" s="4491"/>
      <c r="N47" s="4492"/>
      <c r="O47" s="1692" t="s">
        <v>794</v>
      </c>
      <c r="P47" s="1693" t="s">
        <v>792</v>
      </c>
      <c r="Q47" s="302" t="s">
        <v>2146</v>
      </c>
      <c r="R47" s="277" t="s">
        <v>2146</v>
      </c>
      <c r="S47" s="277" t="s">
        <v>2146</v>
      </c>
      <c r="T47" s="3147">
        <v>43.306357304561431</v>
      </c>
      <c r="U47" s="3147" t="s">
        <v>2146</v>
      </c>
      <c r="V47" s="3147" t="s">
        <v>2146</v>
      </c>
      <c r="W47" s="3147" t="s">
        <v>2153</v>
      </c>
      <c r="X47" s="3147">
        <v>2.6914778266331498</v>
      </c>
      <c r="Y47" s="3147">
        <v>18.796772994777299</v>
      </c>
      <c r="Z47" s="3147">
        <v>0.22910508262736001</v>
      </c>
      <c r="AA47" s="278" t="s">
        <v>2146</v>
      </c>
      <c r="AB47" s="2911">
        <v>97.308522173366896</v>
      </c>
    </row>
    <row r="48" spans="2:28" s="84" customFormat="1" ht="14.25" thickBot="1" x14ac:dyDescent="0.25">
      <c r="B48" s="1020"/>
      <c r="C48" s="1646"/>
      <c r="D48" s="1646"/>
      <c r="E48" s="1646"/>
      <c r="F48" s="1646"/>
      <c r="G48" s="1646"/>
      <c r="H48" s="1646"/>
      <c r="I48" s="1646"/>
      <c r="J48" s="1646"/>
      <c r="K48" s="1646"/>
      <c r="M48" s="4491"/>
      <c r="N48" s="4492"/>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91"/>
      <c r="N49" s="4492"/>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3.5" x14ac:dyDescent="0.2">
      <c r="B50" s="72"/>
      <c r="C50" s="313"/>
      <c r="D50" s="313"/>
      <c r="E50" s="313"/>
      <c r="F50" s="313"/>
      <c r="G50" s="313"/>
      <c r="H50" s="313"/>
      <c r="I50" s="313"/>
      <c r="J50" s="313"/>
      <c r="K50" s="313"/>
      <c r="M50" s="4491"/>
      <c r="N50" s="4492"/>
      <c r="O50" s="1696"/>
      <c r="P50" s="1693" t="s">
        <v>792</v>
      </c>
      <c r="Q50" s="302" t="s">
        <v>2146</v>
      </c>
      <c r="R50" s="277" t="s">
        <v>2146</v>
      </c>
      <c r="S50" s="277" t="s">
        <v>2146</v>
      </c>
      <c r="T50" s="3147">
        <v>2.0000000000000004E-2</v>
      </c>
      <c r="U50" s="3147" t="s">
        <v>2146</v>
      </c>
      <c r="V50" s="3147" t="s">
        <v>2146</v>
      </c>
      <c r="W50" s="3147" t="s">
        <v>2153</v>
      </c>
      <c r="X50" s="3147">
        <v>1.42371660154E-2</v>
      </c>
      <c r="Y50" s="3147">
        <v>0.01</v>
      </c>
      <c r="Z50" s="3147">
        <v>0.1</v>
      </c>
      <c r="AA50" s="278" t="s">
        <v>2146</v>
      </c>
      <c r="AB50" s="2911">
        <v>1.4999999999999999E-2</v>
      </c>
    </row>
    <row r="51" spans="2:28" s="84" customFormat="1" ht="14.25" thickBot="1" x14ac:dyDescent="0.25">
      <c r="B51" s="1058"/>
      <c r="C51" s="1646"/>
      <c r="D51" s="1646"/>
      <c r="E51" s="1646"/>
      <c r="F51" s="1646"/>
      <c r="G51" s="1646"/>
      <c r="H51" s="1646"/>
      <c r="I51" s="1646"/>
      <c r="J51" s="1646"/>
      <c r="K51" s="1646"/>
      <c r="M51" s="4493"/>
      <c r="N51" s="4494"/>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89" t="s">
        <v>2204</v>
      </c>
      <c r="N52" s="4490"/>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91"/>
      <c r="N53" s="4492"/>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91"/>
      <c r="N54" s="4492"/>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91"/>
      <c r="N55" s="4492"/>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91"/>
      <c r="N56" s="4492"/>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93"/>
      <c r="N57" s="4494"/>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89" t="s">
        <v>2205</v>
      </c>
      <c r="N58" s="4490"/>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91"/>
      <c r="N59" s="4492"/>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91"/>
      <c r="N60" s="4492"/>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91"/>
      <c r="N61" s="4492"/>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91"/>
      <c r="N62" s="4492"/>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93"/>
      <c r="N63" s="4494"/>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83" t="s">
        <v>2207</v>
      </c>
      <c r="C64" s="4484"/>
      <c r="D64" s="4484"/>
      <c r="E64" s="4484"/>
      <c r="F64" s="4484"/>
      <c r="G64" s="4484"/>
      <c r="H64" s="4484"/>
      <c r="I64" s="4484"/>
      <c r="J64" s="4484"/>
      <c r="K64" s="4485"/>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2"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9">
        <f>C15</f>
        <v>27013.671000000002</v>
      </c>
      <c r="D10" s="3490"/>
      <c r="E10" s="3491"/>
      <c r="F10" s="3478">
        <f>F15</f>
        <v>30877214.03340612</v>
      </c>
      <c r="G10" s="3478" t="str">
        <f t="shared" ref="G10:R10" si="0">G15</f>
        <v>NO</v>
      </c>
      <c r="H10" s="3478">
        <f t="shared" si="0"/>
        <v>7090196.5668463698</v>
      </c>
      <c r="I10" s="3478">
        <f t="shared" si="0"/>
        <v>8071583.574095699</v>
      </c>
      <c r="J10" s="3478" t="str">
        <f t="shared" si="0"/>
        <v>NO</v>
      </c>
      <c r="K10" s="3478">
        <f t="shared" si="0"/>
        <v>81841133.027568534</v>
      </c>
      <c r="L10" s="3478">
        <f t="shared" si="0"/>
        <v>9732816.3924708404</v>
      </c>
      <c r="M10" s="3478">
        <f t="shared" si="0"/>
        <v>1103859000.2538829</v>
      </c>
      <c r="N10" s="3478">
        <f t="shared" si="0"/>
        <v>9732816.3924708404</v>
      </c>
      <c r="O10" s="3478" t="str">
        <f t="shared" si="0"/>
        <v>NO</v>
      </c>
      <c r="P10" s="3478" t="str">
        <f t="shared" si="0"/>
        <v>NO</v>
      </c>
      <c r="Q10" s="3478" t="str">
        <f t="shared" si="0"/>
        <v>NO</v>
      </c>
      <c r="R10" s="3478">
        <f t="shared" si="0"/>
        <v>1251204760.2407413</v>
      </c>
      <c r="S10" s="2651"/>
      <c r="T10" s="2652"/>
      <c r="U10" s="3456">
        <f>IF(SUM(X10)=0,"NA",X10*1000/C10)</f>
        <v>3.3396077153764983E-2</v>
      </c>
      <c r="V10" s="3448"/>
      <c r="W10" s="3449"/>
      <c r="X10" s="3311">
        <f t="shared" ref="X10" si="1">X15</f>
        <v>0.9021506409224237</v>
      </c>
      <c r="Y10" s="3363"/>
      <c r="Z10" s="3450"/>
    </row>
    <row r="11" spans="1:26" ht="18" customHeight="1" x14ac:dyDescent="0.2">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
      <c r="B15" s="350" t="s">
        <v>805</v>
      </c>
      <c r="C15" s="3314">
        <f>C20</f>
        <v>27013.671000000002</v>
      </c>
      <c r="D15" s="3493"/>
      <c r="E15" s="3493"/>
      <c r="F15" s="2649">
        <f>F20</f>
        <v>30877214.03340612</v>
      </c>
      <c r="G15" s="2649" t="str">
        <f t="shared" ref="G15:R15" si="2">G20</f>
        <v>NO</v>
      </c>
      <c r="H15" s="2649">
        <f t="shared" si="2"/>
        <v>7090196.5668463698</v>
      </c>
      <c r="I15" s="2649">
        <f t="shared" si="2"/>
        <v>8071583.574095699</v>
      </c>
      <c r="J15" s="2649" t="str">
        <f t="shared" si="2"/>
        <v>NO</v>
      </c>
      <c r="K15" s="2649">
        <f t="shared" si="2"/>
        <v>81841133.027568534</v>
      </c>
      <c r="L15" s="2649">
        <f t="shared" si="2"/>
        <v>9732816.3924708404</v>
      </c>
      <c r="M15" s="2649">
        <f t="shared" si="2"/>
        <v>1103859000.2538829</v>
      </c>
      <c r="N15" s="2649">
        <f t="shared" si="2"/>
        <v>9732816.3924708404</v>
      </c>
      <c r="O15" s="2649" t="str">
        <f t="shared" si="2"/>
        <v>NO</v>
      </c>
      <c r="P15" s="2649" t="str">
        <f t="shared" si="2"/>
        <v>NO</v>
      </c>
      <c r="Q15" s="2649" t="str">
        <f t="shared" si="2"/>
        <v>NO</v>
      </c>
      <c r="R15" s="2649">
        <f t="shared" si="2"/>
        <v>1251204760.2407413</v>
      </c>
      <c r="S15" s="2657"/>
      <c r="T15" s="2658"/>
      <c r="U15" s="3456">
        <f>IF(SUM(X15)=0,"NA",X15*1000/C15)</f>
        <v>3.3396077153764983E-2</v>
      </c>
      <c r="V15" s="3454"/>
      <c r="W15" s="3455"/>
      <c r="X15" s="3314">
        <f t="shared" ref="X15" si="3">X20</f>
        <v>0.9021506409224237</v>
      </c>
      <c r="Y15" s="3173"/>
      <c r="Z15" s="3457"/>
    </row>
    <row r="16" spans="1:26" ht="18" customHeight="1" x14ac:dyDescent="0.2">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
      <c r="B20" s="1740" t="s">
        <v>810</v>
      </c>
      <c r="C20" s="3314">
        <f>IF(SUM(C21:C23)=0,"NO",SUM(C21:C23))</f>
        <v>27013.671000000002</v>
      </c>
      <c r="D20" s="3492"/>
      <c r="E20" s="3492"/>
      <c r="F20" s="2649">
        <f>IF(SUM(F21:F23)=0,"NO",SUM(F21:F23))</f>
        <v>30877214.03340612</v>
      </c>
      <c r="G20" s="2649" t="str">
        <f t="shared" ref="G20:Q20" si="6">IF(SUM(G21:G23)=0,"NO",SUM(G21:G23))</f>
        <v>NO</v>
      </c>
      <c r="H20" s="2649">
        <f t="shared" si="6"/>
        <v>7090196.5668463698</v>
      </c>
      <c r="I20" s="2649">
        <f t="shared" si="6"/>
        <v>8071583.574095699</v>
      </c>
      <c r="J20" s="2649" t="str">
        <f t="shared" si="6"/>
        <v>NO</v>
      </c>
      <c r="K20" s="2649">
        <f t="shared" si="6"/>
        <v>81841133.027568534</v>
      </c>
      <c r="L20" s="2649">
        <f t="shared" si="6"/>
        <v>9732816.3924708404</v>
      </c>
      <c r="M20" s="2649">
        <f t="shared" si="6"/>
        <v>1103859000.2538829</v>
      </c>
      <c r="N20" s="2649">
        <f t="shared" si="6"/>
        <v>9732816.3924708404</v>
      </c>
      <c r="O20" s="2649" t="str">
        <f t="shared" si="6"/>
        <v>NO</v>
      </c>
      <c r="P20" s="2649" t="str">
        <f t="shared" si="6"/>
        <v>NO</v>
      </c>
      <c r="Q20" s="2649" t="str">
        <f t="shared" si="6"/>
        <v>NO</v>
      </c>
      <c r="R20" s="3482">
        <f>IF(SUM(F20:Q20)=0,"NO",SUM(F20:Q20))</f>
        <v>1251204760.2407413</v>
      </c>
      <c r="S20" s="2657"/>
      <c r="T20" s="2658"/>
      <c r="U20" s="3456">
        <f t="shared" si="4"/>
        <v>3.3396077153764983E-2</v>
      </c>
      <c r="V20" s="3454"/>
      <c r="W20" s="3455"/>
      <c r="X20" s="3314">
        <f t="shared" ref="X20" si="7">IF(SUM(X21:X23)=0,"NO",SUM(X21:X23))</f>
        <v>0.9021506409224237</v>
      </c>
      <c r="Y20" s="3173"/>
      <c r="Z20" s="3457"/>
    </row>
    <row r="21" spans="2:26" ht="18" customHeight="1" x14ac:dyDescent="0.2">
      <c r="B21" s="2647" t="s">
        <v>2196</v>
      </c>
      <c r="C21" s="3495">
        <f>Table3.A!C21</f>
        <v>2742.9279999999999</v>
      </c>
      <c r="D21" s="3307">
        <v>124.32076452394877</v>
      </c>
      <c r="E21" s="3494">
        <f>'Table3.B(a)'!G21</f>
        <v>450.04839208744897</v>
      </c>
      <c r="F21" s="3479">
        <v>29653028.837159399</v>
      </c>
      <c r="G21" s="3479" t="s">
        <v>2146</v>
      </c>
      <c r="H21" s="3479">
        <v>7090196.5668463698</v>
      </c>
      <c r="I21" s="3479">
        <v>8071583.574095699</v>
      </c>
      <c r="J21" s="3479" t="s">
        <v>2146</v>
      </c>
      <c r="K21" s="3479" t="s">
        <v>2153</v>
      </c>
      <c r="L21" s="3479" t="s">
        <v>2146</v>
      </c>
      <c r="M21" s="3479">
        <v>296188137.99010801</v>
      </c>
      <c r="N21" s="3479" t="s">
        <v>2146</v>
      </c>
      <c r="O21" s="3479" t="s">
        <v>2146</v>
      </c>
      <c r="P21" s="3479" t="s">
        <v>2146</v>
      </c>
      <c r="Q21" s="3479" t="s">
        <v>2146</v>
      </c>
      <c r="R21" s="3482">
        <f t="shared" ref="R21:R45" si="8">IF(SUM(F21:Q21)=0,"NO",SUM(F21:Q21))</f>
        <v>341002946.96820951</v>
      </c>
      <c r="S21" s="2657"/>
      <c r="T21" s="2658"/>
      <c r="U21" s="3456">
        <f t="shared" si="4"/>
        <v>2.3121126484194135E-2</v>
      </c>
      <c r="V21" s="3454"/>
      <c r="W21" s="3455"/>
      <c r="X21" s="3315">
        <v>6.3419585225037642E-2</v>
      </c>
      <c r="Y21" s="3173"/>
      <c r="Z21" s="3457"/>
    </row>
    <row r="22" spans="2:26" ht="18" customHeight="1" x14ac:dyDescent="0.2">
      <c r="B22" s="2647" t="s">
        <v>2197</v>
      </c>
      <c r="C22" s="3495">
        <f>Table3.A!C22</f>
        <v>23334.113000000001</v>
      </c>
      <c r="D22" s="3307">
        <v>34.613309387397358</v>
      </c>
      <c r="E22" s="3494">
        <f>'Table3.B(a)'!G22</f>
        <v>358.35004154791199</v>
      </c>
      <c r="F22" s="3483" t="s">
        <v>2146</v>
      </c>
      <c r="G22" s="3479" t="s">
        <v>2146</v>
      </c>
      <c r="H22" s="3483" t="s">
        <v>2146</v>
      </c>
      <c r="I22" s="3483" t="s">
        <v>2146</v>
      </c>
      <c r="J22" s="3483" t="s">
        <v>2146</v>
      </c>
      <c r="K22" s="3483" t="s">
        <v>2146</v>
      </c>
      <c r="L22" s="3483" t="s">
        <v>2146</v>
      </c>
      <c r="M22" s="3483">
        <v>807670862.26377499</v>
      </c>
      <c r="N22" s="3483" t="s">
        <v>2146</v>
      </c>
      <c r="O22" s="3483" t="s">
        <v>2146</v>
      </c>
      <c r="P22" s="3483" t="s">
        <v>2146</v>
      </c>
      <c r="Q22" s="3483" t="s">
        <v>2146</v>
      </c>
      <c r="R22" s="3482">
        <f t="shared" si="8"/>
        <v>807670862.26377499</v>
      </c>
      <c r="S22" s="2657"/>
      <c r="T22" s="2658"/>
      <c r="U22" s="3456" t="str">
        <f>IF(SUM(X22)=0,"NA",X22*1000/C22)</f>
        <v>NA</v>
      </c>
      <c r="V22" s="3454"/>
      <c r="W22" s="3455"/>
      <c r="X22" s="3315" t="s">
        <v>2147</v>
      </c>
      <c r="Y22" s="3173"/>
      <c r="Z22" s="3457"/>
    </row>
    <row r="23" spans="2:26" ht="18" customHeight="1" x14ac:dyDescent="0.2">
      <c r="B23" s="2647" t="s">
        <v>2198</v>
      </c>
      <c r="C23" s="3495">
        <f>Table3.A!C23</f>
        <v>936.63</v>
      </c>
      <c r="D23" s="3307">
        <v>72.611700857204696</v>
      </c>
      <c r="E23" s="3494">
        <f>'Table3.B(a)'!G23</f>
        <v>536.87463798096803</v>
      </c>
      <c r="F23" s="3483">
        <v>1224185.1962467199</v>
      </c>
      <c r="G23" s="3479" t="s">
        <v>2146</v>
      </c>
      <c r="H23" s="3483" t="s">
        <v>2146</v>
      </c>
      <c r="I23" s="3483" t="s">
        <v>2153</v>
      </c>
      <c r="J23" s="3483" t="s">
        <v>2153</v>
      </c>
      <c r="K23" s="3483">
        <v>81841133.027568534</v>
      </c>
      <c r="L23" s="3483">
        <v>9732816.3924708404</v>
      </c>
      <c r="M23" s="3483" t="s">
        <v>2146</v>
      </c>
      <c r="N23" s="3483">
        <v>9732816.3924708404</v>
      </c>
      <c r="O23" s="3483" t="s">
        <v>2146</v>
      </c>
      <c r="P23" s="3483" t="s">
        <v>2146</v>
      </c>
      <c r="Q23" s="3483" t="s">
        <v>2146</v>
      </c>
      <c r="R23" s="3482">
        <f t="shared" si="8"/>
        <v>102530951.00875692</v>
      </c>
      <c r="S23" s="2657"/>
      <c r="T23" s="2658"/>
      <c r="U23" s="3456">
        <f t="shared" ref="U23:U30" si="9">IF(SUM(X23)=0,"NA",X23*1000/C23)</f>
        <v>0.89547746249574123</v>
      </c>
      <c r="V23" s="3454"/>
      <c r="W23" s="3455"/>
      <c r="X23" s="3315">
        <v>0.83873105569738604</v>
      </c>
      <c r="Y23" s="3173"/>
      <c r="Z23" s="3457"/>
    </row>
    <row r="24" spans="2:26" ht="18" customHeight="1" x14ac:dyDescent="0.2">
      <c r="B24" s="351" t="s">
        <v>811</v>
      </c>
      <c r="C24" s="3314">
        <f>C25</f>
        <v>70866.582999999999</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490427645.32142198</v>
      </c>
      <c r="N24" s="2649" t="str">
        <f t="shared" si="10"/>
        <v>NO</v>
      </c>
      <c r="O24" s="2649" t="str">
        <f t="shared" si="10"/>
        <v>NO</v>
      </c>
      <c r="P24" s="2649" t="str">
        <f t="shared" si="10"/>
        <v>NO</v>
      </c>
      <c r="Q24" s="2649" t="str">
        <f t="shared" si="10"/>
        <v>NO</v>
      </c>
      <c r="R24" s="3482">
        <f t="shared" si="8"/>
        <v>490427645.32142198</v>
      </c>
      <c r="S24" s="2657"/>
      <c r="T24" s="2658"/>
      <c r="U24" s="3456" t="str">
        <f t="shared" si="9"/>
        <v>NA</v>
      </c>
      <c r="V24" s="3454"/>
      <c r="W24" s="3455"/>
      <c r="X24" s="3314" t="str">
        <f t="shared" ref="X24:X25" si="11">X25</f>
        <v>NA</v>
      </c>
      <c r="Y24" s="3173"/>
      <c r="Z24" s="3457"/>
    </row>
    <row r="25" spans="2:26" ht="18" customHeight="1" x14ac:dyDescent="0.2">
      <c r="B25" s="350" t="s">
        <v>812</v>
      </c>
      <c r="C25" s="3314">
        <f>C26</f>
        <v>70866.582999999999</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490427645.32142198</v>
      </c>
      <c r="N25" s="2649" t="str">
        <f t="shared" si="10"/>
        <v>NO</v>
      </c>
      <c r="O25" s="2649" t="str">
        <f t="shared" si="10"/>
        <v>NO</v>
      </c>
      <c r="P25" s="2649" t="str">
        <f t="shared" si="10"/>
        <v>NO</v>
      </c>
      <c r="Q25" s="2649" t="str">
        <f t="shared" si="10"/>
        <v>NO</v>
      </c>
      <c r="R25" s="3482">
        <f t="shared" si="8"/>
        <v>490427645.32142198</v>
      </c>
      <c r="S25" s="2657"/>
      <c r="T25" s="2658"/>
      <c r="U25" s="3456" t="str">
        <f t="shared" si="9"/>
        <v>NA</v>
      </c>
      <c r="V25" s="3454"/>
      <c r="W25" s="3455"/>
      <c r="X25" s="3314" t="str">
        <f t="shared" si="11"/>
        <v>NA</v>
      </c>
      <c r="Y25" s="3173"/>
      <c r="Z25" s="3457"/>
    </row>
    <row r="26" spans="2:26" ht="18" customHeight="1" x14ac:dyDescent="0.2">
      <c r="B26" s="2642" t="s">
        <v>2201</v>
      </c>
      <c r="C26" s="3495">
        <f>Table3.A!C26</f>
        <v>70866.582999999999</v>
      </c>
      <c r="D26" s="3307">
        <v>6.9204358676016042</v>
      </c>
      <c r="E26" s="3494">
        <f>'Table3.B(a)'!G26</f>
        <v>43.847692834546002</v>
      </c>
      <c r="F26" s="3483" t="s">
        <v>2146</v>
      </c>
      <c r="G26" s="3479" t="s">
        <v>2146</v>
      </c>
      <c r="H26" s="3483" t="s">
        <v>2146</v>
      </c>
      <c r="I26" s="3483" t="s">
        <v>2146</v>
      </c>
      <c r="J26" s="3483" t="s">
        <v>2146</v>
      </c>
      <c r="K26" s="3483" t="s">
        <v>2146</v>
      </c>
      <c r="L26" s="3483" t="s">
        <v>2146</v>
      </c>
      <c r="M26" s="3479">
        <v>490427645.32142198</v>
      </c>
      <c r="N26" s="3483" t="s">
        <v>2146</v>
      </c>
      <c r="O26" s="3483" t="s">
        <v>2146</v>
      </c>
      <c r="P26" s="3483" t="s">
        <v>2146</v>
      </c>
      <c r="Q26" s="3483" t="s">
        <v>2146</v>
      </c>
      <c r="R26" s="3482">
        <f t="shared" si="8"/>
        <v>490427645.32142198</v>
      </c>
      <c r="S26" s="2657"/>
      <c r="T26" s="2658"/>
      <c r="U26" s="3456" t="str">
        <f t="shared" si="9"/>
        <v>NA</v>
      </c>
      <c r="V26" s="3454"/>
      <c r="W26" s="3455"/>
      <c r="X26" s="3315" t="s">
        <v>2147</v>
      </c>
      <c r="Y26" s="3173"/>
      <c r="Z26" s="3457"/>
    </row>
    <row r="27" spans="2:26" ht="18" customHeight="1" x14ac:dyDescent="0.2">
      <c r="B27" s="351" t="s">
        <v>814</v>
      </c>
      <c r="C27" s="3314">
        <f>C28</f>
        <v>2320.279</v>
      </c>
      <c r="D27" s="3492"/>
      <c r="E27" s="3492"/>
      <c r="F27" s="2649">
        <f>F28</f>
        <v>19859965.2581379</v>
      </c>
      <c r="G27" s="2649" t="str">
        <f t="shared" ref="G27:G28" si="12">G28</f>
        <v>NO</v>
      </c>
      <c r="H27" s="2649" t="str">
        <f t="shared" ref="H27:H28" si="13">H28</f>
        <v>NO</v>
      </c>
      <c r="I27" s="2649" t="str">
        <f t="shared" ref="I27:I28" si="14">I28</f>
        <v>IE</v>
      </c>
      <c r="J27" s="2649" t="str">
        <f t="shared" ref="J27:J28" si="15">J28</f>
        <v>IE</v>
      </c>
      <c r="K27" s="2649">
        <f t="shared" ref="K27:K28" si="16">K28</f>
        <v>7200193.7985703247</v>
      </c>
      <c r="L27" s="2649" t="str">
        <f t="shared" ref="L27:L28" si="17">L28</f>
        <v>IE</v>
      </c>
      <c r="M27" s="2649" t="str">
        <f t="shared" ref="M27:M28" si="18">M28</f>
        <v>NO</v>
      </c>
      <c r="N27" s="2649" t="str">
        <f t="shared" ref="N27:N28" si="19">N28</f>
        <v>NO</v>
      </c>
      <c r="O27" s="2649">
        <f t="shared" ref="O27:O28" si="20">O28</f>
        <v>1579016.1191964101</v>
      </c>
      <c r="P27" s="2649" t="str">
        <f t="shared" ref="P27:P28" si="21">P28</f>
        <v>NO</v>
      </c>
      <c r="Q27" s="2649">
        <f t="shared" ref="Q27:Q28" si="22">Q28</f>
        <v>6487720.3027101504</v>
      </c>
      <c r="R27" s="3482">
        <f t="shared" si="8"/>
        <v>35126895.478614785</v>
      </c>
      <c r="S27" s="2657"/>
      <c r="T27" s="2658"/>
      <c r="U27" s="3456">
        <f t="shared" si="9"/>
        <v>8.0460474878589094E-2</v>
      </c>
      <c r="V27" s="3454"/>
      <c r="W27" s="3455"/>
      <c r="X27" s="3314">
        <f t="shared" ref="X27:X28" si="23">X28</f>
        <v>0.18669075019081782</v>
      </c>
      <c r="Y27" s="3173"/>
      <c r="Z27" s="3457"/>
    </row>
    <row r="28" spans="2:26" ht="18" customHeight="1" x14ac:dyDescent="0.2">
      <c r="B28" s="350" t="s">
        <v>815</v>
      </c>
      <c r="C28" s="3314">
        <f>C29</f>
        <v>2320.279</v>
      </c>
      <c r="D28" s="3492"/>
      <c r="E28" s="3492"/>
      <c r="F28" s="2649">
        <f>F29</f>
        <v>19859965.2581379</v>
      </c>
      <c r="G28" s="2649" t="str">
        <f t="shared" si="12"/>
        <v>NO</v>
      </c>
      <c r="H28" s="2649" t="str">
        <f t="shared" si="13"/>
        <v>NO</v>
      </c>
      <c r="I28" s="2649" t="str">
        <f t="shared" si="14"/>
        <v>IE</v>
      </c>
      <c r="J28" s="2649" t="str">
        <f t="shared" si="15"/>
        <v>IE</v>
      </c>
      <c r="K28" s="2649">
        <f t="shared" si="16"/>
        <v>7200193.7985703247</v>
      </c>
      <c r="L28" s="2649" t="str">
        <f t="shared" si="17"/>
        <v>IE</v>
      </c>
      <c r="M28" s="2649" t="str">
        <f t="shared" si="18"/>
        <v>NO</v>
      </c>
      <c r="N28" s="2649" t="str">
        <f t="shared" si="19"/>
        <v>NO</v>
      </c>
      <c r="O28" s="2649">
        <f t="shared" si="20"/>
        <v>1579016.1191964101</v>
      </c>
      <c r="P28" s="2649" t="str">
        <f t="shared" si="21"/>
        <v>NO</v>
      </c>
      <c r="Q28" s="2649">
        <f t="shared" si="22"/>
        <v>6487720.3027101504</v>
      </c>
      <c r="R28" s="3482">
        <f t="shared" si="8"/>
        <v>35126895.478614785</v>
      </c>
      <c r="S28" s="2657"/>
      <c r="T28" s="2658"/>
      <c r="U28" s="3456">
        <f t="shared" si="9"/>
        <v>8.0460474878589094E-2</v>
      </c>
      <c r="V28" s="3454"/>
      <c r="W28" s="3455"/>
      <c r="X28" s="3314">
        <f t="shared" si="23"/>
        <v>0.18669075019081782</v>
      </c>
      <c r="Y28" s="3173"/>
      <c r="Z28" s="3457"/>
    </row>
    <row r="29" spans="2:26" ht="18" customHeight="1" x14ac:dyDescent="0.2">
      <c r="B29" s="2642" t="s">
        <v>817</v>
      </c>
      <c r="C29" s="3495">
        <f>Table3.A!C29</f>
        <v>2320.279</v>
      </c>
      <c r="D29" s="3307">
        <v>12.186225906821374</v>
      </c>
      <c r="E29" s="3494">
        <f>'Table3.B(a)'!G29</f>
        <v>56.614268553993398</v>
      </c>
      <c r="F29" s="3479">
        <v>19859965.2581379</v>
      </c>
      <c r="G29" s="3479" t="s">
        <v>2146</v>
      </c>
      <c r="H29" s="3479" t="s">
        <v>2146</v>
      </c>
      <c r="I29" s="3479" t="s">
        <v>2153</v>
      </c>
      <c r="J29" s="3479" t="s">
        <v>2153</v>
      </c>
      <c r="K29" s="3479">
        <v>7200193.7985703247</v>
      </c>
      <c r="L29" s="3479" t="s">
        <v>2153</v>
      </c>
      <c r="M29" s="3479" t="s">
        <v>2146</v>
      </c>
      <c r="N29" s="3479" t="s">
        <v>2146</v>
      </c>
      <c r="O29" s="3479">
        <v>1579016.1191964101</v>
      </c>
      <c r="P29" s="3479" t="s">
        <v>2146</v>
      </c>
      <c r="Q29" s="3479">
        <v>6487720.3027101504</v>
      </c>
      <c r="R29" s="3482">
        <f t="shared" si="8"/>
        <v>35126895.478614785</v>
      </c>
      <c r="S29" s="2657"/>
      <c r="T29" s="2658"/>
      <c r="U29" s="3456">
        <f t="shared" si="9"/>
        <v>8.0460474878589094E-2</v>
      </c>
      <c r="V29" s="3454"/>
      <c r="W29" s="3455"/>
      <c r="X29" s="3315">
        <v>0.18669075019081782</v>
      </c>
      <c r="Y29" s="3173"/>
      <c r="Z29" s="3457"/>
    </row>
    <row r="30" spans="2:26" ht="18" customHeight="1" x14ac:dyDescent="0.2">
      <c r="B30" s="351" t="s">
        <v>861</v>
      </c>
      <c r="C30" s="3314">
        <f>IF(SUM(C32:C39)=0,"NO",SUM(C32:C39))</f>
        <v>96076.285999999993</v>
      </c>
      <c r="D30" s="3492"/>
      <c r="E30" s="3492"/>
      <c r="F30" s="2649" t="str">
        <f>IF(SUM(F32:F39)=0,"NO",SUM(F32:F39))</f>
        <v>NO</v>
      </c>
      <c r="G30" s="2649" t="str">
        <f t="shared" ref="G30:Q30" si="24">IF(SUM(G32:G39)=0,"NO",SUM(G32:G39))</f>
        <v>NO</v>
      </c>
      <c r="H30" s="2649" t="str">
        <f t="shared" si="24"/>
        <v>NO</v>
      </c>
      <c r="I30" s="2649">
        <f t="shared" si="24"/>
        <v>22723324.745054021</v>
      </c>
      <c r="J30" s="2649" t="str">
        <f t="shared" si="24"/>
        <v>NO</v>
      </c>
      <c r="K30" s="2649" t="str">
        <f t="shared" si="24"/>
        <v>NO</v>
      </c>
      <c r="L30" s="2649" t="str">
        <f t="shared" si="24"/>
        <v>NO</v>
      </c>
      <c r="M30" s="2649">
        <f t="shared" si="24"/>
        <v>15434320.88001645</v>
      </c>
      <c r="N30" s="2649">
        <f t="shared" si="24"/>
        <v>9849185.6937607601</v>
      </c>
      <c r="O30" s="2649">
        <f t="shared" si="24"/>
        <v>122086.312127383</v>
      </c>
      <c r="P30" s="2649" t="str">
        <f t="shared" si="24"/>
        <v>NO</v>
      </c>
      <c r="Q30" s="2649">
        <f t="shared" si="24"/>
        <v>61230387.7488373</v>
      </c>
      <c r="R30" s="3482">
        <f t="shared" si="8"/>
        <v>109359305.37979591</v>
      </c>
      <c r="S30" s="2657"/>
      <c r="T30" s="2658"/>
      <c r="U30" s="3456">
        <f t="shared" si="9"/>
        <v>4.4707442948421607E-3</v>
      </c>
      <c r="V30" s="3454"/>
      <c r="W30" s="3455"/>
      <c r="X30" s="3314">
        <f t="shared" ref="X30" si="25">IF(SUM(X32:X39)=0,"NO",SUM(X32:X39))</f>
        <v>0.4295325075041237</v>
      </c>
      <c r="Y30" s="3173"/>
      <c r="Z30" s="3457"/>
    </row>
    <row r="31" spans="2:26" ht="18" customHeight="1" x14ac:dyDescent="0.2">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
      <c r="B32" s="350" t="s">
        <v>818</v>
      </c>
      <c r="C32" s="3495">
        <f>Table3.A!C32</f>
        <v>5.1520000000000001</v>
      </c>
      <c r="D32" s="3307">
        <v>39.5</v>
      </c>
      <c r="E32" s="3494" t="str">
        <f>'Table3.B(a)'!G32</f>
        <v>NA</v>
      </c>
      <c r="F32" s="3479" t="s">
        <v>2146</v>
      </c>
      <c r="G32" s="3479" t="s">
        <v>2146</v>
      </c>
      <c r="H32" s="3479" t="s">
        <v>2146</v>
      </c>
      <c r="I32" s="3479" t="s">
        <v>2146</v>
      </c>
      <c r="J32" s="3479" t="s">
        <v>2146</v>
      </c>
      <c r="K32" s="3479" t="s">
        <v>2146</v>
      </c>
      <c r="L32" s="3479" t="s">
        <v>2146</v>
      </c>
      <c r="M32" s="3479">
        <v>203520.53326113807</v>
      </c>
      <c r="N32" s="3479" t="s">
        <v>2146</v>
      </c>
      <c r="O32" s="3479" t="s">
        <v>2146</v>
      </c>
      <c r="P32" s="3479" t="s">
        <v>2146</v>
      </c>
      <c r="Q32" s="3479" t="s">
        <v>2146</v>
      </c>
      <c r="R32" s="3482">
        <f t="shared" si="8"/>
        <v>203520.53326113807</v>
      </c>
      <c r="S32" s="2657"/>
      <c r="T32" s="2658"/>
      <c r="U32" s="3456" t="str">
        <f>IF(SUM(X32)=0,"NA",X32*1000/C32)</f>
        <v>NA</v>
      </c>
      <c r="V32" s="3454"/>
      <c r="W32" s="3455"/>
      <c r="X32" s="3315" t="s">
        <v>2147</v>
      </c>
      <c r="Y32" s="3173"/>
      <c r="Z32" s="3457"/>
    </row>
    <row r="33" spans="2:26" ht="18" customHeight="1" x14ac:dyDescent="0.2">
      <c r="B33" s="350" t="s">
        <v>819</v>
      </c>
      <c r="C33" s="3495">
        <f>Table3.A!C33</f>
        <v>2.7589999999999999</v>
      </c>
      <c r="D33" s="3307">
        <v>39.5</v>
      </c>
      <c r="E33" s="3494" t="str">
        <f>'Table3.B(a)'!G33</f>
        <v>NA</v>
      </c>
      <c r="F33" s="3479" t="s">
        <v>2146</v>
      </c>
      <c r="G33" s="3479" t="s">
        <v>2146</v>
      </c>
      <c r="H33" s="3479" t="s">
        <v>2146</v>
      </c>
      <c r="I33" s="3479" t="s">
        <v>2146</v>
      </c>
      <c r="J33" s="3479" t="s">
        <v>2146</v>
      </c>
      <c r="K33" s="3479" t="s">
        <v>2146</v>
      </c>
      <c r="L33" s="3479" t="s">
        <v>2146</v>
      </c>
      <c r="M33" s="3479">
        <v>108972.64962538239</v>
      </c>
      <c r="N33" s="3479" t="s">
        <v>2146</v>
      </c>
      <c r="O33" s="3479" t="s">
        <v>2146</v>
      </c>
      <c r="P33" s="3479" t="s">
        <v>2146</v>
      </c>
      <c r="Q33" s="3479" t="s">
        <v>2146</v>
      </c>
      <c r="R33" s="3482">
        <f t="shared" si="8"/>
        <v>108972.64962538239</v>
      </c>
      <c r="S33" s="2657"/>
      <c r="T33" s="2658"/>
      <c r="U33" s="3456" t="str">
        <f t="shared" ref="U33:U45" si="26">IF(SUM(X33)=0,"NA",X33*1000/C33)</f>
        <v>NA</v>
      </c>
      <c r="V33" s="3454"/>
      <c r="W33" s="3455"/>
      <c r="X33" s="3315" t="s">
        <v>2147</v>
      </c>
      <c r="Y33" s="3173"/>
      <c r="Z33" s="3457"/>
    </row>
    <row r="34" spans="2:26" ht="18" customHeight="1" x14ac:dyDescent="0.2">
      <c r="B34" s="350" t="s">
        <v>820</v>
      </c>
      <c r="C34" s="3495">
        <f>Table3.A!C34</f>
        <v>30.123000000000001</v>
      </c>
      <c r="D34" s="3307">
        <v>13.2</v>
      </c>
      <c r="E34" s="3494" t="str">
        <f>'Table3.B(a)'!G34</f>
        <v>NA</v>
      </c>
      <c r="F34" s="3479" t="s">
        <v>2146</v>
      </c>
      <c r="G34" s="3479" t="s">
        <v>2146</v>
      </c>
      <c r="H34" s="3479" t="s">
        <v>2146</v>
      </c>
      <c r="I34" s="3479" t="s">
        <v>2146</v>
      </c>
      <c r="J34" s="3479" t="s">
        <v>2146</v>
      </c>
      <c r="K34" s="3479" t="s">
        <v>2146</v>
      </c>
      <c r="L34" s="3479" t="s">
        <v>2146</v>
      </c>
      <c r="M34" s="3479">
        <v>397617.73268791614</v>
      </c>
      <c r="N34" s="3479" t="s">
        <v>2146</v>
      </c>
      <c r="O34" s="3479" t="s">
        <v>2146</v>
      </c>
      <c r="P34" s="3479" t="s">
        <v>2146</v>
      </c>
      <c r="Q34" s="3479" t="s">
        <v>2146</v>
      </c>
      <c r="R34" s="3482">
        <f t="shared" si="8"/>
        <v>397617.73268791614</v>
      </c>
      <c r="S34" s="2657"/>
      <c r="T34" s="2658"/>
      <c r="U34" s="3456" t="str">
        <f t="shared" si="26"/>
        <v>NA</v>
      </c>
      <c r="V34" s="3454"/>
      <c r="W34" s="3455"/>
      <c r="X34" s="3315" t="s">
        <v>2147</v>
      </c>
      <c r="Y34" s="3173"/>
      <c r="Z34" s="3457"/>
    </row>
    <row r="35" spans="2:26" ht="18" customHeight="1" x14ac:dyDescent="0.2">
      <c r="B35" s="350" t="s">
        <v>821</v>
      </c>
      <c r="C35" s="3495">
        <f>Table3.A!C35</f>
        <v>460.32400000000001</v>
      </c>
      <c r="D35" s="3307">
        <v>7</v>
      </c>
      <c r="E35" s="3494" t="str">
        <f>'Table3.B(a)'!G35</f>
        <v>NA</v>
      </c>
      <c r="F35" s="3479" t="s">
        <v>2146</v>
      </c>
      <c r="G35" s="3479" t="s">
        <v>2146</v>
      </c>
      <c r="H35" s="3479" t="s">
        <v>2146</v>
      </c>
      <c r="I35" s="3479" t="s">
        <v>2146</v>
      </c>
      <c r="J35" s="3479" t="s">
        <v>2146</v>
      </c>
      <c r="K35" s="3479" t="s">
        <v>2146</v>
      </c>
      <c r="L35" s="3479" t="s">
        <v>2146</v>
      </c>
      <c r="M35" s="3479">
        <v>3222265.8649999998</v>
      </c>
      <c r="N35" s="3479" t="s">
        <v>2146</v>
      </c>
      <c r="O35" s="3479" t="s">
        <v>2146</v>
      </c>
      <c r="P35" s="3479" t="s">
        <v>2146</v>
      </c>
      <c r="Q35" s="3479" t="s">
        <v>2146</v>
      </c>
      <c r="R35" s="3482">
        <f t="shared" si="8"/>
        <v>3222265.8649999998</v>
      </c>
      <c r="S35" s="2657"/>
      <c r="T35" s="2658"/>
      <c r="U35" s="3456" t="str">
        <f t="shared" si="26"/>
        <v>NA</v>
      </c>
      <c r="V35" s="3454"/>
      <c r="W35" s="3455"/>
      <c r="X35" s="3315" t="s">
        <v>2147</v>
      </c>
      <c r="Y35" s="3173"/>
      <c r="Z35" s="3457"/>
    </row>
    <row r="36" spans="2:26" ht="18" customHeight="1" x14ac:dyDescent="0.2">
      <c r="B36" s="350" t="s">
        <v>822</v>
      </c>
      <c r="C36" s="3495">
        <f>Table3.A!C36</f>
        <v>222.53</v>
      </c>
      <c r="D36" s="3307">
        <v>39.5</v>
      </c>
      <c r="E36" s="3494" t="str">
        <f>'Table3.B(a)'!G36</f>
        <v>NA</v>
      </c>
      <c r="F36" s="3479" t="s">
        <v>2146</v>
      </c>
      <c r="G36" s="3479" t="s">
        <v>2146</v>
      </c>
      <c r="H36" s="3479" t="s">
        <v>2146</v>
      </c>
      <c r="I36" s="3479" t="s">
        <v>2146</v>
      </c>
      <c r="J36" s="3479" t="s">
        <v>2146</v>
      </c>
      <c r="K36" s="3479" t="s">
        <v>2146</v>
      </c>
      <c r="L36" s="3479" t="s">
        <v>2146</v>
      </c>
      <c r="M36" s="3479">
        <v>8789933.999503253</v>
      </c>
      <c r="N36" s="3479" t="s">
        <v>2146</v>
      </c>
      <c r="O36" s="3479" t="s">
        <v>2146</v>
      </c>
      <c r="P36" s="3479" t="s">
        <v>2146</v>
      </c>
      <c r="Q36" s="3479" t="s">
        <v>2146</v>
      </c>
      <c r="R36" s="3482">
        <f t="shared" si="8"/>
        <v>8789933.999503253</v>
      </c>
      <c r="S36" s="2657"/>
      <c r="T36" s="2658"/>
      <c r="U36" s="3456" t="str">
        <f t="shared" si="26"/>
        <v>NA</v>
      </c>
      <c r="V36" s="3454"/>
      <c r="W36" s="3455"/>
      <c r="X36" s="3315" t="s">
        <v>2147</v>
      </c>
      <c r="Y36" s="3173"/>
      <c r="Z36" s="3457"/>
    </row>
    <row r="37" spans="2:26" ht="18" customHeight="1" x14ac:dyDescent="0.2">
      <c r="B37" s="350" t="s">
        <v>862</v>
      </c>
      <c r="C37" s="3495">
        <f>Table3.A!C37</f>
        <v>0.64600000000000002</v>
      </c>
      <c r="D37" s="3307">
        <v>13.2</v>
      </c>
      <c r="E37" s="3494" t="str">
        <f>'Table3.B(a)'!G37</f>
        <v>NA</v>
      </c>
      <c r="F37" s="3479" t="s">
        <v>2146</v>
      </c>
      <c r="G37" s="3479" t="s">
        <v>2146</v>
      </c>
      <c r="H37" s="3479" t="s">
        <v>2146</v>
      </c>
      <c r="I37" s="3479" t="s">
        <v>2146</v>
      </c>
      <c r="J37" s="3479" t="s">
        <v>2146</v>
      </c>
      <c r="K37" s="3479" t="s">
        <v>2146</v>
      </c>
      <c r="L37" s="3479" t="s">
        <v>2146</v>
      </c>
      <c r="M37" s="3479">
        <v>8532.5615250041683</v>
      </c>
      <c r="N37" s="3479" t="s">
        <v>2146</v>
      </c>
      <c r="O37" s="3479" t="s">
        <v>2146</v>
      </c>
      <c r="P37" s="3479" t="s">
        <v>2146</v>
      </c>
      <c r="Q37" s="3479" t="s">
        <v>2146</v>
      </c>
      <c r="R37" s="3482">
        <f t="shared" si="8"/>
        <v>8532.5615250041683</v>
      </c>
      <c r="S37" s="2657"/>
      <c r="T37" s="2658"/>
      <c r="U37" s="3456" t="str">
        <f t="shared" si="26"/>
        <v>NA</v>
      </c>
      <c r="V37" s="3454"/>
      <c r="W37" s="3455"/>
      <c r="X37" s="3315" t="s">
        <v>2147</v>
      </c>
      <c r="Y37" s="3173"/>
      <c r="Z37" s="3457"/>
    </row>
    <row r="38" spans="2:26" ht="18" customHeight="1" x14ac:dyDescent="0.2">
      <c r="B38" s="350" t="s">
        <v>824</v>
      </c>
      <c r="C38" s="3495">
        <f>Table3.A!C38</f>
        <v>95211.923999999999</v>
      </c>
      <c r="D38" s="3307">
        <v>0.66098935466594</v>
      </c>
      <c r="E38" s="3494" t="str">
        <f>'Table3.B(a)'!G38</f>
        <v>NA</v>
      </c>
      <c r="F38" s="3479" t="s">
        <v>2146</v>
      </c>
      <c r="G38" s="3479" t="s">
        <v>2146</v>
      </c>
      <c r="H38" s="3479" t="s">
        <v>2146</v>
      </c>
      <c r="I38" s="3479">
        <v>22723324.745054021</v>
      </c>
      <c r="J38" s="3479" t="s">
        <v>2153</v>
      </c>
      <c r="K38" s="3479" t="s">
        <v>2153</v>
      </c>
      <c r="L38" s="3479" t="s">
        <v>2153</v>
      </c>
      <c r="M38" s="3479">
        <v>1703680.5502953399</v>
      </c>
      <c r="N38" s="3479">
        <v>9849185.6937607601</v>
      </c>
      <c r="O38" s="3479">
        <v>122086.312127383</v>
      </c>
      <c r="P38" s="3479" t="s">
        <v>2146</v>
      </c>
      <c r="Q38" s="3479">
        <v>61230387.7488373</v>
      </c>
      <c r="R38" s="3482">
        <f t="shared" si="8"/>
        <v>95628665.050074801</v>
      </c>
      <c r="S38" s="2657"/>
      <c r="T38" s="2658"/>
      <c r="U38" s="3456">
        <f t="shared" si="26"/>
        <v>4.5113310335386531E-3</v>
      </c>
      <c r="V38" s="3454"/>
      <c r="W38" s="3455"/>
      <c r="X38" s="3315">
        <v>0.4295325075041237</v>
      </c>
      <c r="Y38" s="3173"/>
      <c r="Z38" s="3457"/>
    </row>
    <row r="39" spans="2:26" ht="18" customHeight="1" x14ac:dyDescent="0.2">
      <c r="B39" s="350" t="s">
        <v>825</v>
      </c>
      <c r="C39" s="3314">
        <f>IF(SUM(C40:C44)=0,"NO",SUM(C40:C44))</f>
        <v>142.828</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999796.98811841803</v>
      </c>
      <c r="N39" s="2649" t="str">
        <f t="shared" si="27"/>
        <v>NO</v>
      </c>
      <c r="O39" s="2649" t="str">
        <f t="shared" si="27"/>
        <v>NO</v>
      </c>
      <c r="P39" s="2649" t="str">
        <f t="shared" si="27"/>
        <v>NO</v>
      </c>
      <c r="Q39" s="2649" t="str">
        <f t="shared" si="27"/>
        <v>NO</v>
      </c>
      <c r="R39" s="3482">
        <f t="shared" si="8"/>
        <v>999796.98811841803</v>
      </c>
      <c r="S39" s="2657"/>
      <c r="T39" s="2658"/>
      <c r="U39" s="3456" t="str">
        <f t="shared" si="26"/>
        <v>NA</v>
      </c>
      <c r="V39" s="3454"/>
      <c r="W39" s="3455"/>
      <c r="X39" s="3314" t="str">
        <f>IF(SUM(X40:X44)=0,"NO",SUM(X40:X44))</f>
        <v>NO</v>
      </c>
      <c r="Y39" s="3173"/>
      <c r="Z39" s="3457"/>
    </row>
    <row r="40" spans="2:26" ht="18" customHeight="1" x14ac:dyDescent="0.2">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
      <c r="B42" s="352" t="s">
        <v>828</v>
      </c>
      <c r="C42" s="3495">
        <f>Table3.A!C42</f>
        <v>9.8109999999999999</v>
      </c>
      <c r="D42" s="3307">
        <v>7</v>
      </c>
      <c r="E42" s="3494" t="str">
        <f>'Table3.B(a)'!G42</f>
        <v>NA</v>
      </c>
      <c r="F42" s="3479" t="s">
        <v>2146</v>
      </c>
      <c r="G42" s="3479" t="s">
        <v>2146</v>
      </c>
      <c r="H42" s="3479" t="s">
        <v>2146</v>
      </c>
      <c r="I42" s="3479" t="s">
        <v>2146</v>
      </c>
      <c r="J42" s="3479" t="s">
        <v>2146</v>
      </c>
      <c r="K42" s="3479" t="s">
        <v>2146</v>
      </c>
      <c r="L42" s="3479" t="s">
        <v>2146</v>
      </c>
      <c r="M42" s="3479">
        <v>68676.197478991555</v>
      </c>
      <c r="N42" s="3479" t="s">
        <v>2146</v>
      </c>
      <c r="O42" s="3479" t="s">
        <v>2146</v>
      </c>
      <c r="P42" s="3479" t="s">
        <v>2146</v>
      </c>
      <c r="Q42" s="3479" t="s">
        <v>2146</v>
      </c>
      <c r="R42" s="3482">
        <f t="shared" si="8"/>
        <v>68676.197478991555</v>
      </c>
      <c r="S42" s="2657"/>
      <c r="T42" s="2658"/>
      <c r="U42" s="3456" t="str">
        <f t="shared" si="26"/>
        <v>NA</v>
      </c>
      <c r="V42" s="3454"/>
      <c r="W42" s="3455"/>
      <c r="X42" s="3315" t="s">
        <v>2147</v>
      </c>
      <c r="Y42" s="3173"/>
      <c r="Z42" s="3457"/>
    </row>
    <row r="43" spans="2:26" ht="18" customHeight="1" x14ac:dyDescent="0.2">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
      <c r="B44" s="353" t="s">
        <v>2091</v>
      </c>
      <c r="C44" s="3314">
        <f>C45</f>
        <v>133.017</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931120.79063942644</v>
      </c>
      <c r="N44" s="2649" t="str">
        <f t="shared" si="28"/>
        <v>NO</v>
      </c>
      <c r="O44" s="2649" t="str">
        <f t="shared" si="28"/>
        <v>NO</v>
      </c>
      <c r="P44" s="2649" t="str">
        <f t="shared" si="28"/>
        <v>NO</v>
      </c>
      <c r="Q44" s="2649" t="str">
        <f t="shared" si="28"/>
        <v>NO</v>
      </c>
      <c r="R44" s="3482">
        <f t="shared" si="8"/>
        <v>931120.79063942644</v>
      </c>
      <c r="S44" s="2657"/>
      <c r="T44" s="2658"/>
      <c r="U44" s="3456" t="str">
        <f t="shared" si="26"/>
        <v>NA</v>
      </c>
      <c r="V44" s="3454"/>
      <c r="W44" s="3455"/>
      <c r="X44" s="3314" t="str">
        <f>X45</f>
        <v>NA</v>
      </c>
      <c r="Y44" s="3173"/>
      <c r="Z44" s="3457"/>
    </row>
    <row r="45" spans="2:26" ht="18" customHeight="1" x14ac:dyDescent="0.2">
      <c r="B45" s="2646" t="s">
        <v>2199</v>
      </c>
      <c r="C45" s="3495">
        <f>Table3.A!C45</f>
        <v>133.017</v>
      </c>
      <c r="D45" s="3307">
        <v>7</v>
      </c>
      <c r="E45" s="3494" t="str">
        <f>'Table3.B(a)'!G45</f>
        <v>NA</v>
      </c>
      <c r="F45" s="3479" t="s">
        <v>2146</v>
      </c>
      <c r="G45" s="3479" t="s">
        <v>2146</v>
      </c>
      <c r="H45" s="3479" t="s">
        <v>2146</v>
      </c>
      <c r="I45" s="3479" t="s">
        <v>2146</v>
      </c>
      <c r="J45" s="3479" t="s">
        <v>2146</v>
      </c>
      <c r="K45" s="3479" t="s">
        <v>2146</v>
      </c>
      <c r="L45" s="3479" t="s">
        <v>2146</v>
      </c>
      <c r="M45" s="3479">
        <v>931120.79063942644</v>
      </c>
      <c r="N45" s="3479" t="s">
        <v>2146</v>
      </c>
      <c r="O45" s="3479" t="s">
        <v>2146</v>
      </c>
      <c r="P45" s="3479" t="s">
        <v>2146</v>
      </c>
      <c r="Q45" s="3479" t="s">
        <v>2146</v>
      </c>
      <c r="R45" s="3482">
        <f t="shared" si="8"/>
        <v>931120.79063942644</v>
      </c>
      <c r="S45" s="2662"/>
      <c r="T45" s="2663"/>
      <c r="U45" s="3456" t="str">
        <f t="shared" si="26"/>
        <v>NA</v>
      </c>
      <c r="V45" s="3462"/>
      <c r="W45" s="3463"/>
      <c r="X45" s="3315" t="s">
        <v>2147</v>
      </c>
      <c r="Y45" s="3464"/>
      <c r="Z45" s="3465"/>
    </row>
    <row r="46" spans="2:26" s="959" customFormat="1" ht="18" customHeight="1" thickBot="1" x14ac:dyDescent="0.35">
      <c r="B46" s="356" t="s">
        <v>708</v>
      </c>
      <c r="C46" s="42"/>
      <c r="D46" s="42"/>
      <c r="E46" s="42"/>
      <c r="F46" s="2664"/>
      <c r="G46" s="2664"/>
      <c r="H46" s="2664"/>
      <c r="I46" s="2664"/>
      <c r="J46" s="2664"/>
      <c r="K46" s="2664"/>
      <c r="L46" s="2664"/>
      <c r="M46" s="42"/>
      <c r="N46" s="2665"/>
      <c r="O46" s="2665"/>
      <c r="P46" s="42"/>
      <c r="Q46" s="2665"/>
      <c r="R46" s="357"/>
      <c r="S46" s="3446">
        <v>99154884.276112601</v>
      </c>
      <c r="T46" s="3447">
        <v>363266.22011883999</v>
      </c>
      <c r="U46" s="3466"/>
      <c r="V46" s="3467">
        <f>IF(SUM(S46)=0,"NA",Y46*1000000/S46)</f>
        <v>3.585131019604925E-3</v>
      </c>
      <c r="W46" s="3468">
        <f>IF(SUM(T46)=0,"NA",Z46*1000000/T46)</f>
        <v>1.7285714285714279E-2</v>
      </c>
      <c r="X46" s="3316"/>
      <c r="Y46" s="3320">
        <v>0.35548325136362791</v>
      </c>
      <c r="Z46" s="3321">
        <v>6.2793160906256598E-3</v>
      </c>
    </row>
    <row r="47" spans="2:26" ht="18" customHeight="1" x14ac:dyDescent="0.2">
      <c r="B47" s="358" t="s">
        <v>863</v>
      </c>
      <c r="C47" s="359"/>
      <c r="D47" s="359"/>
      <c r="E47" s="359"/>
      <c r="F47" s="3485">
        <f>IF(SUM(F30,F27,F24,F10)=0,"NO",SUM(F30,F27,F24,F10))</f>
        <v>50737179.29154402</v>
      </c>
      <c r="G47" s="3485" t="str">
        <f t="shared" ref="G47:Q47" si="29">IF(SUM(G30,G27,G24,G10)=0,"NO",SUM(G30,G27,G24,G10))</f>
        <v>NO</v>
      </c>
      <c r="H47" s="3485">
        <f t="shared" si="29"/>
        <v>7090196.5668463698</v>
      </c>
      <c r="I47" s="3485">
        <f t="shared" si="29"/>
        <v>30794908.319149721</v>
      </c>
      <c r="J47" s="3485" t="str">
        <f t="shared" si="29"/>
        <v>NO</v>
      </c>
      <c r="K47" s="3485">
        <f t="shared" si="29"/>
        <v>89041326.826138854</v>
      </c>
      <c r="L47" s="3485">
        <f t="shared" si="29"/>
        <v>9732816.3924708404</v>
      </c>
      <c r="M47" s="3409"/>
      <c r="N47" s="3485">
        <f t="shared" si="29"/>
        <v>19582002.0862316</v>
      </c>
      <c r="O47" s="3485">
        <f t="shared" si="29"/>
        <v>1701102.431323793</v>
      </c>
      <c r="P47" s="3409"/>
      <c r="Q47" s="3485">
        <f t="shared" si="29"/>
        <v>67718108.051547453</v>
      </c>
      <c r="R47" s="359"/>
      <c r="S47" s="359"/>
      <c r="T47" s="360"/>
      <c r="U47" s="3317"/>
      <c r="V47" s="3469"/>
      <c r="W47" s="3470"/>
      <c r="X47" s="3317"/>
      <c r="Y47" s="3469"/>
      <c r="Z47" s="3470"/>
    </row>
    <row r="48" spans="2:26" ht="18" customHeight="1" thickBot="1" x14ac:dyDescent="0.25">
      <c r="B48" s="361" t="s">
        <v>864</v>
      </c>
      <c r="C48" s="357"/>
      <c r="D48" s="357"/>
      <c r="E48" s="357"/>
      <c r="F48" s="3486" t="str">
        <f>IF(SUM(F49)=0,"NA",F49*1000000/F47)</f>
        <v>NA</v>
      </c>
      <c r="G48" s="3486" t="str">
        <f t="shared" ref="G48:Q48" si="30">IF(SUM(G49)=0,"NA",G49*1000000/G47)</f>
        <v>NA</v>
      </c>
      <c r="H48" s="3486" t="str">
        <f t="shared" si="30"/>
        <v>NA</v>
      </c>
      <c r="I48" s="3486">
        <f t="shared" si="30"/>
        <v>3.3042953448918763E-2</v>
      </c>
      <c r="J48" s="3486" t="str">
        <f t="shared" si="30"/>
        <v>NA</v>
      </c>
      <c r="K48" s="3486" t="str">
        <f t="shared" si="30"/>
        <v>NA</v>
      </c>
      <c r="L48" s="3486" t="str">
        <f t="shared" si="30"/>
        <v>NA</v>
      </c>
      <c r="M48" s="87"/>
      <c r="N48" s="3486">
        <f t="shared" si="30"/>
        <v>1.5714285714285597E-2</v>
      </c>
      <c r="O48" s="3486" t="str">
        <f t="shared" si="30"/>
        <v>NA</v>
      </c>
      <c r="P48" s="87"/>
      <c r="Q48" s="3486">
        <f t="shared" si="30"/>
        <v>2.8515563485059202E-3</v>
      </c>
      <c r="R48" s="357"/>
      <c r="S48" s="357"/>
      <c r="T48" s="57"/>
      <c r="U48" s="3318"/>
      <c r="V48" s="3471"/>
      <c r="W48" s="3472"/>
      <c r="X48" s="3318"/>
      <c r="Y48" s="3471"/>
      <c r="Z48" s="3472"/>
    </row>
    <row r="49" spans="2:26" ht="18" customHeight="1" thickBot="1" x14ac:dyDescent="0.25">
      <c r="B49" s="1311" t="s">
        <v>865</v>
      </c>
      <c r="C49" s="1312"/>
      <c r="D49" s="1312"/>
      <c r="E49" s="1312"/>
      <c r="F49" s="3487" t="s">
        <v>2147</v>
      </c>
      <c r="G49" s="3487" t="s">
        <v>2146</v>
      </c>
      <c r="H49" s="3487" t="s">
        <v>2147</v>
      </c>
      <c r="I49" s="3487">
        <v>1.0175547220533854</v>
      </c>
      <c r="J49" s="3487" t="s">
        <v>2153</v>
      </c>
      <c r="K49" s="3487" t="s">
        <v>2153</v>
      </c>
      <c r="L49" s="3487" t="s">
        <v>2153</v>
      </c>
      <c r="M49" s="3474"/>
      <c r="N49" s="3488">
        <v>0.30771717564077999</v>
      </c>
      <c r="O49" s="3488" t="s">
        <v>2147</v>
      </c>
      <c r="P49" s="3474"/>
      <c r="Q49" s="3488">
        <v>0.19310200092320001</v>
      </c>
      <c r="R49" s="1312"/>
      <c r="S49" s="1313"/>
      <c r="T49" s="1314"/>
      <c r="U49" s="3473">
        <f>X49*1000/SUM(C10,C24,C27,C30)</f>
        <v>7.735879898366221E-3</v>
      </c>
      <c r="V49" s="3474"/>
      <c r="W49" s="3475"/>
      <c r="X49" s="3319">
        <f>SUM(X10,X24,X27,X30)</f>
        <v>1.5183738986173652</v>
      </c>
      <c r="Y49" s="3476"/>
      <c r="Z49" s="3477"/>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95" t="s">
        <v>2208</v>
      </c>
      <c r="C67" s="4496"/>
      <c r="D67" s="4496"/>
      <c r="E67" s="4496"/>
      <c r="F67" s="4496"/>
      <c r="G67" s="4496"/>
      <c r="H67" s="4496"/>
      <c r="I67" s="4496"/>
      <c r="J67" s="4496"/>
      <c r="K67" s="4496"/>
      <c r="L67" s="4496"/>
      <c r="M67" s="4496"/>
      <c r="N67" s="4496"/>
      <c r="O67" s="4496"/>
      <c r="P67" s="4496"/>
      <c r="Q67" s="4496"/>
      <c r="R67" s="4496"/>
      <c r="S67" s="4496"/>
      <c r="T67" s="4496"/>
      <c r="U67" s="4496"/>
      <c r="V67" s="4496"/>
      <c r="W67" s="4496"/>
      <c r="X67" s="4496"/>
      <c r="Y67" s="4496"/>
      <c r="Z67" s="4497"/>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6" t="s">
        <v>64</v>
      </c>
    </row>
    <row r="7" spans="1:9" ht="25.5" x14ac:dyDescent="0.2">
      <c r="B7" s="1810" t="s">
        <v>326</v>
      </c>
      <c r="C7" s="823" t="s">
        <v>727</v>
      </c>
      <c r="D7" s="823"/>
      <c r="E7" s="1096"/>
      <c r="F7" s="2302" t="s">
        <v>868</v>
      </c>
      <c r="G7" s="203" t="s">
        <v>124</v>
      </c>
    </row>
    <row r="8" spans="1:9" ht="13.5" x14ac:dyDescent="0.2">
      <c r="B8" s="432" t="s">
        <v>328</v>
      </c>
      <c r="C8" s="1811" t="s">
        <v>869</v>
      </c>
      <c r="D8" s="335" t="s">
        <v>870</v>
      </c>
      <c r="E8" s="331"/>
      <c r="F8" s="2303" t="s">
        <v>330</v>
      </c>
      <c r="G8" s="2300" t="s">
        <v>330</v>
      </c>
    </row>
    <row r="9" spans="1:9" ht="15" thickBot="1" x14ac:dyDescent="0.25">
      <c r="B9" s="1812"/>
      <c r="C9" s="1619" t="s">
        <v>871</v>
      </c>
      <c r="D9" s="1813" t="s">
        <v>872</v>
      </c>
      <c r="E9" s="1814" t="s">
        <v>873</v>
      </c>
      <c r="F9" s="402" t="s">
        <v>874</v>
      </c>
      <c r="G9" s="2301" t="s">
        <v>73</v>
      </c>
    </row>
    <row r="10" spans="1:9" ht="18" customHeight="1" thickTop="1" x14ac:dyDescent="0.2">
      <c r="B10" s="1620" t="s">
        <v>875</v>
      </c>
      <c r="C10" s="376"/>
      <c r="D10" s="134"/>
      <c r="E10" s="377"/>
      <c r="F10" s="2304"/>
      <c r="G10" s="3164">
        <f>IF(SUM(G11:G12)=0,"NO",SUM(G11:G12))</f>
        <v>4.4147843085853342</v>
      </c>
    </row>
    <row r="11" spans="1:9" ht="18" customHeight="1" x14ac:dyDescent="0.2">
      <c r="B11" s="439" t="s">
        <v>876</v>
      </c>
      <c r="C11" s="4147">
        <v>0.27783412892293002</v>
      </c>
      <c r="D11" s="243" t="s">
        <v>2146</v>
      </c>
      <c r="E11" s="283" t="s">
        <v>2146</v>
      </c>
      <c r="F11" s="2305">
        <f>IF(SUM(C11)=0,"NA",G11/C11)</f>
        <v>15.889999999999914</v>
      </c>
      <c r="G11" s="3093">
        <v>4.4147843085853342</v>
      </c>
    </row>
    <row r="12" spans="1:9" ht="18" customHeight="1" x14ac:dyDescent="0.2">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6" t="str">
        <f t="shared" si="0"/>
        <v>NA</v>
      </c>
      <c r="G13" s="2166" t="s">
        <v>2146</v>
      </c>
      <c r="I13" s="379"/>
    </row>
    <row r="14" spans="1:9" ht="18" customHeight="1" thickBot="1" x14ac:dyDescent="0.25">
      <c r="B14" s="1622" t="s">
        <v>879</v>
      </c>
      <c r="C14" s="378" t="s">
        <v>2146</v>
      </c>
      <c r="D14" s="243" t="s">
        <v>2146</v>
      </c>
      <c r="E14" s="283" t="s">
        <v>2146</v>
      </c>
      <c r="F14" s="2307" t="str">
        <f t="shared" si="0"/>
        <v>NA</v>
      </c>
      <c r="G14" s="2169" t="s">
        <v>2146</v>
      </c>
    </row>
    <row r="15" spans="1:9" ht="18" customHeight="1" x14ac:dyDescent="0.2">
      <c r="B15" s="1623" t="s">
        <v>880</v>
      </c>
      <c r="C15" s="380"/>
      <c r="D15" s="381"/>
      <c r="E15" s="382"/>
      <c r="F15" s="2308"/>
      <c r="G15" s="2171" t="str">
        <f>IF(SUM(G16:G17)=0,"NO",SUM(G16:G17))</f>
        <v>NO</v>
      </c>
    </row>
    <row r="16" spans="1:9" ht="18" customHeight="1" x14ac:dyDescent="0.2">
      <c r="B16" s="439" t="s">
        <v>881</v>
      </c>
      <c r="C16" s="378" t="s">
        <v>2146</v>
      </c>
      <c r="D16" s="243" t="s">
        <v>2146</v>
      </c>
      <c r="E16" s="283" t="s">
        <v>2146</v>
      </c>
      <c r="F16" s="2306" t="str">
        <f t="shared" si="0"/>
        <v>NA</v>
      </c>
      <c r="G16" s="2166" t="s">
        <v>2146</v>
      </c>
    </row>
    <row r="17" spans="2:7" ht="18" customHeight="1" thickBot="1" x14ac:dyDescent="0.25">
      <c r="B17" s="1624" t="s">
        <v>882</v>
      </c>
      <c r="C17" s="378" t="s">
        <v>2146</v>
      </c>
      <c r="D17" s="243" t="s">
        <v>2146</v>
      </c>
      <c r="E17" s="283" t="s">
        <v>2146</v>
      </c>
      <c r="F17" s="2307" t="str">
        <f t="shared" si="0"/>
        <v>NA</v>
      </c>
      <c r="G17" s="2169" t="s">
        <v>2146</v>
      </c>
    </row>
    <row r="18" spans="2:7" ht="18" customHeight="1" x14ac:dyDescent="0.2">
      <c r="B18" s="1623" t="s">
        <v>883</v>
      </c>
      <c r="C18" s="380"/>
      <c r="D18" s="381"/>
      <c r="E18" s="382"/>
      <c r="F18" s="2308"/>
      <c r="G18" s="2171" t="str">
        <f>IF(SUM(G19:G20)=0,"NO",SUM(G19:G20))</f>
        <v>NO</v>
      </c>
    </row>
    <row r="19" spans="2:7" ht="18" customHeight="1" x14ac:dyDescent="0.2">
      <c r="B19" s="439" t="s">
        <v>884</v>
      </c>
      <c r="C19" s="378" t="s">
        <v>2146</v>
      </c>
      <c r="D19" s="243" t="s">
        <v>2146</v>
      </c>
      <c r="E19" s="283" t="s">
        <v>2146</v>
      </c>
      <c r="F19" s="2306" t="str">
        <f t="shared" si="0"/>
        <v>NA</v>
      </c>
      <c r="G19" s="2166" t="s">
        <v>2146</v>
      </c>
    </row>
    <row r="20" spans="2:7" ht="18" customHeight="1" thickBot="1" x14ac:dyDescent="0.25">
      <c r="B20" s="1624" t="s">
        <v>885</v>
      </c>
      <c r="C20" s="378" t="s">
        <v>2146</v>
      </c>
      <c r="D20" s="243" t="s">
        <v>2146</v>
      </c>
      <c r="E20" s="283" t="s">
        <v>2146</v>
      </c>
      <c r="F20" s="2307" t="str">
        <f t="shared" si="0"/>
        <v>NA</v>
      </c>
      <c r="G20" s="2169" t="s">
        <v>2146</v>
      </c>
    </row>
    <row r="21" spans="2:7" ht="18" customHeight="1" x14ac:dyDescent="0.2">
      <c r="B21" s="1625" t="s">
        <v>886</v>
      </c>
      <c r="C21" s="380"/>
      <c r="D21" s="381"/>
      <c r="E21" s="382"/>
      <c r="F21" s="2308"/>
      <c r="G21" s="2168" t="str">
        <f>G22</f>
        <v>NO</v>
      </c>
    </row>
    <row r="22" spans="2:7" ht="18" customHeight="1" thickBot="1" x14ac:dyDescent="0.25">
      <c r="B22" s="2666" t="s">
        <v>2147</v>
      </c>
      <c r="C22" s="378" t="s">
        <v>2146</v>
      </c>
      <c r="D22" s="243" t="s">
        <v>2146</v>
      </c>
      <c r="E22" s="283" t="s">
        <v>2146</v>
      </c>
      <c r="F22" s="2307"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9"/>
      <c r="E24" s="2310"/>
      <c r="F24" s="2310"/>
      <c r="G24" s="2311"/>
    </row>
    <row r="25" spans="2:7" ht="18" customHeight="1" thickBot="1" x14ac:dyDescent="0.25">
      <c r="B25" s="1618" t="s">
        <v>888</v>
      </c>
      <c r="C25" s="4148">
        <f>C11</f>
        <v>0.27783412892293002</v>
      </c>
      <c r="D25" s="2312"/>
      <c r="E25" s="2313"/>
      <c r="F25" s="2314"/>
      <c r="G25" s="2315"/>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6" t="s">
        <v>64</v>
      </c>
      <c r="H6" s="386" t="s">
        <v>417</v>
      </c>
      <c r="I6" s="386"/>
      <c r="J6" s="387"/>
    </row>
    <row r="7" spans="2:10" ht="27" customHeight="1" x14ac:dyDescent="0.2">
      <c r="B7" s="388" t="s">
        <v>65</v>
      </c>
      <c r="C7" s="389" t="s">
        <v>727</v>
      </c>
      <c r="D7" s="203"/>
      <c r="E7" s="2017" t="s">
        <v>123</v>
      </c>
      <c r="F7" s="2018"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4">
        <f>IF(SUM(F11:F12,F16:F20)=0,"NO",SUM(F11:F12,F16:F20))</f>
        <v>33.372305193177752</v>
      </c>
      <c r="H10" s="397" t="s">
        <v>897</v>
      </c>
      <c r="I10" s="398" t="s">
        <v>898</v>
      </c>
      <c r="J10" s="399">
        <v>0.21</v>
      </c>
    </row>
    <row r="11" spans="2:10" ht="24" customHeight="1" x14ac:dyDescent="0.2">
      <c r="B11" s="2431" t="s">
        <v>1949</v>
      </c>
      <c r="C11" s="2432" t="s">
        <v>899</v>
      </c>
      <c r="D11" s="3720">
        <v>1493759.5645776584</v>
      </c>
      <c r="E11" s="3714">
        <f>IF(SUM(D11)=0,"NA",F11*1000/D11/(44/28))</f>
        <v>3.7057214654898332E-3</v>
      </c>
      <c r="F11" s="3425">
        <v>8.698575101442561</v>
      </c>
      <c r="H11" s="397" t="s">
        <v>900</v>
      </c>
      <c r="I11" s="398" t="s">
        <v>901</v>
      </c>
      <c r="J11" s="399">
        <v>0.24</v>
      </c>
    </row>
    <row r="12" spans="2:10" ht="24" customHeight="1" thickBot="1" x14ac:dyDescent="0.25">
      <c r="B12" s="2431" t="s">
        <v>1950</v>
      </c>
      <c r="C12" s="2433" t="s">
        <v>902</v>
      </c>
      <c r="D12" s="3721">
        <f>IF(SUM(D13:D15)=0,"NO",SUM(D13:D15))</f>
        <v>112553.88199042479</v>
      </c>
      <c r="E12" s="3715">
        <f t="shared" ref="E12:E23" si="0">IF(SUM(D12)=0,"NA",F12*1000/D12/(44/28))</f>
        <v>9.0877460399735495E-3</v>
      </c>
      <c r="F12" s="3426">
        <f>IF(SUM(F13:F15)=0,"NO",SUM(F13:F15))</f>
        <v>1.607353149823352</v>
      </c>
      <c r="H12" s="407" t="s">
        <v>903</v>
      </c>
      <c r="I12" s="408" t="s">
        <v>2147</v>
      </c>
      <c r="J12" s="2668" t="s">
        <v>2147</v>
      </c>
    </row>
    <row r="13" spans="2:10" ht="24" customHeight="1" x14ac:dyDescent="0.2">
      <c r="B13" s="2431" t="s">
        <v>904</v>
      </c>
      <c r="C13" s="2432" t="s">
        <v>905</v>
      </c>
      <c r="D13" s="3722">
        <v>100079.99887145001</v>
      </c>
      <c r="E13" s="3714">
        <f t="shared" si="0"/>
        <v>9.0986826292933504E-3</v>
      </c>
      <c r="F13" s="3425">
        <v>1.4309368028549945</v>
      </c>
      <c r="H13" s="1436" t="s">
        <v>906</v>
      </c>
      <c r="I13" s="1078"/>
      <c r="J13" s="1078"/>
    </row>
    <row r="14" spans="2:10" ht="24" customHeight="1" x14ac:dyDescent="0.2">
      <c r="B14" s="2431" t="s">
        <v>907</v>
      </c>
      <c r="C14" s="2432" t="s">
        <v>908</v>
      </c>
      <c r="D14" s="3722">
        <v>12473.883118974789</v>
      </c>
      <c r="E14" s="3714">
        <f t="shared" si="0"/>
        <v>8.9999999999999941E-3</v>
      </c>
      <c r="F14" s="3425">
        <v>0.17641634696835759</v>
      </c>
      <c r="H14" s="1437" t="s">
        <v>1795</v>
      </c>
      <c r="I14" s="1078"/>
      <c r="J14" s="1078"/>
    </row>
    <row r="15" spans="2:10" ht="24" customHeight="1" x14ac:dyDescent="0.2">
      <c r="B15" s="2434" t="s">
        <v>909</v>
      </c>
      <c r="C15" s="2432" t="s">
        <v>910</v>
      </c>
      <c r="D15" s="3722" t="s">
        <v>2154</v>
      </c>
      <c r="E15" s="3714" t="str">
        <f t="shared" si="0"/>
        <v>NA</v>
      </c>
      <c r="F15" s="3425" t="s">
        <v>2154</v>
      </c>
    </row>
    <row r="16" spans="2:10" ht="24" customHeight="1" x14ac:dyDescent="0.2">
      <c r="B16" s="2431" t="s">
        <v>911</v>
      </c>
      <c r="C16" s="2432" t="s">
        <v>912</v>
      </c>
      <c r="D16" s="3722">
        <v>1609720.9664553222</v>
      </c>
      <c r="E16" s="3714">
        <f t="shared" si="0"/>
        <v>3.9999999999999992E-3</v>
      </c>
      <c r="F16" s="3425">
        <v>10.118246074862023</v>
      </c>
    </row>
    <row r="17" spans="2:11" ht="24" customHeight="1" x14ac:dyDescent="0.2">
      <c r="B17" s="2431" t="s">
        <v>913</v>
      </c>
      <c r="C17" s="2432" t="s">
        <v>914</v>
      </c>
      <c r="D17" s="3722">
        <v>813975.06041051657</v>
      </c>
      <c r="E17" s="3714">
        <f t="shared" si="0"/>
        <v>9.9999999999999967E-3</v>
      </c>
      <c r="F17" s="3425">
        <v>12.791036663593829</v>
      </c>
    </row>
    <row r="18" spans="2:11" ht="24" customHeight="1" x14ac:dyDescent="0.2">
      <c r="B18" s="2431" t="s">
        <v>1951</v>
      </c>
      <c r="C18" s="2432" t="s">
        <v>915</v>
      </c>
      <c r="D18" s="3722">
        <v>21984.519281450001</v>
      </c>
      <c r="E18" s="3716">
        <f t="shared" si="0"/>
        <v>2.0000000000000035E-3</v>
      </c>
      <c r="F18" s="3427">
        <v>6.9094203455985839E-2</v>
      </c>
    </row>
    <row r="19" spans="2:11" ht="24" customHeight="1" x14ac:dyDescent="0.2">
      <c r="B19" s="2431" t="s">
        <v>1952</v>
      </c>
      <c r="C19" s="2432" t="s">
        <v>916</v>
      </c>
      <c r="D19" s="3722">
        <v>4000</v>
      </c>
      <c r="E19" s="3716">
        <f>IF(SUM(D19)=0,"NA",F19*1000000/D19/(44/28))</f>
        <v>14</v>
      </c>
      <c r="F19" s="3425">
        <v>8.7999999999999995E-2</v>
      </c>
    </row>
    <row r="20" spans="2:11" ht="24" customHeight="1" thickBot="1" x14ac:dyDescent="0.25">
      <c r="B20" s="2435" t="s">
        <v>917</v>
      </c>
      <c r="C20" s="2436" t="s">
        <v>2147</v>
      </c>
      <c r="D20" s="3723" t="s">
        <v>2146</v>
      </c>
      <c r="E20" s="3717" t="s">
        <v>2147</v>
      </c>
      <c r="F20" s="3428" t="s">
        <v>2146</v>
      </c>
    </row>
    <row r="21" spans="2:11" ht="24" customHeight="1" thickTop="1" x14ac:dyDescent="0.2">
      <c r="B21" s="409" t="s">
        <v>918</v>
      </c>
      <c r="C21" s="2437"/>
      <c r="D21" s="3724"/>
      <c r="E21" s="3718"/>
      <c r="F21" s="3429">
        <f>IF(SUM(F22:F23)=0,"NO",SUM(F22:F23))</f>
        <v>10.526522483938663</v>
      </c>
    </row>
    <row r="22" spans="2:11" ht="24" customHeight="1" x14ac:dyDescent="0.2">
      <c r="B22" s="2438" t="s">
        <v>1953</v>
      </c>
      <c r="C22" s="2432" t="s">
        <v>919</v>
      </c>
      <c r="D22" s="3722">
        <v>525866.53144595993</v>
      </c>
      <c r="E22" s="3714">
        <f t="shared" si="0"/>
        <v>2.8667634481328022E-3</v>
      </c>
      <c r="F22" s="3425">
        <v>2.3689834943431749</v>
      </c>
    </row>
    <row r="23" spans="2:11" ht="24" customHeight="1" thickBot="1" x14ac:dyDescent="0.25">
      <c r="B23" s="410" t="s">
        <v>920</v>
      </c>
      <c r="C23" s="411" t="s">
        <v>921</v>
      </c>
      <c r="D23" s="3725">
        <v>473114.43204291398</v>
      </c>
      <c r="E23" s="3719">
        <f t="shared" si="0"/>
        <v>1.0972316259264448E-2</v>
      </c>
      <c r="F23" s="3430">
        <v>8.1575389895954888</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98" t="s">
        <v>2209</v>
      </c>
      <c r="C44" s="4499"/>
      <c r="D44" s="4499"/>
      <c r="E44" s="4499"/>
      <c r="F44" s="4500"/>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6"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7"/>
      <c r="C9" s="375" t="s">
        <v>930</v>
      </c>
      <c r="D9" s="415" t="s">
        <v>931</v>
      </c>
      <c r="E9" s="415"/>
      <c r="F9" s="415" t="s">
        <v>932</v>
      </c>
      <c r="G9" s="401"/>
      <c r="H9" s="1094" t="s">
        <v>933</v>
      </c>
      <c r="I9" s="1095"/>
      <c r="J9" s="2022" t="s">
        <v>73</v>
      </c>
      <c r="K9" s="2228"/>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468" t="s">
        <v>2374</v>
      </c>
      <c r="C27" s="4469"/>
      <c r="D27" s="4469"/>
      <c r="E27" s="4469"/>
      <c r="F27" s="4469"/>
      <c r="G27" s="4469"/>
      <c r="H27" s="4469"/>
      <c r="I27" s="4469"/>
      <c r="J27" s="4469"/>
      <c r="K27" s="4470"/>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6"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25">
      <c r="B9" s="400"/>
      <c r="C9" s="375" t="s">
        <v>945</v>
      </c>
      <c r="D9" s="415" t="s">
        <v>931</v>
      </c>
      <c r="E9" s="415"/>
      <c r="F9" s="401" t="s">
        <v>932</v>
      </c>
      <c r="G9" s="1094" t="s">
        <v>933</v>
      </c>
      <c r="H9" s="1095"/>
      <c r="I9" s="1094" t="s">
        <v>73</v>
      </c>
      <c r="J9" s="1095"/>
      <c r="L9" s="1323" t="s">
        <v>946</v>
      </c>
      <c r="M9" s="4179">
        <v>22681207.669723999</v>
      </c>
      <c r="N9" s="4179">
        <v>9185856.9605973791</v>
      </c>
      <c r="O9" s="4179">
        <v>401478.23817311099</v>
      </c>
      <c r="P9" s="4180">
        <v>1843743.25375067</v>
      </c>
      <c r="Q9" s="4180">
        <v>1322454.37738778</v>
      </c>
      <c r="R9" s="4180">
        <v>58211.264704857</v>
      </c>
      <c r="S9" s="4180">
        <v>287018.91082123102</v>
      </c>
      <c r="T9" s="4180">
        <v>130883.76272913</v>
      </c>
      <c r="U9" s="4180">
        <v>1956566.8398030004</v>
      </c>
      <c r="V9" s="4180">
        <v>36724026.150483064</v>
      </c>
      <c r="W9" s="4180">
        <v>16011.500708820651</v>
      </c>
      <c r="X9" s="4181">
        <v>2837525.6749393726</v>
      </c>
    </row>
    <row r="10" spans="2:24" ht="18" customHeight="1" thickTop="1" x14ac:dyDescent="0.2">
      <c r="B10" s="437" t="s">
        <v>947</v>
      </c>
      <c r="C10" s="376"/>
      <c r="D10" s="438"/>
      <c r="E10" s="438"/>
      <c r="F10" s="4149">
        <f>IF(SUM(F11:F14)=0,"NO",SUM(F11:F14))</f>
        <v>3038.5414751488406</v>
      </c>
      <c r="G10" s="4150">
        <f>IF(SUM($F10)=0,"NA",I10/$F10*1000)</f>
        <v>1.8750943283753818</v>
      </c>
      <c r="H10" s="4151">
        <f>IF(SUM($F10)=0,"NA",J10/$F10*1000)</f>
        <v>7.5875894256427059E-2</v>
      </c>
      <c r="I10" s="3192">
        <f>IF(SUM(I11:I14)=0,"NO",SUM(I11:I14))</f>
        <v>5.6975518865849573</v>
      </c>
      <c r="J10" s="420">
        <f>IF(SUM(J11:J14)=0,"NO",SUM(J11:J14))</f>
        <v>0.23055205166216133</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152">
        <v>1878.98772575623</v>
      </c>
      <c r="G11" s="4153">
        <f>IF(SUM($F11)=0,"NA",I11/$F11*1000)</f>
        <v>1.866666666666668</v>
      </c>
      <c r="H11" s="4154">
        <f>IF(SUM($F11)=0,"NA",J11/$F11*1000)</f>
        <v>7.1657142857142905E-2</v>
      </c>
      <c r="I11" s="3326">
        <v>3.5074437547449651</v>
      </c>
      <c r="J11" s="3327">
        <v>0.13464289189133222</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152">
        <v>643.94679835033605</v>
      </c>
      <c r="G12" s="4155">
        <f t="shared" ref="G12:G28" si="0">IF(SUM($F12)=0,"NA",I12/$F12*1000)</f>
        <v>1.8666666666666654</v>
      </c>
      <c r="H12" s="4154">
        <f t="shared" ref="H12:H28" si="1">IF(SUM($F12)=0,"NA",J12/$F12*1000)</f>
        <v>8.3599999999999938E-2</v>
      </c>
      <c r="I12" s="3180">
        <v>1.2020340235872931</v>
      </c>
      <c r="J12" s="3327">
        <v>5.383395234208805E-2</v>
      </c>
      <c r="L12" s="1324" t="s">
        <v>952</v>
      </c>
      <c r="M12" s="4177">
        <v>0.13075027155956001</v>
      </c>
      <c r="N12" s="4177">
        <v>0.13383962623942999</v>
      </c>
      <c r="O12" s="4177">
        <v>0.14706993550423</v>
      </c>
      <c r="P12" s="4178">
        <v>0.10973955548084</v>
      </c>
      <c r="Q12" s="4178">
        <v>0.13414789785633</v>
      </c>
      <c r="R12" s="4178">
        <v>0.13075439040567999</v>
      </c>
      <c r="S12" s="4178">
        <v>0.81499999999999995</v>
      </c>
      <c r="T12" s="4178">
        <v>0.16390247973154001</v>
      </c>
      <c r="U12" s="4178">
        <v>0.12885140900532574</v>
      </c>
      <c r="V12" s="4178">
        <v>0.31958935734469329</v>
      </c>
      <c r="W12" s="4178">
        <v>5.9746856626622317E-2</v>
      </c>
      <c r="X12" s="4152">
        <v>0.13444620201526303</v>
      </c>
    </row>
    <row r="13" spans="2:24" ht="18" customHeight="1" thickBot="1" x14ac:dyDescent="0.25">
      <c r="B13" s="439" t="s">
        <v>953</v>
      </c>
      <c r="C13" s="440" t="s">
        <v>2147</v>
      </c>
      <c r="D13" s="440" t="s">
        <v>2147</v>
      </c>
      <c r="E13" s="440" t="s">
        <v>2147</v>
      </c>
      <c r="F13" s="4152">
        <v>39.026633435801401</v>
      </c>
      <c r="G13" s="4155">
        <f t="shared" si="0"/>
        <v>1.9600000000000013</v>
      </c>
      <c r="H13" s="4154">
        <f t="shared" si="1"/>
        <v>5.9714285714285775E-2</v>
      </c>
      <c r="I13" s="3180">
        <v>7.6492201534170801E-2</v>
      </c>
      <c r="J13" s="3327">
        <v>2.3304475394521429E-3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156">
        <f>IF(SUM(F15:F19)=0,"NO",SUM(F15:F19))</f>
        <v>476.58031760647305</v>
      </c>
      <c r="G14" s="4157">
        <f t="shared" si="0"/>
        <v>1.9127560938663224</v>
      </c>
      <c r="H14" s="4158">
        <f t="shared" si="1"/>
        <v>8.3395722443803083E-2</v>
      </c>
      <c r="I14" s="3199">
        <f>IF(SUM(I15:I19)=0,"NO",SUM(I15:I19))</f>
        <v>0.91158190671852868</v>
      </c>
      <c r="J14" s="3085">
        <f>IF(SUM(J15:J19)=0,"NO",SUM(J15:J19))</f>
        <v>3.9744759889288946E-2</v>
      </c>
      <c r="L14" s="1438" t="s">
        <v>956</v>
      </c>
      <c r="M14" s="173"/>
      <c r="N14" s="173"/>
      <c r="O14" s="173"/>
      <c r="P14" s="173"/>
      <c r="Q14" s="173"/>
      <c r="R14" s="173"/>
      <c r="S14" s="173"/>
      <c r="T14" s="173"/>
      <c r="U14" s="173"/>
      <c r="V14" s="173"/>
      <c r="W14" s="173"/>
      <c r="X14" s="173"/>
    </row>
    <row r="15" spans="2:24" ht="18" customHeight="1" x14ac:dyDescent="0.2">
      <c r="B15" s="2670" t="s">
        <v>2210</v>
      </c>
      <c r="C15" s="440" t="s">
        <v>2147</v>
      </c>
      <c r="D15" s="440" t="s">
        <v>2147</v>
      </c>
      <c r="E15" s="440" t="s">
        <v>2147</v>
      </c>
      <c r="F15" s="4152">
        <v>116.542981490342</v>
      </c>
      <c r="G15" s="4159">
        <f t="shared" si="0"/>
        <v>1.8666666666666587</v>
      </c>
      <c r="H15" s="4160">
        <f t="shared" si="1"/>
        <v>9.5542857142856735E-2</v>
      </c>
      <c r="I15" s="3328">
        <v>0.21754689878197081</v>
      </c>
      <c r="J15" s="3327">
        <v>1.1134849431534342E-2</v>
      </c>
      <c r="L15" s="1439" t="s">
        <v>957</v>
      </c>
      <c r="M15" s="173"/>
      <c r="N15" s="173"/>
      <c r="O15" s="173"/>
      <c r="P15" s="173"/>
      <c r="Q15" s="173"/>
      <c r="R15" s="173"/>
      <c r="S15" s="173"/>
      <c r="T15" s="173"/>
      <c r="U15" s="173"/>
      <c r="V15" s="173"/>
      <c r="W15" s="173"/>
      <c r="X15" s="173"/>
    </row>
    <row r="16" spans="2:24" ht="18" customHeight="1" x14ac:dyDescent="0.2">
      <c r="B16" s="2671" t="s">
        <v>2211</v>
      </c>
      <c r="C16" s="440" t="s">
        <v>2147</v>
      </c>
      <c r="D16" s="440" t="s">
        <v>2147</v>
      </c>
      <c r="E16" s="440" t="s">
        <v>2147</v>
      </c>
      <c r="F16" s="4152">
        <v>106.408623183335</v>
      </c>
      <c r="G16" s="4161">
        <f t="shared" si="0"/>
        <v>1.8666666666666689</v>
      </c>
      <c r="H16" s="4162">
        <f t="shared" si="1"/>
        <v>7.1657142857142933E-2</v>
      </c>
      <c r="I16" s="3329">
        <v>0.19862942994222554</v>
      </c>
      <c r="J16" s="3327">
        <v>7.6249379126801277E-3</v>
      </c>
      <c r="L16" s="1439"/>
      <c r="M16" s="173"/>
      <c r="N16" s="173"/>
      <c r="O16" s="173"/>
      <c r="P16" s="173"/>
      <c r="Q16" s="173"/>
      <c r="R16" s="173"/>
      <c r="S16" s="173"/>
      <c r="T16" s="173"/>
      <c r="U16" s="173"/>
      <c r="V16" s="173"/>
      <c r="W16" s="173"/>
      <c r="X16" s="173"/>
    </row>
    <row r="17" spans="2:24" ht="18" customHeight="1" x14ac:dyDescent="0.2">
      <c r="B17" s="2671" t="s">
        <v>2271</v>
      </c>
      <c r="C17" s="440" t="s">
        <v>2147</v>
      </c>
      <c r="D17" s="440" t="s">
        <v>2147</v>
      </c>
      <c r="E17" s="440" t="s">
        <v>2147</v>
      </c>
      <c r="F17" s="4152">
        <v>4.6939675240516401</v>
      </c>
      <c r="G17" s="4161">
        <f t="shared" si="0"/>
        <v>1.8666666666666658</v>
      </c>
      <c r="H17" s="4162">
        <f t="shared" si="1"/>
        <v>7.1657142857142836E-2</v>
      </c>
      <c r="I17" s="3329">
        <v>8.7620727115630577E-3</v>
      </c>
      <c r="J17" s="3327">
        <v>3.3635630143775741E-4</v>
      </c>
      <c r="L17" s="1439"/>
      <c r="M17" s="173"/>
      <c r="N17" s="173"/>
      <c r="O17" s="173"/>
      <c r="P17" s="173"/>
      <c r="Q17" s="173"/>
      <c r="R17" s="173"/>
      <c r="S17" s="173"/>
      <c r="T17" s="173"/>
      <c r="U17" s="173"/>
      <c r="V17" s="173"/>
      <c r="W17" s="173"/>
      <c r="X17" s="173"/>
    </row>
    <row r="18" spans="2:24" ht="18" customHeight="1" x14ac:dyDescent="0.2">
      <c r="B18" s="2671" t="s">
        <v>2212</v>
      </c>
      <c r="C18" s="440" t="s">
        <v>2147</v>
      </c>
      <c r="D18" s="440" t="s">
        <v>2147</v>
      </c>
      <c r="E18" s="440" t="s">
        <v>2147</v>
      </c>
      <c r="F18" s="4152">
        <v>235.34264842620399</v>
      </c>
      <c r="G18" s="4161">
        <f t="shared" si="0"/>
        <v>1.9600000000000026</v>
      </c>
      <c r="H18" s="4162">
        <f t="shared" si="1"/>
        <v>8.3600000000000105E-2</v>
      </c>
      <c r="I18" s="3329">
        <v>0.46127159091536046</v>
      </c>
      <c r="J18" s="3327">
        <v>1.9674645408430679E-2</v>
      </c>
      <c r="L18" s="1439"/>
      <c r="M18" s="173"/>
      <c r="N18" s="173"/>
      <c r="O18" s="173"/>
      <c r="P18" s="173"/>
      <c r="Q18" s="173"/>
      <c r="R18" s="173"/>
      <c r="S18" s="173"/>
      <c r="T18" s="173"/>
      <c r="U18" s="173"/>
      <c r="V18" s="173"/>
      <c r="W18" s="173"/>
      <c r="X18" s="173"/>
    </row>
    <row r="19" spans="2:24" ht="18" customHeight="1" thickBot="1" x14ac:dyDescent="0.25">
      <c r="B19" s="2671" t="s">
        <v>2213</v>
      </c>
      <c r="C19" s="440" t="s">
        <v>2147</v>
      </c>
      <c r="D19" s="440" t="s">
        <v>2147</v>
      </c>
      <c r="E19" s="440" t="s">
        <v>2147</v>
      </c>
      <c r="F19" s="4163">
        <v>13.592096982540401</v>
      </c>
      <c r="G19" s="4161">
        <f t="shared" si="0"/>
        <v>1.8666666666666694</v>
      </c>
      <c r="H19" s="4162">
        <f t="shared" si="1"/>
        <v>7.1657142857142947E-2</v>
      </c>
      <c r="I19" s="3329">
        <v>2.5371914367408786E-2</v>
      </c>
      <c r="J19" s="3327">
        <v>9.739708352060391E-4</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164">
        <f>F21</f>
        <v>144.233093353762</v>
      </c>
      <c r="G20" s="4165">
        <f t="shared" si="0"/>
        <v>1.8666666666666678</v>
      </c>
      <c r="H20" s="4166">
        <f t="shared" si="1"/>
        <v>0.10748571428571434</v>
      </c>
      <c r="I20" s="3220">
        <f>I21</f>
        <v>0.26923510759368924</v>
      </c>
      <c r="J20" s="449">
        <f>J21</f>
        <v>1.5502997062767226E-2</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167">
        <f>F22</f>
        <v>144.233093353762</v>
      </c>
      <c r="G21" s="4168">
        <f t="shared" si="0"/>
        <v>1.8666666666666678</v>
      </c>
      <c r="H21" s="4158">
        <f t="shared" si="1"/>
        <v>0.10748571428571434</v>
      </c>
      <c r="I21" s="3199">
        <f>I22</f>
        <v>0.26923510759368924</v>
      </c>
      <c r="J21" s="3085">
        <f>J22</f>
        <v>1.5502997062767226E-2</v>
      </c>
      <c r="L21" s="159"/>
      <c r="M21" s="159"/>
      <c r="N21" s="159"/>
      <c r="O21" s="159"/>
      <c r="P21" s="159"/>
      <c r="Q21" s="159"/>
      <c r="R21" s="159"/>
      <c r="S21" s="159"/>
      <c r="T21" s="159"/>
      <c r="U21" s="159"/>
      <c r="V21" s="159"/>
      <c r="W21" s="159"/>
      <c r="X21" s="159"/>
    </row>
    <row r="22" spans="2:24" ht="18" customHeight="1" thickBot="1" x14ac:dyDescent="0.25">
      <c r="B22" s="2672" t="s">
        <v>2214</v>
      </c>
      <c r="C22" s="452" t="s">
        <v>2147</v>
      </c>
      <c r="D22" s="310" t="s">
        <v>2147</v>
      </c>
      <c r="E22" s="310" t="s">
        <v>2147</v>
      </c>
      <c r="F22" s="4169">
        <v>144.233093353762</v>
      </c>
      <c r="G22" s="4170">
        <f t="shared" si="0"/>
        <v>1.8666666666666678</v>
      </c>
      <c r="H22" s="4171">
        <f t="shared" si="1"/>
        <v>0.10748571428571434</v>
      </c>
      <c r="I22" s="3330">
        <v>0.26923510759368924</v>
      </c>
      <c r="J22" s="3331">
        <v>1.5502997062767226E-2</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25">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25">
      <c r="B26" s="454" t="s">
        <v>962</v>
      </c>
      <c r="C26" s="455" t="s">
        <v>2147</v>
      </c>
      <c r="D26" s="456" t="s">
        <v>2147</v>
      </c>
      <c r="E26" s="456" t="s">
        <v>2147</v>
      </c>
      <c r="F26" s="4174">
        <v>563.35717999404403</v>
      </c>
      <c r="G26" s="4175">
        <f t="shared" si="0"/>
        <v>1.866666666666668</v>
      </c>
      <c r="H26" s="4176">
        <f t="shared" si="1"/>
        <v>5.9714285714285754E-2</v>
      </c>
      <c r="I26" s="3332">
        <v>1.0516000693222163</v>
      </c>
      <c r="J26" s="3333">
        <v>3.364047160535865E-2</v>
      </c>
      <c r="L26" s="159"/>
    </row>
    <row r="27" spans="2:24" ht="18" customHeight="1" x14ac:dyDescent="0.2">
      <c r="B27" s="446" t="s">
        <v>963</v>
      </c>
      <c r="C27" s="447"/>
      <c r="D27" s="448"/>
      <c r="E27" s="448"/>
      <c r="F27" s="4164">
        <f>IF(SUM(F28:F29)=0,"NO",SUM(F28:F29))</f>
        <v>366.04185542643978</v>
      </c>
      <c r="G27" s="4165">
        <f t="shared" si="0"/>
        <v>1.8667668898356831</v>
      </c>
      <c r="H27" s="4166">
        <f t="shared" si="1"/>
        <v>0.10757548560996172</v>
      </c>
      <c r="I27" s="3220">
        <f>IF(SUM(I28:I29)=0,"NO",SUM(I28:I29))</f>
        <v>0.68331481600409771</v>
      </c>
      <c r="J27" s="449">
        <f>IF(SUM(J28:J29)=0,"NO",SUM(J28:J29))</f>
        <v>3.9377130351070662E-2</v>
      </c>
      <c r="L27" s="159"/>
      <c r="M27" s="159"/>
      <c r="N27" s="159"/>
      <c r="O27" s="159"/>
      <c r="P27" s="159"/>
      <c r="Q27" s="159"/>
      <c r="R27" s="159"/>
      <c r="S27" s="159"/>
      <c r="T27" s="159"/>
      <c r="U27" s="159"/>
      <c r="V27" s="159"/>
      <c r="W27" s="159"/>
      <c r="X27" s="159"/>
    </row>
    <row r="28" spans="2:24" ht="18" customHeight="1" x14ac:dyDescent="0.2">
      <c r="B28" s="2671" t="s">
        <v>2215</v>
      </c>
      <c r="C28" s="440" t="s">
        <v>2147</v>
      </c>
      <c r="D28" s="440" t="s">
        <v>2147</v>
      </c>
      <c r="E28" s="440" t="s">
        <v>2147</v>
      </c>
      <c r="F28" s="4163">
        <v>0.39306294367981998</v>
      </c>
      <c r="G28" s="4161">
        <f t="shared" si="0"/>
        <v>1.9599999999999855</v>
      </c>
      <c r="H28" s="4162">
        <f t="shared" si="1"/>
        <v>0.19108571428571286</v>
      </c>
      <c r="I28" s="3329">
        <v>7.7040336961244147E-4</v>
      </c>
      <c r="J28" s="3327">
        <v>7.5108713352303334E-5</v>
      </c>
      <c r="L28" s="159"/>
      <c r="M28" s="159"/>
      <c r="N28" s="159"/>
      <c r="O28" s="159"/>
      <c r="P28" s="159"/>
      <c r="Q28" s="159"/>
      <c r="R28" s="159"/>
      <c r="S28" s="159"/>
      <c r="T28" s="159"/>
      <c r="U28" s="159"/>
      <c r="V28" s="159"/>
      <c r="W28" s="159"/>
      <c r="X28" s="159"/>
    </row>
    <row r="29" spans="2:24" ht="18" customHeight="1" thickBot="1" x14ac:dyDescent="0.25">
      <c r="B29" s="2671" t="s">
        <v>2216</v>
      </c>
      <c r="C29" s="440" t="s">
        <v>2147</v>
      </c>
      <c r="D29" s="440" t="s">
        <v>2147</v>
      </c>
      <c r="E29" s="440" t="s">
        <v>2147</v>
      </c>
      <c r="F29" s="4163">
        <v>365.64879248275997</v>
      </c>
      <c r="G29" s="4161">
        <f t="shared" ref="G29" si="2">IF(SUM($F29)=0,"NA",I29/$F29*1000)</f>
        <v>1.8666666666666667</v>
      </c>
      <c r="H29" s="4162">
        <f t="shared" ref="H29" si="3">IF(SUM($F29)=0,"NA",J29/$F29*1000)</f>
        <v>0.10748571428571424</v>
      </c>
      <c r="I29" s="3329">
        <v>0.68254441263448529</v>
      </c>
      <c r="J29" s="3327">
        <v>3.9302021637718357E-2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95" t="s">
        <v>2217</v>
      </c>
      <c r="C41" s="4496"/>
      <c r="D41" s="4496"/>
      <c r="E41" s="4496"/>
      <c r="F41" s="4496"/>
      <c r="G41" s="4496"/>
      <c r="H41" s="4496"/>
      <c r="I41" s="4496"/>
      <c r="J41" s="4497"/>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6"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3"/>
      <c r="D10" s="2673"/>
      <c r="E10" s="3433">
        <f>IF(SUM(E11:E12)=0,"NO",SUM(E11:E12))</f>
        <v>1153.3920301118246</v>
      </c>
    </row>
    <row r="11" spans="2:5" s="83" customFormat="1" ht="18" customHeight="1" x14ac:dyDescent="0.2">
      <c r="B11" s="1854" t="s">
        <v>972</v>
      </c>
      <c r="C11" s="4187">
        <v>2810634.9224019102</v>
      </c>
      <c r="D11" s="3594">
        <f>IF(SUM(C11)=0,"NA",E11*1000/(44/12)/C11)</f>
        <v>0.10799999999999987</v>
      </c>
      <c r="E11" s="3431">
        <v>1113.0114292711551</v>
      </c>
    </row>
    <row r="12" spans="2:5" s="83" customFormat="1" ht="18" customHeight="1" x14ac:dyDescent="0.2">
      <c r="B12" s="1854" t="s">
        <v>973</v>
      </c>
      <c r="C12" s="4187">
        <v>89173.207598092704</v>
      </c>
      <c r="D12" s="3594">
        <f t="shared" ref="D12:D16" si="0">IF(SUM(C12)=0,"NA",E12*1000/(44/12)/C12)</f>
        <v>0.12349999999999996</v>
      </c>
      <c r="E12" s="3431">
        <v>40.380600840669629</v>
      </c>
    </row>
    <row r="13" spans="2:5" s="83" customFormat="1" ht="18" customHeight="1" x14ac:dyDescent="0.2">
      <c r="B13" s="846" t="s">
        <v>974</v>
      </c>
      <c r="C13" s="4188">
        <v>2058897.6492920001</v>
      </c>
      <c r="D13" s="4189">
        <f t="shared" si="0"/>
        <v>0.20000000000000004</v>
      </c>
      <c r="E13" s="3432">
        <v>1509.858276147467</v>
      </c>
    </row>
    <row r="14" spans="2:5" s="83" customFormat="1" ht="18" customHeight="1" x14ac:dyDescent="0.2">
      <c r="B14" s="846" t="s">
        <v>975</v>
      </c>
      <c r="C14" s="4188" t="s">
        <v>2154</v>
      </c>
      <c r="D14" s="4189" t="str">
        <f t="shared" si="0"/>
        <v>NA</v>
      </c>
      <c r="E14" s="4190" t="s">
        <v>2154</v>
      </c>
    </row>
    <row r="15" spans="2:5" s="83" customFormat="1" ht="18" customHeight="1" x14ac:dyDescent="0.2">
      <c r="B15" s="846" t="s">
        <v>2062</v>
      </c>
      <c r="C15" s="3594" t="str">
        <f>C16</f>
        <v>NO</v>
      </c>
      <c r="D15" s="3594" t="str">
        <f t="shared" si="0"/>
        <v>NA</v>
      </c>
      <c r="E15" s="3594" t="str">
        <f>E16</f>
        <v>NO</v>
      </c>
    </row>
    <row r="16" spans="2:5" s="83" customFormat="1" ht="18" customHeight="1" thickBot="1" x14ac:dyDescent="0.25">
      <c r="B16" s="2674" t="s">
        <v>2147</v>
      </c>
      <c r="C16" s="4191" t="s">
        <v>2146</v>
      </c>
      <c r="D16" s="3598" t="str">
        <f t="shared" si="0"/>
        <v>NA</v>
      </c>
      <c r="E16" s="4192"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6" t="s">
        <v>64</v>
      </c>
    </row>
    <row r="8" spans="2:9" ht="48" customHeight="1" x14ac:dyDescent="0.2">
      <c r="B8" s="1330" t="s">
        <v>65</v>
      </c>
      <c r="C8" s="470" t="s">
        <v>1956</v>
      </c>
      <c r="D8" s="471" t="s">
        <v>977</v>
      </c>
      <c r="E8" s="471" t="s">
        <v>978</v>
      </c>
      <c r="F8" s="471" t="s">
        <v>442</v>
      </c>
      <c r="G8" s="471" t="s">
        <v>70</v>
      </c>
      <c r="H8" s="470" t="s">
        <v>71</v>
      </c>
      <c r="I8" s="2473"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9">
        <f>IF(SUM(C11,C14,C17,C20,C23,C26,C29:C30)=0,"NO",SUM(C11,C14,C17,C20,C23,C26,C29:C30))</f>
        <v>-60914.133383424669</v>
      </c>
      <c r="D10" s="2989">
        <f t="shared" ref="D10:H10" si="0">IF(SUM(D11,D14,D17,D20,D23,D26,D29:D30)=0,"NO",SUM(D11,D14,D17,D20,D23,D26,D29:D30))</f>
        <v>613.85955247759591</v>
      </c>
      <c r="E10" s="2989">
        <f t="shared" si="0"/>
        <v>14.544315766922185</v>
      </c>
      <c r="F10" s="2989">
        <f t="shared" si="0"/>
        <v>785.49095268195924</v>
      </c>
      <c r="G10" s="2989">
        <f t="shared" si="0"/>
        <v>20564.995287439306</v>
      </c>
      <c r="H10" s="2990">
        <f t="shared" si="0"/>
        <v>542.48623215079715</v>
      </c>
      <c r="I10" s="2991">
        <f>IF(SUM(C10:E10)=0,"NO",SUM(C10)+28*SUM(D10)+265*SUM(E10))</f>
        <v>-39871.822235817606</v>
      </c>
    </row>
    <row r="11" spans="2:9" ht="18" customHeight="1" x14ac:dyDescent="0.2">
      <c r="B11" s="473" t="s">
        <v>981</v>
      </c>
      <c r="C11" s="2992">
        <f>IF(SUM(C12:C13)=0,"NO",SUM(C12:C13))</f>
        <v>-86149.359368465462</v>
      </c>
      <c r="D11" s="2992">
        <f t="shared" ref="D11:H11" si="1">IF(SUM(D12:D13)=0,"NO",SUM(D12:D13))</f>
        <v>275.5268589968087</v>
      </c>
      <c r="E11" s="2992">
        <f t="shared" si="1"/>
        <v>5.1549411564902936</v>
      </c>
      <c r="F11" s="2992">
        <f t="shared" si="1"/>
        <v>264.48920904468156</v>
      </c>
      <c r="G11" s="2992">
        <f t="shared" si="1"/>
        <v>7247.4139877614944</v>
      </c>
      <c r="H11" s="2993">
        <f t="shared" si="1"/>
        <v>285.35537045193286</v>
      </c>
      <c r="I11" s="2994">
        <f t="shared" ref="I11:I32" si="2">IF(SUM(C11:E11)=0,"NO",SUM(C11)+28*SUM(D11)+265*SUM(E11))</f>
        <v>-77068.54791008489</v>
      </c>
    </row>
    <row r="12" spans="2:9" ht="18" customHeight="1" x14ac:dyDescent="0.2">
      <c r="B12" s="474" t="s">
        <v>982</v>
      </c>
      <c r="C12" s="2995">
        <f>IF(SUM(Table4.A!U11,'Table4(IV)'!J12)=0,"NO",SUM(Table4.A!U11,'Table4(IV)'!J12))</f>
        <v>-40396.433218162929</v>
      </c>
      <c r="D12" s="2995">
        <f>'Table4(IV)'!K12</f>
        <v>270.91667004967019</v>
      </c>
      <c r="E12" s="2995">
        <f>IF(SUM('Table4(III)'!I12,'Table4(IV)'!L12)=0,"NO",SUM('Table4(III)'!I12,'Table4(IV)'!L12))</f>
        <v>4.308400012701088</v>
      </c>
      <c r="F12" s="2905">
        <v>261.76954174409354</v>
      </c>
      <c r="G12" s="2905">
        <v>7142.4585846506152</v>
      </c>
      <c r="H12" s="2906">
        <v>272.96498069756768</v>
      </c>
      <c r="I12" s="2996">
        <f t="shared" si="2"/>
        <v>-31669.040453406378</v>
      </c>
    </row>
    <row r="13" spans="2:9" ht="18" customHeight="1" thickBot="1" x14ac:dyDescent="0.25">
      <c r="B13" s="475" t="s">
        <v>983</v>
      </c>
      <c r="C13" s="2997">
        <f>IF(SUM(Table4.A!U16,'Table4(IV)'!J19)=0,"NO",SUM(Table4.A!U16,'Table4(IV)'!J19))</f>
        <v>-45752.926150302526</v>
      </c>
      <c r="D13" s="2997">
        <f>'Table4(IV)'!K19</f>
        <v>4.6101889471385302</v>
      </c>
      <c r="E13" s="2997">
        <f>IF(SUM('Table4(III)'!I13,'Table4(IV)'!L19)=0,"NO",SUM('Table4(III)'!I13,'Table4(IV)'!L19))</f>
        <v>0.84654114378920553</v>
      </c>
      <c r="F13" s="2908">
        <v>2.7196673005880023</v>
      </c>
      <c r="G13" s="2908">
        <v>104.9554031108796</v>
      </c>
      <c r="H13" s="2907">
        <v>12.390389754365184</v>
      </c>
      <c r="I13" s="2998">
        <f t="shared" si="2"/>
        <v>-45399.507456678512</v>
      </c>
    </row>
    <row r="14" spans="2:9" ht="18" customHeight="1" x14ac:dyDescent="0.2">
      <c r="B14" s="473" t="s">
        <v>984</v>
      </c>
      <c r="C14" s="2992">
        <f>IF(SUM(C15:C16)=0,"NO",SUM(C15:C16))</f>
        <v>-2959.6375306847522</v>
      </c>
      <c r="D14" s="2992">
        <f t="shared" ref="D14" si="3">IF(SUM(D15:D16)=0,"NO",SUM(D15:D16))</f>
        <v>1.6117848000000004</v>
      </c>
      <c r="E14" s="2992">
        <f t="shared" ref="E14" si="4">IF(SUM(E15:E16)=0,"NO",SUM(E15:E16))</f>
        <v>0.1527644847598269</v>
      </c>
      <c r="F14" s="2992">
        <f t="shared" ref="F14" si="5">IF(SUM(F15:F16)=0,"NO",SUM(F15:F16))</f>
        <v>1.2136355785714286</v>
      </c>
      <c r="G14" s="2992">
        <f t="shared" ref="G14" si="6">IF(SUM(G15:G16)=0,"NO",SUM(G15:G16))</f>
        <v>47.532727666666673</v>
      </c>
      <c r="H14" s="2993">
        <f t="shared" ref="H14" si="7">IF(SUM(H15:H16)=0,"NO",SUM(H15:H16))</f>
        <v>5.7457143333333329</v>
      </c>
      <c r="I14" s="2999">
        <f t="shared" si="2"/>
        <v>-2874.0249678233981</v>
      </c>
    </row>
    <row r="15" spans="2:9" ht="18" customHeight="1" x14ac:dyDescent="0.2">
      <c r="B15" s="474" t="s">
        <v>985</v>
      </c>
      <c r="C15" s="2995">
        <f>IF(SUM(Table4.B!S11,'Table4(IV)'!J26)=0,"NO",SUM(Table4.B!S11,'Table4(IV)'!J26))</f>
        <v>-4902.7830374931309</v>
      </c>
      <c r="D15" s="2995" t="str">
        <f>'Table4(IV)'!K26</f>
        <v>IE</v>
      </c>
      <c r="E15" s="2995" t="str">
        <f>'Table4(IV)'!L26</f>
        <v>IE</v>
      </c>
      <c r="F15" s="2905" t="s">
        <v>2153</v>
      </c>
      <c r="G15" s="2905" t="s">
        <v>2153</v>
      </c>
      <c r="H15" s="2906" t="s">
        <v>2153</v>
      </c>
      <c r="I15" s="2996">
        <f t="shared" si="2"/>
        <v>-4902.7830374931309</v>
      </c>
    </row>
    <row r="16" spans="2:9" ht="18" customHeight="1" thickBot="1" x14ac:dyDescent="0.25">
      <c r="B16" s="475" t="s">
        <v>986</v>
      </c>
      <c r="C16" s="2997">
        <f>IF(SUM(Table4.B!S13,'Table4(IV)'!J31)=0,"IE",SUM(Table4.B!S13,'Table4(IV)'!J31))</f>
        <v>1943.145506808379</v>
      </c>
      <c r="D16" s="2997">
        <f>'Table4(IV)'!K31</f>
        <v>1.6117848000000004</v>
      </c>
      <c r="E16" s="2997">
        <f>IF(SUM('Table4(III)'!I21,'Table4(IV)'!L31)=0,"IE",SUM('Table4(III)'!I21,'Table4(IV)'!L31))</f>
        <v>0.1527644847598269</v>
      </c>
      <c r="F16" s="2908">
        <v>1.2136355785714286</v>
      </c>
      <c r="G16" s="2908">
        <v>47.532727666666673</v>
      </c>
      <c r="H16" s="2907">
        <v>5.7457143333333329</v>
      </c>
      <c r="I16" s="2998">
        <f t="shared" si="2"/>
        <v>2028.7580696697332</v>
      </c>
    </row>
    <row r="17" spans="2:9" ht="18" customHeight="1" x14ac:dyDescent="0.2">
      <c r="B17" s="473" t="s">
        <v>987</v>
      </c>
      <c r="C17" s="2992">
        <f>IF(SUM(C18:C19)=0,"NO",SUM(C18:C19))</f>
        <v>28461.148450275516</v>
      </c>
      <c r="D17" s="2992">
        <f t="shared" ref="D17" si="8">IF(SUM(D18:D19)=0,"NO",SUM(D18:D19))</f>
        <v>249.67701120996236</v>
      </c>
      <c r="E17" s="2992">
        <f t="shared" ref="E17" si="9">IF(SUM(E18:E19)=0,"NO",SUM(E18:E19))</f>
        <v>8.6750238985645254</v>
      </c>
      <c r="F17" s="2992">
        <f t="shared" ref="F17" si="10">IF(SUM(F18:F19)=0,"NO",SUM(F18:F19))</f>
        <v>495.35716064511701</v>
      </c>
      <c r="G17" s="2992">
        <f t="shared" ref="G17" si="11">IF(SUM(G18:G19)=0,"NO",SUM(G18:G19))</f>
        <v>12667.067438469212</v>
      </c>
      <c r="H17" s="2993">
        <f t="shared" ref="H17" si="12">IF(SUM(H18:H19)=0,"NO",SUM(H18:H19))</f>
        <v>245.67920135403335</v>
      </c>
      <c r="I17" s="2999">
        <f t="shared" si="2"/>
        <v>37750.986097274064</v>
      </c>
    </row>
    <row r="18" spans="2:9" ht="18" customHeight="1" x14ac:dyDescent="0.2">
      <c r="B18" s="474" t="s">
        <v>988</v>
      </c>
      <c r="C18" s="2995">
        <f>IF(SUM(Table4.C!S11,'Table4(IV)'!J37)=0,"IE",SUM(Table4.C!S11,'Table4(IV)'!J37))</f>
        <v>-9699.9565259402116</v>
      </c>
      <c r="D18" s="2995">
        <f>'Table4(IV)'!K37</f>
        <v>203.76322499485721</v>
      </c>
      <c r="E18" s="2995">
        <f>IF(SUM('Table4(III)'!I29,'Table4(IV)'!L37)=0,"NO",SUM('Table4(III)'!I29,'Table4(IV)'!L37))</f>
        <v>7.2098918046707263</v>
      </c>
      <c r="F18" s="2905">
        <v>459.93994357513503</v>
      </c>
      <c r="G18" s="2905">
        <v>11304.095691357168</v>
      </c>
      <c r="H18" s="2906">
        <v>85.511820119564803</v>
      </c>
      <c r="I18" s="2996">
        <f t="shared" si="2"/>
        <v>-2083.964897846467</v>
      </c>
    </row>
    <row r="19" spans="2:9" ht="18" customHeight="1" thickBot="1" x14ac:dyDescent="0.25">
      <c r="B19" s="475" t="s">
        <v>989</v>
      </c>
      <c r="C19" s="2997">
        <f>IF(SUM(Table4.C!S15,'Table4(IV)'!J42)=0,"IE",SUM(Table4.C!S15,'Table4(IV)'!J42))</f>
        <v>38161.104976215727</v>
      </c>
      <c r="D19" s="2997">
        <f>'Table4(IV)'!K42</f>
        <v>45.913786215105155</v>
      </c>
      <c r="E19" s="2997">
        <f>IF(SUM('Table4(III)'!I30,'Table4(IV)'!L42)=0,"NO",SUM('Table4(III)'!I30,'Table4(IV)'!L42))</f>
        <v>1.4651320938937995</v>
      </c>
      <c r="F19" s="2908">
        <v>35.417217069981973</v>
      </c>
      <c r="G19" s="2908">
        <v>1362.9717471120437</v>
      </c>
      <c r="H19" s="2907">
        <v>160.16738123446854</v>
      </c>
      <c r="I19" s="2998">
        <f t="shared" si="2"/>
        <v>39834.950995120525</v>
      </c>
    </row>
    <row r="20" spans="2:9" ht="18" customHeight="1" x14ac:dyDescent="0.2">
      <c r="B20" s="473" t="s">
        <v>2027</v>
      </c>
      <c r="C20" s="2992">
        <f>IF(SUM(C21:C22)=0,"NO",SUM(C21:C22))</f>
        <v>-261.86533523588122</v>
      </c>
      <c r="D20" s="2992">
        <f t="shared" ref="D20" si="13">IF(SUM(D21:D22)=0,"NO",SUM(D21:D22))</f>
        <v>85.543842270824783</v>
      </c>
      <c r="E20" s="2992">
        <f t="shared" ref="E20" si="14">IF(SUM(E21:E22)=0,"NO",SUM(E21:E22))</f>
        <v>0.31412217494954964</v>
      </c>
      <c r="F20" s="2992">
        <f t="shared" ref="F20" si="15">IF(SUM(F21:F22)=0,"NO",SUM(F21:F22))</f>
        <v>23.301441563589322</v>
      </c>
      <c r="G20" s="2992">
        <f t="shared" ref="G20" si="16">IF(SUM(G21:G22)=0,"NO",SUM(G21:G22))</f>
        <v>558.74339454193114</v>
      </c>
      <c r="H20" s="2993">
        <f t="shared" ref="H20" si="17">IF(SUM(H21:H22)=0,"NO",SUM(H21:H22))</f>
        <v>0.35852701149773913</v>
      </c>
      <c r="I20" s="2999">
        <f t="shared" si="2"/>
        <v>2216.6046247088434</v>
      </c>
    </row>
    <row r="21" spans="2:9" ht="18" customHeight="1" x14ac:dyDescent="0.2">
      <c r="B21" s="474" t="s">
        <v>990</v>
      </c>
      <c r="C21" s="2995">
        <f>IF(SUM(Table4.D!S11,'Table4(IV)'!J49)=0,"IE",SUM(Table4.D!S11,'Table4(IV)'!J49))</f>
        <v>-263.44933523588122</v>
      </c>
      <c r="D21" s="2995">
        <f>IF(SUM('Table4(IV)'!K49,'Table4(II)'!J270)=0,"NO",SUM('Table4(IV)'!K49,'Table4(II)'!J270))</f>
        <v>84.56074612731949</v>
      </c>
      <c r="E21" s="2995">
        <f>IF(SUM('Table4(II)'!I270,'Table4(III)'!I38,'Table4(IV)'!L49)=0,"NO",SUM('Table4(II)'!I270,'Table4(III)'!I38,'Table4(IV)'!L49))</f>
        <v>0.31412217494954964</v>
      </c>
      <c r="F21" s="2905">
        <v>23.301441563589322</v>
      </c>
      <c r="G21" s="2905">
        <v>558.74339454193114</v>
      </c>
      <c r="H21" s="2906">
        <v>0.35852701149773913</v>
      </c>
      <c r="I21" s="2996">
        <f t="shared" si="2"/>
        <v>2187.4939326906951</v>
      </c>
    </row>
    <row r="22" spans="2:9" ht="18" customHeight="1" thickBot="1" x14ac:dyDescent="0.25">
      <c r="B22" s="475" t="s">
        <v>991</v>
      </c>
      <c r="C22" s="2997">
        <f>IF(SUM(Table4.D!S23,'Table4(II)'!H320,'Table4(IV)'!J54)=0,"NO",SUM(Table4.D!S23,'Table4(II)'!H320,'Table4(IV)'!J54))</f>
        <v>1.5839999999999999</v>
      </c>
      <c r="D22" s="2997">
        <f>IF(SUM('Table4(IV)'!K54,'Table4(II)'!J320)=0,"NO",SUM('Table4(IV)'!K54,'Table4(II)'!J320))</f>
        <v>0.98309614350529584</v>
      </c>
      <c r="E22" s="2997" t="str">
        <f>IF(SUM('Table4(II)'!I320,'Table4(III)'!I39,'Table4(IV)'!L54)=0,"NO",SUM('Table4(II)'!I320,'Table4(III)'!I39,'Table4(IV)'!L54))</f>
        <v>NO</v>
      </c>
      <c r="F22" s="2908" t="s">
        <v>2153</v>
      </c>
      <c r="G22" s="2908" t="s">
        <v>2153</v>
      </c>
      <c r="H22" s="2907" t="s">
        <v>2153</v>
      </c>
      <c r="I22" s="2998">
        <f t="shared" si="2"/>
        <v>29.110692018148281</v>
      </c>
    </row>
    <row r="23" spans="2:9" ht="18" customHeight="1" x14ac:dyDescent="0.2">
      <c r="B23" s="473" t="s">
        <v>992</v>
      </c>
      <c r="C23" s="2992">
        <f>IF(SUM(C24:C25)=0,"NO",SUM(C24:C25))</f>
        <v>4409.4994612760966</v>
      </c>
      <c r="D23" s="2992">
        <f t="shared" ref="D23" si="18">IF(SUM(D24:D25)=0,"NO",SUM(D24:D25))</f>
        <v>1.5000551999999998</v>
      </c>
      <c r="E23" s="2992">
        <f t="shared" ref="E23" si="19">IF(SUM(E24:E25)=0,"NO",SUM(E24:E25))</f>
        <v>5.2575269293704825E-2</v>
      </c>
      <c r="F23" s="2992">
        <f>IF(SUM(F24:F25)=0,"NO",SUM(F24:F25))</f>
        <v>1.1295058499999999</v>
      </c>
      <c r="G23" s="2992">
        <f t="shared" ref="G23" si="20">IF(SUM(G24:G25)=0,"NO",SUM(G24:G25))</f>
        <v>44.237739000000005</v>
      </c>
      <c r="H23" s="2993">
        <f t="shared" ref="H23" si="21">IF(SUM(H24:H25)=0,"NO",SUM(H24:H25))</f>
        <v>5.3474190000000004</v>
      </c>
      <c r="I23" s="2999">
        <f t="shared" si="2"/>
        <v>4465.4334532389285</v>
      </c>
    </row>
    <row r="24" spans="2:9" ht="18" customHeight="1" x14ac:dyDescent="0.2">
      <c r="B24" s="474" t="s">
        <v>993</v>
      </c>
      <c r="C24" s="2995">
        <f>IF(SUM(Table4.E!S11,'Table4(IV)'!J60)=0,"IE",SUM(Table4.E!S11,'Table4(IV)'!J60))</f>
        <v>-32.609153554012245</v>
      </c>
      <c r="D24" s="2995" t="str">
        <f>'Table4(IV)'!K60</f>
        <v>IE</v>
      </c>
      <c r="E24" s="2995">
        <f>IF(SUM('Table4(III)'!I47,'Table4(IV)'!L60)=0,"IE",SUM('Table4(III)'!I47,'Table4(IV)'!L60))</f>
        <v>1.1727744594897832E-4</v>
      </c>
      <c r="F24" s="2905" t="s">
        <v>2154</v>
      </c>
      <c r="G24" s="2905" t="s">
        <v>2154</v>
      </c>
      <c r="H24" s="2906" t="s">
        <v>2154</v>
      </c>
      <c r="I24" s="2996">
        <f t="shared" si="2"/>
        <v>-32.578075030835763</v>
      </c>
    </row>
    <row r="25" spans="2:9" ht="18" customHeight="1" thickBot="1" x14ac:dyDescent="0.25">
      <c r="B25" s="475" t="s">
        <v>994</v>
      </c>
      <c r="C25" s="2997">
        <f>IF(SUM(Table4.E!S13,'Table4(IV)'!J65)=0,"IE",SUM(Table4.E!S13,'Table4(IV)'!J65))</f>
        <v>4442.1086148301092</v>
      </c>
      <c r="D25" s="2997">
        <f>'Table4(IV)'!K65</f>
        <v>1.5000551999999998</v>
      </c>
      <c r="E25" s="2997">
        <f>IF(SUM('Table4(III)'!I48,'Table4(IV)'!L65)=0,"NO",SUM('Table4(III)'!I48,'Table4(IV)'!L65))</f>
        <v>5.2457991847755847E-2</v>
      </c>
      <c r="F25" s="2908">
        <v>1.1295058499999999</v>
      </c>
      <c r="G25" s="2908">
        <v>44.237739000000005</v>
      </c>
      <c r="H25" s="2907">
        <v>5.3474190000000004</v>
      </c>
      <c r="I25" s="2998">
        <f t="shared" si="2"/>
        <v>4498.0115282697643</v>
      </c>
    </row>
    <row r="26" spans="2:9" ht="18" customHeight="1" x14ac:dyDescent="0.2">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
      <c r="B27" s="474" t="s">
        <v>995</v>
      </c>
      <c r="C27" s="3000"/>
      <c r="D27" s="3000"/>
      <c r="E27" s="3000"/>
      <c r="F27" s="3000"/>
      <c r="G27" s="3000"/>
      <c r="H27" s="3001"/>
      <c r="I27" s="3002"/>
    </row>
    <row r="28" spans="2:9" ht="18" customHeight="1" thickBot="1" x14ac:dyDescent="0.25">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25">
      <c r="B29" s="1167" t="s">
        <v>2029</v>
      </c>
      <c r="C29" s="3003">
        <f>'Table4.Gs1 '!G10</f>
        <v>-4413.9190605901867</v>
      </c>
      <c r="D29" s="3004"/>
      <c r="E29" s="3004"/>
      <c r="F29" s="3004"/>
      <c r="G29" s="3004"/>
      <c r="H29" s="3005"/>
      <c r="I29" s="3006">
        <f t="shared" si="2"/>
        <v>-4413.9190605901867</v>
      </c>
    </row>
    <row r="30" spans="2:9" ht="18" customHeight="1" x14ac:dyDescent="0.2">
      <c r="B30" s="1168" t="s">
        <v>2063</v>
      </c>
      <c r="C30" s="3007" t="str">
        <f>IF(SUM(C31:C32)=0,"NO",SUM(C31:C32))</f>
        <v>NO</v>
      </c>
      <c r="D30" s="3007" t="str">
        <f t="shared" ref="D30" si="27">IF(SUM(D31:D32)=0,"NO",SUM(D31:D32))</f>
        <v>NO</v>
      </c>
      <c r="E30" s="3007">
        <f t="shared" ref="E30" si="28">IF(SUM(E31:E32)=0,"NO",SUM(E31:E32))</f>
        <v>0.19488878286428571</v>
      </c>
      <c r="F30" s="3007" t="str">
        <f t="shared" ref="F30" si="29">IF(SUM(F31:F32)=0,"NO",SUM(F31:F32))</f>
        <v>NO</v>
      </c>
      <c r="G30" s="3007" t="str">
        <f t="shared" ref="G30" si="30">IF(SUM(G31:G32)=0,"NO",SUM(G31:G32))</f>
        <v>NO</v>
      </c>
      <c r="H30" s="3008" t="str">
        <f t="shared" ref="H30" si="31">IF(SUM(H31:H32)=0,"NO",SUM(H31:H32))</f>
        <v>NO</v>
      </c>
      <c r="I30" s="3009">
        <f t="shared" si="2"/>
        <v>51.645527459035712</v>
      </c>
    </row>
    <row r="31" spans="2:9" ht="18" customHeight="1" x14ac:dyDescent="0.2">
      <c r="B31" s="2677" t="s">
        <v>2218</v>
      </c>
      <c r="C31" s="3010" t="s">
        <v>2146</v>
      </c>
      <c r="D31" s="3010" t="s">
        <v>2146</v>
      </c>
      <c r="E31" s="3010">
        <v>0.19488878286428571</v>
      </c>
      <c r="F31" s="3010" t="s">
        <v>2146</v>
      </c>
      <c r="G31" s="3010" t="s">
        <v>2146</v>
      </c>
      <c r="H31" s="3011" t="s">
        <v>2146</v>
      </c>
      <c r="I31" s="3012">
        <f t="shared" si="2"/>
        <v>51.645527459035712</v>
      </c>
    </row>
    <row r="32" spans="2:9" ht="18" customHeight="1" thickBot="1" x14ac:dyDescent="0.25">
      <c r="B32" s="2676" t="s">
        <v>2219</v>
      </c>
      <c r="C32" s="3013" t="s">
        <v>2146</v>
      </c>
      <c r="D32" s="3013" t="s">
        <v>2146</v>
      </c>
      <c r="E32" s="3013" t="s">
        <v>2146</v>
      </c>
      <c r="F32" s="3014" t="s">
        <v>2146</v>
      </c>
      <c r="G32" s="3014" t="s">
        <v>2146</v>
      </c>
      <c r="H32" s="3014" t="s">
        <v>2146</v>
      </c>
      <c r="I32" s="2998" t="str">
        <f t="shared" si="2"/>
        <v>NO</v>
      </c>
    </row>
    <row r="33" spans="2:9" ht="18" customHeight="1" thickBot="1" x14ac:dyDescent="0.25">
      <c r="B33" s="1554"/>
      <c r="C33" s="3015"/>
      <c r="D33" s="3015"/>
      <c r="E33" s="3015"/>
      <c r="F33" s="3015"/>
      <c r="G33" s="3015"/>
      <c r="H33" s="3015"/>
      <c r="I33" s="3015"/>
    </row>
    <row r="34" spans="2:9" ht="18" customHeight="1" x14ac:dyDescent="0.2">
      <c r="B34" s="1555" t="s">
        <v>997</v>
      </c>
      <c r="C34" s="3016"/>
      <c r="D34" s="3016"/>
      <c r="E34" s="3016"/>
      <c r="F34" s="3016"/>
      <c r="G34" s="3016"/>
      <c r="H34" s="3016"/>
      <c r="I34" s="3017"/>
    </row>
    <row r="35" spans="2:9" ht="18" customHeight="1" thickBot="1" x14ac:dyDescent="0.25">
      <c r="B35" s="1801" t="s">
        <v>2030</v>
      </c>
      <c r="C35" s="3013">
        <v>24607.263185512544</v>
      </c>
      <c r="D35" s="3013">
        <v>168.07681550371319</v>
      </c>
      <c r="E35" s="3013">
        <v>1.6569579516271473</v>
      </c>
      <c r="F35" s="3013">
        <v>67.060394585015629</v>
      </c>
      <c r="G35" s="3013">
        <v>2626.4584932330681</v>
      </c>
      <c r="H35" s="3013">
        <v>317.48399368751376</v>
      </c>
      <c r="I35" s="3018">
        <f t="shared" ref="I35" si="32">IF(SUM(C35:E35)=0,"NO",SUM(C35)+28*SUM(D35)+265*SUM(E35))</f>
        <v>29752.507876797707</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468" t="s">
        <v>2294</v>
      </c>
      <c r="C60" s="4469"/>
      <c r="D60" s="4469"/>
      <c r="E60" s="4469"/>
      <c r="F60" s="4469"/>
      <c r="G60" s="4469"/>
      <c r="H60" s="4469"/>
      <c r="I60" s="4470"/>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7"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4"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5">
        <f>IF(SUM(C11,C37,C47)=0,"NO",SUM(C11,C37,C47))</f>
        <v>388379.139994025</v>
      </c>
      <c r="D10" s="3765">
        <f t="shared" ref="D10:I10" si="0">IF(SUM(D11,D37,D47)=0,"NO",SUM(D11,D37,D47))</f>
        <v>1413.6206561987417</v>
      </c>
      <c r="E10" s="3765">
        <f t="shared" si="0"/>
        <v>10.892962913959689</v>
      </c>
      <c r="F10" s="3765">
        <f t="shared" si="0"/>
        <v>2587.3118903647869</v>
      </c>
      <c r="G10" s="3765">
        <f t="shared" si="0"/>
        <v>2334.288963993683</v>
      </c>
      <c r="H10" s="3765">
        <f t="shared" si="0"/>
        <v>756.3609225997518</v>
      </c>
      <c r="I10" s="3766">
        <f t="shared" si="0"/>
        <v>644.8884424792808</v>
      </c>
      <c r="J10" s="3028">
        <f t="shared" ref="J10:J40" si="1">IF(SUM(C10:E10)=0,"NO",SUM(C10,IFERROR(28*D10,0),IFERROR(265*E10,0)))</f>
        <v>430847.15353978908</v>
      </c>
    </row>
    <row r="11" spans="2:10" s="83" customFormat="1" ht="18" customHeight="1" thickBot="1" x14ac:dyDescent="0.25">
      <c r="B11" s="18" t="s">
        <v>75</v>
      </c>
      <c r="C11" s="3029">
        <f>IF(SUM(C12,C16,C24,C30,C34)=0,"NO",SUM(C12,C16,C24,C30,C34))</f>
        <v>375939.22900890425</v>
      </c>
      <c r="D11" s="3029">
        <f t="shared" ref="D11:I11" si="2">IF(SUM(D12,D16,D24,D30,D34)=0,"NO",SUM(D12,D16,D24,D30,D34))</f>
        <v>90.758636839887131</v>
      </c>
      <c r="E11" s="3029">
        <f t="shared" si="2"/>
        <v>10.687458755213239</v>
      </c>
      <c r="F11" s="3029">
        <f t="shared" si="2"/>
        <v>2583.4119068788636</v>
      </c>
      <c r="G11" s="3029">
        <f t="shared" si="2"/>
        <v>2315.3472991563472</v>
      </c>
      <c r="H11" s="3029">
        <f t="shared" si="2"/>
        <v>526.18511094200846</v>
      </c>
      <c r="I11" s="3030">
        <f t="shared" si="2"/>
        <v>644.8884424792808</v>
      </c>
      <c r="J11" s="3031">
        <f t="shared" si="1"/>
        <v>381312.6474105526</v>
      </c>
    </row>
    <row r="12" spans="2:10" s="83" customFormat="1" ht="18" customHeight="1" x14ac:dyDescent="0.2">
      <c r="B12" s="26" t="s">
        <v>76</v>
      </c>
      <c r="C12" s="3029">
        <f>IF(SUM(C13:C15)=0,"NO",SUM(C13:C15))</f>
        <v>217816.75285319224</v>
      </c>
      <c r="D12" s="3029">
        <f t="shared" ref="D12:I12" si="3">IF(SUM(D13:D15)=0,"NO",SUM(D13:D15))</f>
        <v>36.67766620431474</v>
      </c>
      <c r="E12" s="3029">
        <f t="shared" si="3"/>
        <v>3.2185072400352954</v>
      </c>
      <c r="F12" s="3029">
        <f t="shared" si="3"/>
        <v>1124.3788530541699</v>
      </c>
      <c r="G12" s="3029">
        <f t="shared" si="3"/>
        <v>260.58959897797405</v>
      </c>
      <c r="H12" s="3029">
        <f>IF(SUM(H13:H15)=0,"NO",SUM(H13:H15))</f>
        <v>67.829840022638962</v>
      </c>
      <c r="I12" s="3030">
        <f t="shared" si="3"/>
        <v>546.8571476472132</v>
      </c>
      <c r="J12" s="3031">
        <f t="shared" si="1"/>
        <v>219696.63192552244</v>
      </c>
    </row>
    <row r="13" spans="2:10" s="83" customFormat="1" ht="18" customHeight="1" x14ac:dyDescent="0.2">
      <c r="B13" s="20" t="s">
        <v>77</v>
      </c>
      <c r="C13" s="3032">
        <f>'Table1.A(a)s1'!H24</f>
        <v>193307.15955074469</v>
      </c>
      <c r="D13" s="3032">
        <f>'Table1.A(a)s1'!I24</f>
        <v>26.40887658216009</v>
      </c>
      <c r="E13" s="3032">
        <f>'Table1.A(a)s1'!J24</f>
        <v>2.6019402059509642</v>
      </c>
      <c r="F13" s="3033">
        <v>684.8188564244366</v>
      </c>
      <c r="G13" s="3033">
        <v>132.55386272028298</v>
      </c>
      <c r="H13" s="3033">
        <v>14.243080299184237</v>
      </c>
      <c r="I13" s="3034">
        <v>529.73283145664777</v>
      </c>
      <c r="J13" s="3035">
        <f t="shared" si="1"/>
        <v>194736.12224962219</v>
      </c>
    </row>
    <row r="14" spans="2:10" s="83" customFormat="1" ht="18" customHeight="1" x14ac:dyDescent="0.2">
      <c r="B14" s="20" t="s">
        <v>78</v>
      </c>
      <c r="C14" s="3032">
        <f>'Table1.A(a)s1'!H53</f>
        <v>3109.5274690001111</v>
      </c>
      <c r="D14" s="3032">
        <f>'Table1.A(a)s1'!I53</f>
        <v>5.0047044580831049E-2</v>
      </c>
      <c r="E14" s="3032">
        <f>'Table1.A(a)s1'!J53</f>
        <v>7.6033035918007018E-3</v>
      </c>
      <c r="F14" s="3033">
        <v>20.125218115719861</v>
      </c>
      <c r="G14" s="3033">
        <v>2.5433520548142985</v>
      </c>
      <c r="H14" s="3033">
        <v>4.7191116333826472E-2</v>
      </c>
      <c r="I14" s="3034">
        <v>5.6236232814932476</v>
      </c>
      <c r="J14" s="3035">
        <f t="shared" si="1"/>
        <v>3112.9436617002016</v>
      </c>
    </row>
    <row r="15" spans="2:10" s="83" customFormat="1" ht="18" customHeight="1" thickBot="1" x14ac:dyDescent="0.25">
      <c r="B15" s="21" t="s">
        <v>79</v>
      </c>
      <c r="C15" s="3036">
        <f>'Table1.A(a)s1'!H60</f>
        <v>21400.065833447443</v>
      </c>
      <c r="D15" s="3036">
        <f>'Table1.A(a)s1'!I60</f>
        <v>10.218742577573817</v>
      </c>
      <c r="E15" s="3036">
        <f>'Table1.A(a)s1'!J60</f>
        <v>0.6089637304925305</v>
      </c>
      <c r="F15" s="3037">
        <v>419.43477851401354</v>
      </c>
      <c r="G15" s="3037">
        <v>125.49238420287678</v>
      </c>
      <c r="H15" s="3037">
        <v>53.539568607120891</v>
      </c>
      <c r="I15" s="3038">
        <v>11.500692909072251</v>
      </c>
      <c r="J15" s="3039">
        <f t="shared" si="1"/>
        <v>21847.566014200031</v>
      </c>
    </row>
    <row r="16" spans="2:10" s="83" customFormat="1" ht="18" customHeight="1" x14ac:dyDescent="0.2">
      <c r="B16" s="25" t="s">
        <v>80</v>
      </c>
      <c r="C16" s="3029">
        <f>IF(SUM(C17:C23)=0,"NO",SUM(C17:C23))</f>
        <v>40998.826293984224</v>
      </c>
      <c r="D16" s="3029">
        <f t="shared" ref="D16:I16" si="4">IF(SUM(D17:D23)=0,"NO",SUM(D17:D23))</f>
        <v>2.4401913306976422</v>
      </c>
      <c r="E16" s="3029">
        <f t="shared" si="4"/>
        <v>1.4733786885629305</v>
      </c>
      <c r="F16" s="3029">
        <f t="shared" si="4"/>
        <v>735.39632082734886</v>
      </c>
      <c r="G16" s="3029">
        <f t="shared" si="4"/>
        <v>237.46704784296014</v>
      </c>
      <c r="H16" s="3029">
        <f t="shared" si="4"/>
        <v>99.88184429462828</v>
      </c>
      <c r="I16" s="3030">
        <f t="shared" si="4"/>
        <v>64.910395984705275</v>
      </c>
      <c r="J16" s="3031">
        <f t="shared" si="1"/>
        <v>41457.597003712937</v>
      </c>
    </row>
    <row r="17" spans="2:10" s="83" customFormat="1" ht="18" customHeight="1" x14ac:dyDescent="0.2">
      <c r="B17" s="20" t="s">
        <v>81</v>
      </c>
      <c r="C17" s="3032">
        <f>'Table1.A(a)s2'!H17</f>
        <v>1550.6263755174602</v>
      </c>
      <c r="D17" s="3032">
        <f>'Table1.A(a)s2'!I17</f>
        <v>3.4881667976735954E-2</v>
      </c>
      <c r="E17" s="3032">
        <f>'Table1.A(a)s2'!J17</f>
        <v>1.9924556250995602E-2</v>
      </c>
      <c r="F17" s="3033">
        <v>17.647122303051329</v>
      </c>
      <c r="G17" s="3033">
        <v>2.8186517160165434</v>
      </c>
      <c r="H17" s="3033">
        <v>0.27432424459313925</v>
      </c>
      <c r="I17" s="3034">
        <v>7.4303645638107652</v>
      </c>
      <c r="J17" s="3035">
        <f t="shared" si="1"/>
        <v>1556.8830696273226</v>
      </c>
    </row>
    <row r="18" spans="2:10" s="83" customFormat="1" ht="18" customHeight="1" x14ac:dyDescent="0.2">
      <c r="B18" s="20" t="s">
        <v>82</v>
      </c>
      <c r="C18" s="3032">
        <f>'Table1.A(a)s2'!H24</f>
        <v>12605.300916226341</v>
      </c>
      <c r="D18" s="3032">
        <f>'Table1.A(a)s2'!I24</f>
        <v>0.21499458900480309</v>
      </c>
      <c r="E18" s="3032">
        <f>'Table1.A(a)s2'!J24</f>
        <v>0.13861297965280586</v>
      </c>
      <c r="F18" s="3033">
        <v>79.941313578988755</v>
      </c>
      <c r="G18" s="3033">
        <v>13.305685066277771</v>
      </c>
      <c r="H18" s="3033">
        <v>1.3778378931336721</v>
      </c>
      <c r="I18" s="3034">
        <v>27.297221595471228</v>
      </c>
      <c r="J18" s="3035">
        <f t="shared" si="1"/>
        <v>12648.053204326468</v>
      </c>
    </row>
    <row r="19" spans="2:10" s="83" customFormat="1" ht="18" customHeight="1" x14ac:dyDescent="0.2">
      <c r="B19" s="20" t="s">
        <v>83</v>
      </c>
      <c r="C19" s="3032">
        <f>'Table1.A(a)s2'!H31</f>
        <v>7434.4972029614146</v>
      </c>
      <c r="D19" s="3032">
        <f>'Table1.A(a)s2'!I31</f>
        <v>0.19389980608995586</v>
      </c>
      <c r="E19" s="3032">
        <f>'Table1.A(a)s2'!J31</f>
        <v>8.074721899002224E-2</v>
      </c>
      <c r="F19" s="3033">
        <v>49.453407290842229</v>
      </c>
      <c r="G19" s="3033">
        <v>12.950287058696258</v>
      </c>
      <c r="H19" s="3033">
        <v>6.9500572533305718</v>
      </c>
      <c r="I19" s="3034">
        <v>6.5900430052148797</v>
      </c>
      <c r="J19" s="3035">
        <f t="shared" si="1"/>
        <v>7461.3244105642898</v>
      </c>
    </row>
    <row r="20" spans="2:10" s="83" customFormat="1" ht="18" customHeight="1" x14ac:dyDescent="0.2">
      <c r="B20" s="20" t="s">
        <v>84</v>
      </c>
      <c r="C20" s="3032">
        <f>'Table1.A(a)s2'!H38</f>
        <v>936.25342171475791</v>
      </c>
      <c r="D20" s="3032">
        <f>'Table1.A(a)s2'!I38</f>
        <v>0.2155631195113098</v>
      </c>
      <c r="E20" s="3032">
        <f>'Table1.A(a)s2'!J38</f>
        <v>0.14195250013498281</v>
      </c>
      <c r="F20" s="3033">
        <v>7.7716314881195974</v>
      </c>
      <c r="G20" s="3033">
        <v>5.8182312899730695</v>
      </c>
      <c r="H20" s="3033">
        <v>0.48819950135297208</v>
      </c>
      <c r="I20" s="3034">
        <v>1.2844657691079624</v>
      </c>
      <c r="J20" s="3035">
        <f t="shared" si="1"/>
        <v>979.90660159684501</v>
      </c>
    </row>
    <row r="21" spans="2:10" s="83" customFormat="1" ht="18" customHeight="1" x14ac:dyDescent="0.2">
      <c r="B21" s="20" t="s">
        <v>85</v>
      </c>
      <c r="C21" s="3032">
        <f>'Table1.A(a)s2'!H45</f>
        <v>2727.8694377636239</v>
      </c>
      <c r="D21" s="3032">
        <f>'Table1.A(a)s2'!I45</f>
        <v>0.86596340682193196</v>
      </c>
      <c r="E21" s="3032">
        <f>'Table1.A(a)s2'!J45</f>
        <v>0.55854414310060863</v>
      </c>
      <c r="F21" s="3033">
        <v>24.298861620479965</v>
      </c>
      <c r="G21" s="3033">
        <v>23.250355091972889</v>
      </c>
      <c r="H21" s="3033">
        <v>1.5913919210064953</v>
      </c>
      <c r="I21" s="3034">
        <v>3.5885521549565063</v>
      </c>
      <c r="J21" s="3035">
        <f t="shared" si="1"/>
        <v>2900.1306110762994</v>
      </c>
    </row>
    <row r="22" spans="2:10" s="83" customFormat="1" ht="18" customHeight="1" x14ac:dyDescent="0.2">
      <c r="B22" s="20" t="s">
        <v>86</v>
      </c>
      <c r="C22" s="3032">
        <f>'Table1.A(a)s2'!H52</f>
        <v>5169.370142165144</v>
      </c>
      <c r="D22" s="3032">
        <f>'Table1.A(a)s2'!I52</f>
        <v>0.36241012276081941</v>
      </c>
      <c r="E22" s="3032">
        <f>'Table1.A(a)s2'!J52</f>
        <v>5.1293755063716903E-2</v>
      </c>
      <c r="F22" s="3033">
        <v>82.1148575043742</v>
      </c>
      <c r="G22" s="3033">
        <v>29.131975458335504</v>
      </c>
      <c r="H22" s="3033">
        <v>20.341653839092078</v>
      </c>
      <c r="I22" s="3034">
        <v>7.9003237536602366</v>
      </c>
      <c r="J22" s="3035">
        <f t="shared" si="1"/>
        <v>5193.1104706943315</v>
      </c>
    </row>
    <row r="23" spans="2:10" s="83" customFormat="1" ht="18" customHeight="1" thickBot="1" x14ac:dyDescent="0.25">
      <c r="B23" s="3060" t="s">
        <v>2115</v>
      </c>
      <c r="C23" s="3032">
        <f>'Table1.A(a)s2'!H59</f>
        <v>10574.908797635488</v>
      </c>
      <c r="D23" s="3032">
        <f>'Table1.A(a)s2'!I59</f>
        <v>0.55247861853208613</v>
      </c>
      <c r="E23" s="3032">
        <f>'Table1.A(a)s2'!J59</f>
        <v>0.48230353536979853</v>
      </c>
      <c r="F23" s="3033">
        <v>474.1691270414928</v>
      </c>
      <c r="G23" s="3033">
        <v>150.19186216168811</v>
      </c>
      <c r="H23" s="3033">
        <v>68.858379642119345</v>
      </c>
      <c r="I23" s="3034">
        <v>10.819425142483707</v>
      </c>
      <c r="J23" s="3035">
        <f t="shared" si="1"/>
        <v>10718.188635827382</v>
      </c>
    </row>
    <row r="24" spans="2:10" s="83" customFormat="1" ht="18" customHeight="1" x14ac:dyDescent="0.2">
      <c r="B24" s="25" t="s">
        <v>87</v>
      </c>
      <c r="C24" s="3029">
        <f>IF(SUM(C25:C29)=0,"NO",SUM(C25:C29))</f>
        <v>94438.226181054735</v>
      </c>
      <c r="D24" s="3029">
        <f t="shared" ref="D24:I24" si="5">IF(SUM(D25:D29)=0,"NO",SUM(D25:D29))</f>
        <v>14.852551284650861</v>
      </c>
      <c r="E24" s="3029">
        <f t="shared" si="5"/>
        <v>5.2576312136662873</v>
      </c>
      <c r="F24" s="3029">
        <f t="shared" si="5"/>
        <v>307.47372608260116</v>
      </c>
      <c r="G24" s="3029">
        <f t="shared" si="5"/>
        <v>1151.5687057638088</v>
      </c>
      <c r="H24" s="3029">
        <f t="shared" si="5"/>
        <v>238.78252186428313</v>
      </c>
      <c r="I24" s="3030">
        <f t="shared" si="5"/>
        <v>24.306657822254394</v>
      </c>
      <c r="J24" s="3031">
        <f t="shared" si="1"/>
        <v>96247.369888646528</v>
      </c>
    </row>
    <row r="25" spans="2:10" s="83" customFormat="1" ht="18" customHeight="1" x14ac:dyDescent="0.2">
      <c r="B25" s="20" t="s">
        <v>88</v>
      </c>
      <c r="C25" s="1878">
        <f>'Table1.A(a)s3'!H16</f>
        <v>8563.1717991936057</v>
      </c>
      <c r="D25" s="1878">
        <f>'Table1.A(a)s3'!I16</f>
        <v>3.2343749362088281E-2</v>
      </c>
      <c r="E25" s="1878">
        <f>'Table1.A(a)s3'!J16</f>
        <v>6.3825590376354019E-2</v>
      </c>
      <c r="F25" s="3033">
        <v>29.184186504380815</v>
      </c>
      <c r="G25" s="3033">
        <v>18.69510658604899</v>
      </c>
      <c r="H25" s="3033">
        <v>1.8274807181264019</v>
      </c>
      <c r="I25" s="3034">
        <v>1.0095765209317997</v>
      </c>
      <c r="J25" s="3035">
        <f t="shared" si="1"/>
        <v>8580.991205625478</v>
      </c>
    </row>
    <row r="26" spans="2:10" s="83" customFormat="1" ht="18" customHeight="1" x14ac:dyDescent="0.2">
      <c r="B26" s="20" t="s">
        <v>89</v>
      </c>
      <c r="C26" s="1878">
        <f>'Table1.A(a)s3'!H20</f>
        <v>80373.432826064673</v>
      </c>
      <c r="D26" s="1878">
        <f>'Table1.A(a)s3'!I20</f>
        <v>9.8214792544716829</v>
      </c>
      <c r="E26" s="1878">
        <f>'Table1.A(a)s3'!J20</f>
        <v>3.7295570598769516</v>
      </c>
      <c r="F26" s="3033">
        <v>186.99268488854676</v>
      </c>
      <c r="G26" s="3033">
        <v>859.80929889929746</v>
      </c>
      <c r="H26" s="3033">
        <v>191.21361658393135</v>
      </c>
      <c r="I26" s="3034">
        <v>16.999395886075224</v>
      </c>
      <c r="J26" s="3035">
        <f t="shared" si="1"/>
        <v>81636.766866057282</v>
      </c>
    </row>
    <row r="27" spans="2:10" s="83" customFormat="1" ht="18" customHeight="1" x14ac:dyDescent="0.2">
      <c r="B27" s="20" t="s">
        <v>90</v>
      </c>
      <c r="C27" s="1878">
        <f>'Table1.A(a)s3'!H81</f>
        <v>3339.0963232000004</v>
      </c>
      <c r="D27" s="1878">
        <f>'Table1.A(a)s3'!I81</f>
        <v>0.19107200000000002</v>
      </c>
      <c r="E27" s="1878">
        <f>'Table1.A(a)s3'!J81</f>
        <v>1.4330400000000001</v>
      </c>
      <c r="F27" s="3033">
        <v>73.085040000000006</v>
      </c>
      <c r="G27" s="3033">
        <v>9.6491360000000022</v>
      </c>
      <c r="H27" s="3033">
        <v>3.3915280000000001</v>
      </c>
      <c r="I27" s="3034">
        <v>2.7255845479082317</v>
      </c>
      <c r="J27" s="3035">
        <f t="shared" si="1"/>
        <v>3724.2019392000002</v>
      </c>
    </row>
    <row r="28" spans="2:10" s="83" customFormat="1" ht="18" customHeight="1" x14ac:dyDescent="0.2">
      <c r="B28" s="20" t="s">
        <v>91</v>
      </c>
      <c r="C28" s="1878">
        <f>'Table1.A(a)s3'!H88</f>
        <v>1486.1385225393151</v>
      </c>
      <c r="D28" s="1878">
        <f>'Table1.A(a)s3'!I88</f>
        <v>4.6757199063380739</v>
      </c>
      <c r="E28" s="1878">
        <f>'Table1.A(a)s3'!J88</f>
        <v>2.9836174593860565E-2</v>
      </c>
      <c r="F28" s="3033">
        <v>15.639629444137229</v>
      </c>
      <c r="G28" s="3033">
        <v>258.26334759816456</v>
      </c>
      <c r="H28" s="3033">
        <v>41.610324473281324</v>
      </c>
      <c r="I28" s="3034">
        <v>3.5669520759627082</v>
      </c>
      <c r="J28" s="3035">
        <f t="shared" si="1"/>
        <v>1624.9652661841542</v>
      </c>
    </row>
    <row r="29" spans="2:10" s="83" customFormat="1" ht="18" customHeight="1" thickBot="1" x14ac:dyDescent="0.25">
      <c r="B29" s="22" t="s">
        <v>92</v>
      </c>
      <c r="C29" s="1881">
        <f>'Table1.A(a)s3'!H99</f>
        <v>676.3867100571324</v>
      </c>
      <c r="D29" s="1881">
        <f>'Table1.A(a)s3'!I99</f>
        <v>0.13193637447901707</v>
      </c>
      <c r="E29" s="1881">
        <f>'Table1.A(a)s3'!J99</f>
        <v>1.3723888191204505E-3</v>
      </c>
      <c r="F29" s="3040">
        <v>2.5721852455363292</v>
      </c>
      <c r="G29" s="3040">
        <v>5.1518166802978831</v>
      </c>
      <c r="H29" s="3040">
        <v>0.73957208894405513</v>
      </c>
      <c r="I29" s="3041">
        <v>5.1487913764355214E-3</v>
      </c>
      <c r="J29" s="3042">
        <f t="shared" si="1"/>
        <v>680.44461157961189</v>
      </c>
    </row>
    <row r="30" spans="2:10" ht="18" customHeight="1" x14ac:dyDescent="0.2">
      <c r="B30" s="26" t="s">
        <v>93</v>
      </c>
      <c r="C30" s="3029">
        <f>IF(SUM(C31:C33)=0,"NO",SUM(C31:C33))</f>
        <v>21587.163667956695</v>
      </c>
      <c r="D30" s="3029">
        <f t="shared" ref="D30" si="6">IF(SUM(D31:D33)=0,"NO",SUM(D31:D33))</f>
        <v>36.752074103333207</v>
      </c>
      <c r="E30" s="3029">
        <f t="shared" ref="E30" si="7">IF(SUM(E31:E33)=0,"NO",SUM(E31:E33))</f>
        <v>0.70676215558306721</v>
      </c>
      <c r="F30" s="3029">
        <f t="shared" ref="F30" si="8">IF(SUM(F31:F33)=0,"NO",SUM(F31:F33))</f>
        <v>406.63821025602118</v>
      </c>
      <c r="G30" s="3029">
        <f t="shared" ref="G30" si="9">IF(SUM(G31:G33)=0,"NO",SUM(G31:G33))</f>
        <v>662.52445443587374</v>
      </c>
      <c r="H30" s="3029">
        <f t="shared" ref="H30" si="10">IF(SUM(H31:H33)=0,"NO",SUM(H31:H33))</f>
        <v>119.20335246367598</v>
      </c>
      <c r="I30" s="3030">
        <f t="shared" ref="I30" si="11">IF(SUM(I31:I33)=0,"NO",SUM(I31:I33))</f>
        <v>8.4592381044043687</v>
      </c>
      <c r="J30" s="3043">
        <f t="shared" si="1"/>
        <v>22803.513714079534</v>
      </c>
    </row>
    <row r="31" spans="2:10" ht="18" customHeight="1" x14ac:dyDescent="0.2">
      <c r="B31" s="20" t="s">
        <v>94</v>
      </c>
      <c r="C31" s="3032">
        <f>'Table1.A(a)s4'!H17</f>
        <v>5230.9845378395894</v>
      </c>
      <c r="D31" s="3032">
        <f>'Table1.A(a)s4'!I17</f>
        <v>0.11337598537791789</v>
      </c>
      <c r="E31" s="3032">
        <f>'Table1.A(a)s4'!J17</f>
        <v>9.9846446763903723E-2</v>
      </c>
      <c r="F31" s="3033">
        <v>38.692707268113899</v>
      </c>
      <c r="G31" s="3033">
        <v>13.179594309636634</v>
      </c>
      <c r="H31" s="3033">
        <v>5.0884827354802278</v>
      </c>
      <c r="I31" s="3034">
        <v>2.7109790770495557</v>
      </c>
      <c r="J31" s="3035">
        <f t="shared" si="1"/>
        <v>5260.6183738226055</v>
      </c>
    </row>
    <row r="32" spans="2:10" ht="18" customHeight="1" x14ac:dyDescent="0.2">
      <c r="B32" s="20" t="s">
        <v>95</v>
      </c>
      <c r="C32" s="3032">
        <f>'Table1.A(a)s4'!H38</f>
        <v>9306.7950132027727</v>
      </c>
      <c r="D32" s="3032">
        <f>'Table1.A(a)s4'!I38</f>
        <v>35.956620607193727</v>
      </c>
      <c r="E32" s="3032">
        <f>'Table1.A(a)s4'!J38</f>
        <v>0.24545960916758489</v>
      </c>
      <c r="F32" s="3033">
        <v>12.675283684092584</v>
      </c>
      <c r="G32" s="3033">
        <v>491.91681460578968</v>
      </c>
      <c r="H32" s="3033">
        <v>58.377492311222291</v>
      </c>
      <c r="I32" s="3034">
        <v>0.48357897756975088</v>
      </c>
      <c r="J32" s="3035">
        <f t="shared" si="1"/>
        <v>10378.627186633606</v>
      </c>
    </row>
    <row r="33" spans="2:10" ht="18" customHeight="1" thickBot="1" x14ac:dyDescent="0.25">
      <c r="B33" s="20" t="s">
        <v>96</v>
      </c>
      <c r="C33" s="3032">
        <f>'Table1.A(a)s4'!H59</f>
        <v>7049.3841169143307</v>
      </c>
      <c r="D33" s="3032">
        <f>'Table1.A(a)s4'!I59</f>
        <v>0.68207751076155976</v>
      </c>
      <c r="E33" s="3032">
        <f>'Table1.A(a)s4'!J59</f>
        <v>0.36145609965157866</v>
      </c>
      <c r="F33" s="3033">
        <v>355.27021930381471</v>
      </c>
      <c r="G33" s="3033">
        <v>157.42804552044743</v>
      </c>
      <c r="H33" s="3033">
        <v>55.737377416973466</v>
      </c>
      <c r="I33" s="3034">
        <v>5.2646800497850617</v>
      </c>
      <c r="J33" s="3035">
        <f t="shared" si="1"/>
        <v>7164.2681536233231</v>
      </c>
    </row>
    <row r="34" spans="2:10" ht="18" customHeight="1" x14ac:dyDescent="0.2">
      <c r="B34" s="25" t="s">
        <v>2116</v>
      </c>
      <c r="C34" s="3029">
        <f>IF(SUM(C35:C36)=0,"NO",SUM(C35:C36))</f>
        <v>1098.2600127163214</v>
      </c>
      <c r="D34" s="3029">
        <f t="shared" ref="D34:E34" si="12">IF(SUM(D35:D36)=0,"NO",SUM(D35:D36))</f>
        <v>3.6153916890682418E-2</v>
      </c>
      <c r="E34" s="3029">
        <f t="shared" si="12"/>
        <v>3.1179457365658667E-2</v>
      </c>
      <c r="F34" s="3029">
        <f t="shared" ref="F34:I34" si="13">IF(SUM(F35:F36)=0,"NO",SUM(F35:F36))</f>
        <v>9.5247966587227868</v>
      </c>
      <c r="G34" s="3029">
        <f t="shared" si="13"/>
        <v>3.1974921357303661</v>
      </c>
      <c r="H34" s="3029">
        <f t="shared" si="13"/>
        <v>0.48755229678218798</v>
      </c>
      <c r="I34" s="3030">
        <f t="shared" si="13"/>
        <v>0.35500292070368777</v>
      </c>
      <c r="J34" s="3031">
        <f t="shared" si="1"/>
        <v>1107.5348785911601</v>
      </c>
    </row>
    <row r="35" spans="2:10" ht="18" customHeight="1" x14ac:dyDescent="0.2">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25">
      <c r="B36" s="22" t="s">
        <v>98</v>
      </c>
      <c r="C36" s="3044">
        <f>'Table1.A(a)s4'!H108</f>
        <v>1098.2600127163214</v>
      </c>
      <c r="D36" s="3044">
        <f>'Table1.A(a)s4'!I108</f>
        <v>3.6153916890682418E-2</v>
      </c>
      <c r="E36" s="3044">
        <f>'Table1.A(a)s4'!J108</f>
        <v>3.1179457365658667E-2</v>
      </c>
      <c r="F36" s="3040">
        <v>9.5247966587227868</v>
      </c>
      <c r="G36" s="3040">
        <v>3.1974921357303661</v>
      </c>
      <c r="H36" s="3040">
        <v>0.48755229678218798</v>
      </c>
      <c r="I36" s="3041">
        <v>0.35500292070368777</v>
      </c>
      <c r="J36" s="3042">
        <f t="shared" si="1"/>
        <v>1107.5348785911601</v>
      </c>
    </row>
    <row r="37" spans="2:10" ht="18" customHeight="1" thickBot="1" x14ac:dyDescent="0.25">
      <c r="B37" s="18" t="s">
        <v>99</v>
      </c>
      <c r="C37" s="3029">
        <f>IF(SUM(C38,C42)=0,"NO",SUM(C38,C42))</f>
        <v>12439.910985120738</v>
      </c>
      <c r="D37" s="3029">
        <f t="shared" ref="D37:I37" si="14">IF(SUM(D38,D42)=0,"NO",SUM(D38,D42))</f>
        <v>1322.8620193588545</v>
      </c>
      <c r="E37" s="3029">
        <f t="shared" si="14"/>
        <v>0.2055041587464507</v>
      </c>
      <c r="F37" s="3029">
        <f t="shared" si="14"/>
        <v>3.899983485923479</v>
      </c>
      <c r="G37" s="3029">
        <f t="shared" si="14"/>
        <v>18.941664837335647</v>
      </c>
      <c r="H37" s="3029">
        <f t="shared" si="14"/>
        <v>230.17581165774334</v>
      </c>
      <c r="I37" s="3030" t="str">
        <f t="shared" si="14"/>
        <v>NO</v>
      </c>
      <c r="J37" s="3031">
        <f t="shared" si="1"/>
        <v>49534.506129236477</v>
      </c>
    </row>
    <row r="38" spans="2:10" ht="18" customHeight="1" x14ac:dyDescent="0.2">
      <c r="B38" s="26" t="s">
        <v>100</v>
      </c>
      <c r="C38" s="3029">
        <f>IF(SUM(C39:C41)=0,"NO",SUM(C39:C41))</f>
        <v>2063.8682509928403</v>
      </c>
      <c r="D38" s="3029">
        <f t="shared" ref="D38" si="15">IF(SUM(D39:D41)=0,"NO",SUM(D39:D41))</f>
        <v>1089.3872744132705</v>
      </c>
      <c r="E38" s="3029">
        <f t="shared" ref="E38" si="16">IF(SUM(E39:E41)=0,"NO",SUM(E39:E41))</f>
        <v>1.3498895622026015E-3</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32567.069655298397</v>
      </c>
    </row>
    <row r="39" spans="2:10" ht="18" customHeight="1" x14ac:dyDescent="0.2">
      <c r="B39" s="20" t="s">
        <v>101</v>
      </c>
      <c r="C39" s="3032">
        <f>'Table1.B.1'!G10</f>
        <v>2063.8682509928403</v>
      </c>
      <c r="D39" s="3032">
        <f>SUM('Table1.B.1'!F10,'Table1.B.1'!H10)</f>
        <v>1089.3872744132705</v>
      </c>
      <c r="E39" s="3033">
        <v>1.3498895622026015E-3</v>
      </c>
      <c r="F39" s="3033" t="s">
        <v>2146</v>
      </c>
      <c r="G39" s="3033" t="s">
        <v>2146</v>
      </c>
      <c r="H39" s="3033" t="s">
        <v>2146</v>
      </c>
      <c r="I39" s="2931"/>
      <c r="J39" s="3035">
        <f t="shared" si="1"/>
        <v>32567.069655298397</v>
      </c>
    </row>
    <row r="40" spans="2:10" ht="18" customHeight="1" x14ac:dyDescent="0.2">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25">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
      <c r="B42" s="25" t="s">
        <v>102</v>
      </c>
      <c r="C42" s="3029">
        <f>IF(SUM(C43:C46)=0,"NO",SUM(C43:C46))</f>
        <v>10376.042734127897</v>
      </c>
      <c r="D42" s="3029">
        <f t="shared" ref="D42:I42" si="21">IF(SUM(D43:D46)=0,"NO",SUM(D43:D46))</f>
        <v>233.47474494558406</v>
      </c>
      <c r="E42" s="3029">
        <f t="shared" si="21"/>
        <v>0.20415426918424809</v>
      </c>
      <c r="F42" s="3029">
        <f t="shared" si="21"/>
        <v>3.899983485923479</v>
      </c>
      <c r="G42" s="3029">
        <f t="shared" si="21"/>
        <v>18.941664837335647</v>
      </c>
      <c r="H42" s="3029">
        <f t="shared" si="21"/>
        <v>230.17581165774334</v>
      </c>
      <c r="I42" s="3030" t="str">
        <f t="shared" si="21"/>
        <v>NO</v>
      </c>
      <c r="J42" s="3031">
        <f t="shared" ref="J42:J59" si="22">IF(SUM(C42:E42)=0,"NO",SUM(C42,IFERROR(28*D42,0),IFERROR(265*E42,0)))</f>
        <v>16967.436473938076</v>
      </c>
    </row>
    <row r="43" spans="2:10" ht="18" customHeight="1" x14ac:dyDescent="0.2">
      <c r="B43" s="20" t="s">
        <v>103</v>
      </c>
      <c r="C43" s="3032">
        <f>'Table1.B.2'!I10</f>
        <v>155.05035237607962</v>
      </c>
      <c r="D43" s="3032">
        <f>'Table1.B.2'!J10</f>
        <v>3.2858491396692995</v>
      </c>
      <c r="E43" s="3032">
        <f>'Table1.B.2'!K10</f>
        <v>5.5711049897443632E-3</v>
      </c>
      <c r="F43" s="3033">
        <v>0.10178075361539762</v>
      </c>
      <c r="G43" s="3033">
        <v>0.57749137794878125</v>
      </c>
      <c r="H43" s="3033">
        <v>111.44927731258822</v>
      </c>
      <c r="I43" s="3034" t="s">
        <v>2146</v>
      </c>
      <c r="J43" s="3035">
        <f t="shared" si="22"/>
        <v>248.53047110910225</v>
      </c>
    </row>
    <row r="44" spans="2:10" ht="18" customHeight="1" x14ac:dyDescent="0.2">
      <c r="B44" s="20" t="s">
        <v>104</v>
      </c>
      <c r="C44" s="3032">
        <f>SUM('Table1.B.2'!I21,'Table1.B.2'!L21)</f>
        <v>80.669958269296771</v>
      </c>
      <c r="D44" s="3032">
        <f>'Table1.B.2'!J21</f>
        <v>162.10526662105954</v>
      </c>
      <c r="E44" s="3032">
        <f>'Table1.B.2'!K21</f>
        <v>2.1267137176363641E-3</v>
      </c>
      <c r="F44" s="3033">
        <v>3.9383587363636376E-2</v>
      </c>
      <c r="G44" s="3033">
        <v>0.22842480670909093</v>
      </c>
      <c r="H44" s="3033">
        <v>87.750274180110679</v>
      </c>
      <c r="I44" s="3034" t="s">
        <v>2146</v>
      </c>
      <c r="J44" s="3035">
        <f t="shared" si="22"/>
        <v>4620.1810027941365</v>
      </c>
    </row>
    <row r="45" spans="2:10" ht="18" customHeight="1" x14ac:dyDescent="0.2">
      <c r="B45" s="20" t="s">
        <v>105</v>
      </c>
      <c r="C45" s="3032">
        <f>'Table1.B.2'!I35</f>
        <v>10140.322423482521</v>
      </c>
      <c r="D45" s="3032">
        <f>'Table1.B.2'!J35</f>
        <v>68.083629184855212</v>
      </c>
      <c r="E45" s="3032">
        <f>'Table1.B.2'!K35</f>
        <v>0.19645645047686736</v>
      </c>
      <c r="F45" s="3033">
        <v>3.7588191449444448</v>
      </c>
      <c r="G45" s="3033">
        <v>18.135748652677776</v>
      </c>
      <c r="H45" s="3033">
        <v>30.97626016504444</v>
      </c>
      <c r="I45" s="3034" t="s">
        <v>2146</v>
      </c>
      <c r="J45" s="3035">
        <f t="shared" si="22"/>
        <v>12098.725000034836</v>
      </c>
    </row>
    <row r="46" spans="2:10" ht="18" customHeight="1" thickBot="1" x14ac:dyDescent="0.25">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
      <c r="B47" s="2465" t="s">
        <v>106</v>
      </c>
      <c r="C47" s="3029" t="str">
        <f>IF(SUM(C48:C50)=0,"NO",SUM(C48:C50))</f>
        <v>NO</v>
      </c>
      <c r="D47" s="3047"/>
      <c r="E47" s="3047"/>
      <c r="F47" s="3047"/>
      <c r="G47" s="3047"/>
      <c r="H47" s="3047"/>
      <c r="I47" s="3048"/>
      <c r="J47" s="3031" t="str">
        <f t="shared" si="22"/>
        <v>NO</v>
      </c>
    </row>
    <row r="48" spans="2:10" ht="18" customHeight="1" x14ac:dyDescent="0.2">
      <c r="B48" s="163" t="s">
        <v>107</v>
      </c>
      <c r="C48" s="3049" t="str">
        <f>Table1.C!E10</f>
        <v>NO</v>
      </c>
      <c r="D48" s="3050"/>
      <c r="E48" s="3050"/>
      <c r="F48" s="3050"/>
      <c r="G48" s="3050"/>
      <c r="H48" s="3050"/>
      <c r="I48" s="3051"/>
      <c r="J48" s="3043" t="str">
        <f t="shared" si="22"/>
        <v>NO</v>
      </c>
    </row>
    <row r="49" spans="2:10" ht="18" customHeight="1" x14ac:dyDescent="0.2">
      <c r="B49" s="163" t="s">
        <v>108</v>
      </c>
      <c r="C49" s="3049" t="str">
        <f>Table1.C!E15</f>
        <v>NO</v>
      </c>
      <c r="D49" s="3050"/>
      <c r="E49" s="3050"/>
      <c r="F49" s="3050"/>
      <c r="G49" s="3050"/>
      <c r="H49" s="3050"/>
      <c r="I49" s="3051"/>
      <c r="J49" s="3043" t="str">
        <f t="shared" si="22"/>
        <v>NO</v>
      </c>
    </row>
    <row r="50" spans="2:10" ht="18" customHeight="1" thickBot="1" x14ac:dyDescent="0.25">
      <c r="B50" s="163" t="s">
        <v>109</v>
      </c>
      <c r="C50" s="3049" t="str">
        <f>Table1.C!E18</f>
        <v>NA</v>
      </c>
      <c r="D50" s="3050"/>
      <c r="E50" s="3050"/>
      <c r="F50" s="3050"/>
      <c r="G50" s="3050"/>
      <c r="H50" s="3050"/>
      <c r="I50" s="3051"/>
      <c r="J50" s="3043" t="str">
        <f t="shared" si="22"/>
        <v>NO</v>
      </c>
    </row>
    <row r="51" spans="2:10" ht="18" customHeight="1" x14ac:dyDescent="0.2">
      <c r="B51" s="2465" t="s">
        <v>2008</v>
      </c>
      <c r="C51" s="3052"/>
      <c r="D51" s="3052"/>
      <c r="E51" s="3052"/>
      <c r="F51" s="3052"/>
      <c r="G51" s="3052"/>
      <c r="H51" s="3052"/>
      <c r="I51" s="3053"/>
      <c r="J51" s="3054"/>
    </row>
    <row r="52" spans="2:10" ht="18" customHeight="1" x14ac:dyDescent="0.2">
      <c r="B52" s="2466" t="s">
        <v>110</v>
      </c>
      <c r="C52" s="3032">
        <f>IF(SUM(C53:C54)=0,"NO",SUM(C53:C54))</f>
        <v>15011.326463288071</v>
      </c>
      <c r="D52" s="3032">
        <f t="shared" ref="D52:I52" si="23">IF(SUM(D53:D54)=0,"NO",SUM(D53:D54))</f>
        <v>0.2560586585650067</v>
      </c>
      <c r="E52" s="3032">
        <f t="shared" si="23"/>
        <v>0.12818696232617033</v>
      </c>
      <c r="F52" s="3032">
        <f t="shared" si="23"/>
        <v>129.9296602594398</v>
      </c>
      <c r="G52" s="3032">
        <f t="shared" si="23"/>
        <v>21.630032429107032</v>
      </c>
      <c r="H52" s="3032">
        <f t="shared" si="23"/>
        <v>11.751773224448073</v>
      </c>
      <c r="I52" s="3055">
        <f t="shared" si="23"/>
        <v>40.557203512552498</v>
      </c>
      <c r="J52" s="3035">
        <f t="shared" si="22"/>
        <v>15052.465650744325</v>
      </c>
    </row>
    <row r="53" spans="2:10" ht="18" customHeight="1" x14ac:dyDescent="0.2">
      <c r="B53" s="164" t="s">
        <v>111</v>
      </c>
      <c r="C53" s="3032">
        <f>Table1.D!G10</f>
        <v>12627.611555322994</v>
      </c>
      <c r="D53" s="3032">
        <f>Table1.D!H10</f>
        <v>2.8602901315789478E-2</v>
      </c>
      <c r="E53" s="3032">
        <f>Table1.D!I10</f>
        <v>6.3199603112108274E-2</v>
      </c>
      <c r="F53" s="3033">
        <v>65.829966631110366</v>
      </c>
      <c r="G53" s="3033">
        <v>19.948805277106761</v>
      </c>
      <c r="H53" s="3033">
        <v>9.7406007305323907</v>
      </c>
      <c r="I53" s="3034">
        <v>1.4877358441616169</v>
      </c>
      <c r="J53" s="3035">
        <f t="shared" si="22"/>
        <v>12645.160331384544</v>
      </c>
    </row>
    <row r="54" spans="2:10" ht="18" customHeight="1" x14ac:dyDescent="0.2">
      <c r="B54" s="164" t="s">
        <v>112</v>
      </c>
      <c r="C54" s="3032">
        <f>Table1.D!G14</f>
        <v>2383.7149079650771</v>
      </c>
      <c r="D54" s="3032">
        <f>Table1.D!H14</f>
        <v>0.22745575724921721</v>
      </c>
      <c r="E54" s="3032">
        <f>Table1.D!I14</f>
        <v>6.4987359214062054E-2</v>
      </c>
      <c r="F54" s="3033">
        <v>64.099693628329447</v>
      </c>
      <c r="G54" s="3033">
        <v>1.68122715200027</v>
      </c>
      <c r="H54" s="3033">
        <v>2.0111724939156828</v>
      </c>
      <c r="I54" s="3034">
        <v>39.069467668390878</v>
      </c>
      <c r="J54" s="3035">
        <f t="shared" si="22"/>
        <v>2407.3053193597816</v>
      </c>
    </row>
    <row r="55" spans="2:10" ht="18" customHeight="1" x14ac:dyDescent="0.2">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
      <c r="B56" s="2467" t="s">
        <v>114</v>
      </c>
      <c r="C56" s="3036">
        <f>'Table1.A(a)s1'!H16</f>
        <v>19096.838530978872</v>
      </c>
      <c r="D56" s="3056"/>
      <c r="E56" s="3056"/>
      <c r="F56" s="3056"/>
      <c r="G56" s="3056"/>
      <c r="H56" s="3056"/>
      <c r="I56" s="2971"/>
      <c r="J56" s="3039">
        <f t="shared" si="22"/>
        <v>19096.838530978872</v>
      </c>
    </row>
    <row r="57" spans="2:10" ht="18" customHeight="1" x14ac:dyDescent="0.2">
      <c r="B57" s="97" t="s">
        <v>115</v>
      </c>
      <c r="C57" s="3032" t="str">
        <f>IF(SUM(C58:C59)=0,"NO",SUM(C58:C59))</f>
        <v>NO</v>
      </c>
      <c r="D57" s="3057"/>
      <c r="E57" s="3057"/>
      <c r="F57" s="3057"/>
      <c r="G57" s="3057"/>
      <c r="H57" s="3057"/>
      <c r="I57" s="2931"/>
      <c r="J57" s="3035" t="str">
        <f t="shared" si="22"/>
        <v>NO</v>
      </c>
    </row>
    <row r="58" spans="2:10" ht="18" customHeight="1" x14ac:dyDescent="0.2">
      <c r="B58" s="2468" t="s">
        <v>116</v>
      </c>
      <c r="C58" s="3045" t="str">
        <f>Table1.C!E21</f>
        <v>NO</v>
      </c>
      <c r="D58" s="3057"/>
      <c r="E58" s="3057"/>
      <c r="F58" s="3057"/>
      <c r="G58" s="3057"/>
      <c r="H58" s="3057"/>
      <c r="I58" s="2931"/>
      <c r="J58" s="3035" t="str">
        <f t="shared" si="22"/>
        <v>NO</v>
      </c>
    </row>
    <row r="59" spans="2:10" ht="18" customHeight="1" thickBot="1" x14ac:dyDescent="0.25">
      <c r="B59" s="2469" t="s">
        <v>117</v>
      </c>
      <c r="C59" s="3058" t="s">
        <v>2146</v>
      </c>
      <c r="D59" s="3059"/>
      <c r="E59" s="3059"/>
      <c r="F59" s="3059"/>
      <c r="G59" s="3059"/>
      <c r="H59" s="3059"/>
      <c r="I59" s="2939"/>
      <c r="J59" s="3042"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468" t="s">
        <v>2179</v>
      </c>
      <c r="C77" s="4469"/>
      <c r="D77" s="4469"/>
      <c r="E77" s="4469"/>
      <c r="F77" s="4469"/>
      <c r="G77" s="4469"/>
      <c r="H77" s="4469"/>
      <c r="I77" s="4469"/>
      <c r="J77" s="4470"/>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3" t="s">
        <v>998</v>
      </c>
      <c r="C1" s="2264"/>
      <c r="D1" s="2264"/>
      <c r="E1" s="2265"/>
      <c r="F1" s="2265"/>
      <c r="G1" s="2265"/>
      <c r="H1" s="2266"/>
      <c r="I1" s="2266"/>
      <c r="J1" s="2266"/>
      <c r="K1" s="2266"/>
      <c r="L1" s="2266"/>
      <c r="M1" s="14" t="s">
        <v>2521</v>
      </c>
    </row>
    <row r="2" spans="2:13" ht="15.95" customHeight="1" x14ac:dyDescent="0.25">
      <c r="B2" s="2268" t="s">
        <v>1957</v>
      </c>
      <c r="C2" s="2268"/>
      <c r="D2" s="2268"/>
      <c r="E2" s="2268"/>
      <c r="F2" s="2268"/>
      <c r="G2" s="2268"/>
      <c r="H2" s="2268"/>
      <c r="I2" s="2266"/>
      <c r="J2" s="2266"/>
      <c r="K2" s="2266"/>
      <c r="L2" s="2266"/>
      <c r="M2" s="14" t="s">
        <v>2522</v>
      </c>
    </row>
    <row r="3" spans="2:13" ht="12" customHeight="1" x14ac:dyDescent="0.25">
      <c r="B3" s="2266"/>
      <c r="C3" s="2266"/>
      <c r="D3" s="2266"/>
      <c r="E3" s="2266"/>
      <c r="F3" s="2266"/>
      <c r="G3" s="2266"/>
      <c r="H3" s="2266"/>
      <c r="I3" s="2266"/>
      <c r="J3" s="2266"/>
      <c r="K3" s="2266"/>
      <c r="L3" s="2266"/>
      <c r="M3" s="14" t="s">
        <v>2144</v>
      </c>
    </row>
    <row r="4" spans="2:13" ht="12" hidden="1" customHeight="1" x14ac:dyDescent="0.25">
      <c r="B4" s="2266"/>
      <c r="C4" s="2266"/>
      <c r="D4" s="2266"/>
      <c r="E4" s="2266"/>
      <c r="F4" s="2266"/>
      <c r="G4" s="2266"/>
      <c r="H4" s="2266"/>
      <c r="I4" s="2266"/>
      <c r="J4" s="2266"/>
      <c r="K4" s="2266"/>
      <c r="L4" s="2266"/>
      <c r="M4" s="2267"/>
    </row>
    <row r="5" spans="2:13" ht="12" hidden="1" customHeight="1" x14ac:dyDescent="0.25">
      <c r="B5" s="2266"/>
      <c r="C5" s="2266"/>
      <c r="D5" s="2266"/>
      <c r="E5" s="2266"/>
      <c r="F5" s="2266"/>
      <c r="G5" s="2266"/>
      <c r="H5" s="2266"/>
      <c r="I5" s="2266"/>
      <c r="J5" s="2266"/>
      <c r="K5" s="2266"/>
      <c r="L5" s="2266"/>
      <c r="M5" s="2267"/>
    </row>
    <row r="6" spans="2:13" ht="12" hidden="1" customHeight="1" x14ac:dyDescent="0.25">
      <c r="B6" s="2266"/>
      <c r="C6" s="2266"/>
      <c r="D6" s="2266"/>
      <c r="E6" s="2266"/>
      <c r="F6" s="2266"/>
      <c r="G6" s="2266"/>
      <c r="H6" s="2266"/>
      <c r="I6" s="2266"/>
      <c r="J6" s="2266"/>
      <c r="K6" s="2266"/>
      <c r="L6" s="2266"/>
      <c r="M6" s="2267"/>
    </row>
    <row r="7" spans="2:13" ht="12" customHeight="1" thickBot="1" x14ac:dyDescent="0.25">
      <c r="B7" s="2453" t="s">
        <v>64</v>
      </c>
      <c r="C7" s="2269"/>
      <c r="D7" s="2269"/>
      <c r="E7" s="2269"/>
      <c r="F7" s="2269"/>
      <c r="G7" s="2269"/>
      <c r="H7" s="2269"/>
      <c r="I7" s="2269"/>
      <c r="J7" s="2269"/>
      <c r="K7" s="2269"/>
      <c r="L7" s="2269"/>
      <c r="M7" s="2269"/>
    </row>
    <row r="8" spans="2:13" ht="69" customHeight="1" x14ac:dyDescent="0.2">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
      <c r="B9" s="2273" t="s">
        <v>1011</v>
      </c>
      <c r="C9" s="2274" t="s">
        <v>1012</v>
      </c>
      <c r="D9" s="2274"/>
      <c r="E9" s="2274"/>
      <c r="F9" s="2274"/>
      <c r="G9" s="2274"/>
      <c r="H9" s="2274"/>
      <c r="I9" s="2274"/>
      <c r="J9" s="2274"/>
      <c r="K9" s="2274"/>
      <c r="L9" s="2275"/>
      <c r="M9" s="2276"/>
    </row>
    <row r="10" spans="2:13" ht="18" customHeight="1" x14ac:dyDescent="0.2">
      <c r="B10" s="2277" t="s">
        <v>1958</v>
      </c>
      <c r="C10" s="3549">
        <v>132233.52063044999</v>
      </c>
      <c r="D10" s="3549" t="s">
        <v>2146</v>
      </c>
      <c r="E10" s="3549">
        <v>18.008132747000001</v>
      </c>
      <c r="F10" s="3549">
        <v>507.540801235</v>
      </c>
      <c r="G10" s="3549" t="s">
        <v>2146</v>
      </c>
      <c r="H10" s="3549" t="s">
        <v>2146</v>
      </c>
      <c r="I10" s="3549" t="s">
        <v>2146</v>
      </c>
      <c r="J10" s="3549">
        <v>19.223940766999998</v>
      </c>
      <c r="K10" s="3549" t="s">
        <v>2146</v>
      </c>
      <c r="L10" s="3549" t="s">
        <v>2146</v>
      </c>
      <c r="M10" s="3550">
        <f>IF(SUM(C10:L10)=0,"NO",SUM(C10:L10))</f>
        <v>132778.29350519899</v>
      </c>
    </row>
    <row r="11" spans="2:13" ht="18" customHeight="1" x14ac:dyDescent="0.2">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
      <c r="B12" s="2277" t="s">
        <v>1960</v>
      </c>
      <c r="C12" s="3549">
        <v>17.524127892999999</v>
      </c>
      <c r="D12" s="3549" t="s">
        <v>2146</v>
      </c>
      <c r="E12" s="3549">
        <v>39958.001615875997</v>
      </c>
      <c r="F12" s="3549" t="s">
        <v>2153</v>
      </c>
      <c r="G12" s="3549" t="s">
        <v>2146</v>
      </c>
      <c r="H12" s="3549" t="s">
        <v>2153</v>
      </c>
      <c r="I12" s="3549" t="s">
        <v>2146</v>
      </c>
      <c r="J12" s="3549" t="s">
        <v>2153</v>
      </c>
      <c r="K12" s="3549" t="s">
        <v>2146</v>
      </c>
      <c r="L12" s="3549" t="s">
        <v>2146</v>
      </c>
      <c r="M12" s="3550">
        <f t="shared" si="0"/>
        <v>39975.525743768994</v>
      </c>
    </row>
    <row r="13" spans="2:13" ht="18" customHeight="1" x14ac:dyDescent="0.2">
      <c r="B13" s="2277" t="s">
        <v>1961</v>
      </c>
      <c r="C13" s="3549">
        <v>816.79647680799997</v>
      </c>
      <c r="D13" s="3549" t="s">
        <v>2146</v>
      </c>
      <c r="E13" s="3549" t="s">
        <v>2153</v>
      </c>
      <c r="F13" s="3549">
        <v>519873.58236834098</v>
      </c>
      <c r="G13" s="3549" t="s">
        <v>2146</v>
      </c>
      <c r="H13" s="3549" t="s">
        <v>2153</v>
      </c>
      <c r="I13" s="3549" t="s">
        <v>2146</v>
      </c>
      <c r="J13" s="3549" t="s">
        <v>2153</v>
      </c>
      <c r="K13" s="3549" t="s">
        <v>2146</v>
      </c>
      <c r="L13" s="3549" t="s">
        <v>2146</v>
      </c>
      <c r="M13" s="3550">
        <f t="shared" si="0"/>
        <v>520690.37884514901</v>
      </c>
    </row>
    <row r="14" spans="2:13" ht="18" customHeight="1" x14ac:dyDescent="0.2">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
      <c r="B15" s="2277" t="s">
        <v>1963</v>
      </c>
      <c r="C15" s="3549">
        <v>9.4558395290000004</v>
      </c>
      <c r="D15" s="3549" t="s">
        <v>2146</v>
      </c>
      <c r="E15" s="3549">
        <v>0.63304705100000003</v>
      </c>
      <c r="F15" s="3549">
        <v>2.443871627</v>
      </c>
      <c r="G15" s="3549" t="s">
        <v>2146</v>
      </c>
      <c r="H15" s="3549">
        <v>13149.05966703</v>
      </c>
      <c r="I15" s="3549" t="s">
        <v>2146</v>
      </c>
      <c r="J15" s="3549" t="s">
        <v>2146</v>
      </c>
      <c r="K15" s="3549" t="s">
        <v>2146</v>
      </c>
      <c r="L15" s="3549" t="s">
        <v>2146</v>
      </c>
      <c r="M15" s="3550">
        <f t="shared" si="0"/>
        <v>13161.592425237</v>
      </c>
    </row>
    <row r="16" spans="2:13" ht="18" customHeight="1" x14ac:dyDescent="0.2">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
      <c r="B17" s="2277" t="s">
        <v>1965</v>
      </c>
      <c r="C17" s="3549">
        <v>9.1584259689999996</v>
      </c>
      <c r="D17" s="3549" t="s">
        <v>2146</v>
      </c>
      <c r="E17" s="3549" t="s">
        <v>2146</v>
      </c>
      <c r="F17" s="3549" t="s">
        <v>2146</v>
      </c>
      <c r="G17" s="3549" t="s">
        <v>2146</v>
      </c>
      <c r="H17" s="3549" t="s">
        <v>2146</v>
      </c>
      <c r="I17" s="3549" t="s">
        <v>2146</v>
      </c>
      <c r="J17" s="3549">
        <v>1521.422208856</v>
      </c>
      <c r="K17" s="3549" t="s">
        <v>2146</v>
      </c>
      <c r="L17" s="3549" t="s">
        <v>2146</v>
      </c>
      <c r="M17" s="3550">
        <f t="shared" si="0"/>
        <v>1530.5806348250001</v>
      </c>
    </row>
    <row r="18" spans="2:13" ht="18" customHeight="1" x14ac:dyDescent="0.2">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
      <c r="B20" s="2278" t="s">
        <v>1013</v>
      </c>
      <c r="C20" s="3551">
        <f>IF(SUM(C10:C19)=0,"NO",SUM(C10:C19))</f>
        <v>133086.455500649</v>
      </c>
      <c r="D20" s="3551" t="str">
        <f t="shared" ref="D20:L20" si="1">IF(SUM(D10:D19)=0,"NO",SUM(D10:D19))</f>
        <v>NO</v>
      </c>
      <c r="E20" s="3551">
        <f t="shared" si="1"/>
        <v>39976.642795674001</v>
      </c>
      <c r="F20" s="3551">
        <f t="shared" si="1"/>
        <v>520383.56704120297</v>
      </c>
      <c r="G20" s="3551" t="str">
        <f t="shared" si="1"/>
        <v>NO</v>
      </c>
      <c r="H20" s="3551">
        <f t="shared" si="1"/>
        <v>13149.05966703</v>
      </c>
      <c r="I20" s="3551" t="str">
        <f t="shared" si="1"/>
        <v>NO</v>
      </c>
      <c r="J20" s="3551">
        <f t="shared" si="1"/>
        <v>1540.6461496229999</v>
      </c>
      <c r="K20" s="3551">
        <f t="shared" si="1"/>
        <v>60692.328845821001</v>
      </c>
      <c r="L20" s="3551" t="str">
        <f t="shared" si="1"/>
        <v>NO</v>
      </c>
      <c r="M20" s="3550">
        <f t="shared" si="0"/>
        <v>768828.7</v>
      </c>
    </row>
    <row r="21" spans="2:13" ht="18" customHeight="1" thickBot="1" x14ac:dyDescent="0.25">
      <c r="B21" s="2279" t="s">
        <v>1968</v>
      </c>
      <c r="C21" s="3552">
        <f>IF(SUM(C20)=0,"NO",C20-M10)</f>
        <v>308.16199545000563</v>
      </c>
      <c r="D21" s="3552" t="str">
        <f>IF(SUM(D20)=0,"NO",D20-M11)</f>
        <v>NO</v>
      </c>
      <c r="E21" s="3552">
        <f>IF(SUM(E20)=0,"NO",E20-M12)</f>
        <v>1.1170519050065195</v>
      </c>
      <c r="F21" s="3552">
        <f>IF(SUM(F20)=0,"NO",F20-M13)</f>
        <v>-306.81180394603871</v>
      </c>
      <c r="G21" s="3552" t="str">
        <f>IF(SUM(G20)=0,"NO",G20-M14)</f>
        <v>NO</v>
      </c>
      <c r="H21" s="3552">
        <f>IF(SUM(H20)=0,"NO",H20-M15)</f>
        <v>-12.53275820700037</v>
      </c>
      <c r="I21" s="3552" t="str">
        <f>IF(SUM(I20)=0,"NO",I20-M16)</f>
        <v>NO</v>
      </c>
      <c r="J21" s="3552">
        <f>IF(SUM(J20)=0,"NO",J20-M17)</f>
        <v>10.065514797999867</v>
      </c>
      <c r="K21" s="3552">
        <f>IF(SUM(K20)=0,"NO",K20-M18)</f>
        <v>0</v>
      </c>
      <c r="L21" s="3552" t="str">
        <f>IF(SUM(L20)=0,"NO",L20-M19)</f>
        <v>NO</v>
      </c>
      <c r="M21" s="3553">
        <f>SUM(C20:L20)-SUM(M10:M19)</f>
        <v>0</v>
      </c>
    </row>
    <row r="22" spans="2:13" ht="15.75" x14ac:dyDescent="0.2">
      <c r="B22" s="2280"/>
      <c r="C22" s="2281"/>
      <c r="D22" s="2281"/>
      <c r="E22" s="2281"/>
      <c r="F22" s="2281"/>
      <c r="G22" s="2281"/>
      <c r="H22" s="2281"/>
      <c r="I22" s="2281"/>
      <c r="J22" s="2281"/>
      <c r="K22" s="2281"/>
      <c r="L22" s="2281"/>
      <c r="M22" s="2281"/>
    </row>
    <row r="23" spans="2:13" ht="15.75" x14ac:dyDescent="0.2">
      <c r="B23" s="2280"/>
      <c r="C23" s="2281"/>
      <c r="D23" s="2281"/>
      <c r="E23" s="2281"/>
      <c r="F23" s="2281"/>
      <c r="G23" s="2281"/>
      <c r="H23" s="2281"/>
      <c r="I23" s="2281"/>
      <c r="J23" s="2281"/>
      <c r="K23" s="2281"/>
      <c r="L23" s="2281"/>
      <c r="M23" s="2281"/>
    </row>
    <row r="24" spans="2:13" ht="15.75" x14ac:dyDescent="0.2">
      <c r="B24" s="2282"/>
      <c r="C24" s="2283"/>
      <c r="D24" s="2283"/>
      <c r="E24" s="2283"/>
      <c r="F24" s="2283"/>
      <c r="G24" s="2283"/>
      <c r="H24" s="2283"/>
      <c r="I24" s="2283"/>
      <c r="J24" s="2283"/>
      <c r="K24" s="2283"/>
      <c r="L24" s="2283"/>
      <c r="M24" s="2283"/>
    </row>
    <row r="25" spans="2:13" ht="15.75" x14ac:dyDescent="0.2">
      <c r="B25" s="2280"/>
      <c r="C25" s="2281"/>
      <c r="D25" s="2281"/>
      <c r="E25" s="2281"/>
      <c r="F25" s="2281"/>
      <c r="G25" s="2281"/>
      <c r="H25" s="2281"/>
      <c r="I25" s="2281"/>
      <c r="J25" s="2281"/>
      <c r="K25" s="2281"/>
      <c r="L25" s="2281"/>
      <c r="M25" s="2281"/>
    </row>
    <row r="26" spans="2:13" x14ac:dyDescent="0.2">
      <c r="B26" s="2284"/>
      <c r="C26" s="2284"/>
      <c r="D26" s="2284"/>
      <c r="E26" s="2284"/>
      <c r="F26" s="2284"/>
      <c r="G26" s="2284"/>
      <c r="H26" s="2284"/>
      <c r="I26" s="2284"/>
      <c r="J26" s="2284"/>
      <c r="K26" s="2284"/>
      <c r="L26" s="2284"/>
      <c r="M26" s="2284"/>
    </row>
    <row r="27" spans="2:13" x14ac:dyDescent="0.2">
      <c r="B27" s="2284"/>
      <c r="C27" s="2284"/>
      <c r="D27" s="2284"/>
      <c r="E27" s="2284"/>
      <c r="F27" s="2284"/>
      <c r="G27" s="2284"/>
      <c r="H27" s="2284"/>
      <c r="I27" s="2284"/>
      <c r="J27" s="2284"/>
      <c r="K27" s="2284"/>
      <c r="L27" s="2284"/>
      <c r="M27" s="2284"/>
    </row>
    <row r="28" spans="2:13" x14ac:dyDescent="0.2">
      <c r="B28" s="2284"/>
      <c r="C28" s="2284"/>
      <c r="D28" s="2284"/>
      <c r="E28" s="2284"/>
      <c r="F28" s="2284"/>
      <c r="G28" s="2284"/>
      <c r="H28" s="2284"/>
      <c r="I28" s="2284"/>
      <c r="J28" s="2284"/>
      <c r="K28" s="2284"/>
      <c r="L28" s="2284"/>
      <c r="M28" s="2284"/>
    </row>
    <row r="29" spans="2:13" x14ac:dyDescent="0.2">
      <c r="B29" s="2284"/>
      <c r="C29" s="2284"/>
      <c r="D29" s="2284"/>
      <c r="E29" s="2284"/>
      <c r="F29" s="2284"/>
      <c r="G29" s="2284"/>
      <c r="H29" s="2284"/>
      <c r="I29" s="2284"/>
      <c r="J29" s="2284"/>
      <c r="K29" s="2284"/>
      <c r="L29" s="2284"/>
      <c r="M29" s="2284"/>
    </row>
    <row r="30" spans="2:13" x14ac:dyDescent="0.2">
      <c r="B30" s="2284"/>
      <c r="C30" s="2284"/>
      <c r="D30" s="2284"/>
      <c r="E30" s="2284"/>
      <c r="F30" s="2284"/>
      <c r="G30" s="2284"/>
      <c r="H30" s="2284"/>
      <c r="I30" s="2284"/>
      <c r="J30" s="2284"/>
      <c r="K30" s="2284"/>
      <c r="L30" s="2284"/>
      <c r="M30" s="2284"/>
    </row>
    <row r="31" spans="2:13" x14ac:dyDescent="0.2">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6" t="s">
        <v>64</v>
      </c>
      <c r="U5" s="477"/>
      <c r="W5" s="2569"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8" x14ac:dyDescent="0.2">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4" x14ac:dyDescent="0.2">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5" t="s">
        <v>1040</v>
      </c>
      <c r="C10" s="2257"/>
      <c r="D10" s="3555">
        <f>IF(SUM(D11,D16)=0,"IE",SUM(D11,D16))</f>
        <v>133252.14371299054</v>
      </c>
      <c r="E10" s="3556">
        <f t="shared" ref="E10:U10" si="0">IF(SUM(E11,E16)=0,"IE",SUM(E11,E16))</f>
        <v>133086.45550064865</v>
      </c>
      <c r="F10" s="3557">
        <f t="shared" si="0"/>
        <v>165.68821234190798</v>
      </c>
      <c r="G10" s="3558">
        <f t="shared" ref="G10:K11" si="1">IFERROR(IF(SUM($D10)=0,"NA",N10/$D10),"NA")</f>
        <v>0.16965476938341775</v>
      </c>
      <c r="H10" s="3078">
        <f t="shared" si="1"/>
        <v>-7.9589374888451251E-3</v>
      </c>
      <c r="I10" s="3078">
        <f t="shared" si="1"/>
        <v>0.16169583189457262</v>
      </c>
      <c r="J10" s="3078">
        <f t="shared" si="1"/>
        <v>1.3364849942284499E-2</v>
      </c>
      <c r="K10" s="3078">
        <f t="shared" si="1"/>
        <v>7.1798082304510066E-3</v>
      </c>
      <c r="L10" s="3078">
        <f>IFERROR(IF(SUM(E10)=0,"NA",S10/E10),"NA")</f>
        <v>-6.1022012766439827E-3</v>
      </c>
      <c r="M10" s="3128">
        <f>IFERROR(IF(SUM(F10)=0,"NA",T10/F10),"NA")</f>
        <v>0.14161655386925398</v>
      </c>
      <c r="N10" s="3559">
        <f t="shared" si="0"/>
        <v>22606.861711473448</v>
      </c>
      <c r="O10" s="3560">
        <f t="shared" si="0"/>
        <v>-1060.5454820662987</v>
      </c>
      <c r="P10" s="3560">
        <f t="shared" si="0"/>
        <v>21546.316229407152</v>
      </c>
      <c r="Q10" s="3560">
        <f t="shared" si="0"/>
        <v>1780.8949052118473</v>
      </c>
      <c r="R10" s="3560">
        <f t="shared" si="0"/>
        <v>956.72483815576982</v>
      </c>
      <c r="S10" s="3560">
        <f t="shared" si="0"/>
        <v>-812.12033866008073</v>
      </c>
      <c r="T10" s="3561">
        <f t="shared" si="0"/>
        <v>23.464193648618206</v>
      </c>
      <c r="U10" s="3562">
        <f t="shared" si="0"/>
        <v>-86149.359368465462</v>
      </c>
      <c r="W10" s="2396"/>
    </row>
    <row r="11" spans="2:23" ht="18" customHeight="1" x14ac:dyDescent="0.2">
      <c r="B11" s="502" t="s">
        <v>982</v>
      </c>
      <c r="C11" s="2256"/>
      <c r="D11" s="3563">
        <f>IF(SUM(D12:D15)=0,"IE",SUM(D12:D15))</f>
        <v>119721.883561496</v>
      </c>
      <c r="E11" s="3564">
        <f t="shared" ref="E11:U11" si="2">IF(SUM(E12:E15)=0,"IE",SUM(E12:E15))</f>
        <v>119721.883561496</v>
      </c>
      <c r="F11" s="3565" t="str">
        <f t="shared" si="2"/>
        <v>IE</v>
      </c>
      <c r="G11" s="3558">
        <f t="shared" si="1"/>
        <v>8.2827695044044414E-2</v>
      </c>
      <c r="H11" s="3078">
        <f t="shared" si="1"/>
        <v>-8.8584095949471257E-3</v>
      </c>
      <c r="I11" s="3078">
        <f t="shared" si="1"/>
        <v>7.3969285449097297E-2</v>
      </c>
      <c r="J11" s="3078">
        <f t="shared" si="1"/>
        <v>4.6387672644936902E-3</v>
      </c>
      <c r="K11" s="3078">
        <f t="shared" si="1"/>
        <v>5.0562078672968941E-3</v>
      </c>
      <c r="L11" s="3078">
        <f t="shared" ref="L11:L28" si="3">IFERROR(IF(SUM(E11)=0,"NA",S11/E11),"NA")</f>
        <v>8.3590916397603323E-3</v>
      </c>
      <c r="M11" s="3128" t="str">
        <f t="shared" ref="M11:M28" si="4">IFERROR(IF(SUM(F11)=0,"NA",T11/F11),"NA")</f>
        <v>NA</v>
      </c>
      <c r="N11" s="3109">
        <f t="shared" si="2"/>
        <v>9916.2876617301845</v>
      </c>
      <c r="O11" s="3109">
        <f t="shared" si="2"/>
        <v>-1060.5454820662987</v>
      </c>
      <c r="P11" s="3109">
        <f t="shared" si="2"/>
        <v>8855.7421796638864</v>
      </c>
      <c r="Q11" s="3109">
        <f t="shared" si="2"/>
        <v>555.36195430859289</v>
      </c>
      <c r="R11" s="3566">
        <f t="shared" si="2"/>
        <v>605.33872955123877</v>
      </c>
      <c r="S11" s="3566">
        <f t="shared" si="2"/>
        <v>1000.7661959752611</v>
      </c>
      <c r="T11" s="3566" t="str">
        <f t="shared" si="2"/>
        <v>IE</v>
      </c>
      <c r="U11" s="3567">
        <f t="shared" si="2"/>
        <v>-40396.433218162929</v>
      </c>
      <c r="W11" s="2397"/>
    </row>
    <row r="12" spans="2:23" ht="18" customHeight="1" x14ac:dyDescent="0.2">
      <c r="B12" s="500"/>
      <c r="C12" s="508" t="s">
        <v>2220</v>
      </c>
      <c r="D12" s="3568">
        <f>IF(SUM(E12:F12)=0,E12,SUM(E12:F12))</f>
        <v>12258.561982685722</v>
      </c>
      <c r="E12" s="3569">
        <v>12258.561982685722</v>
      </c>
      <c r="F12" s="3554" t="s">
        <v>2153</v>
      </c>
      <c r="G12" s="3558">
        <f>IFERROR(IF(SUM($D12)=0,"NA",N12/$D12),"NA")</f>
        <v>0.65999294422714216</v>
      </c>
      <c r="H12" s="3078" t="str">
        <f>IFERROR(IF(SUM($D12)=0,"NA",O12/$D12),"NA")</f>
        <v>NA</v>
      </c>
      <c r="I12" s="3078">
        <f>IFERROR(IF(SUM($D12)=0,"NA",P12/$D12),"NA")</f>
        <v>0.65999294422714216</v>
      </c>
      <c r="J12" s="3078">
        <f>IFERROR(IF(SUM($D12)=0,"NA",Q12/$D12),"NA")</f>
        <v>-2.1079136548728689E-3</v>
      </c>
      <c r="K12" s="3078">
        <f>IFERROR(IF(SUM($D12)=0,"NA",R12/$D12),"NA")</f>
        <v>3.3965608841346528E-2</v>
      </c>
      <c r="L12" s="3078">
        <f t="shared" si="3"/>
        <v>4.3277121964975566E-2</v>
      </c>
      <c r="M12" s="3128" t="str">
        <f t="shared" si="4"/>
        <v>NA</v>
      </c>
      <c r="N12" s="2905">
        <v>8090.564414943663</v>
      </c>
      <c r="O12" s="2905" t="s">
        <v>2153</v>
      </c>
      <c r="P12" s="3109">
        <f>IF(SUM(N12:O12)=0,N12,SUM(N12:O12))</f>
        <v>8090.564414943663</v>
      </c>
      <c r="Q12" s="2905">
        <v>-25.839990192408663</v>
      </c>
      <c r="R12" s="2906">
        <v>416.36952126130461</v>
      </c>
      <c r="S12" s="2906">
        <v>530.51528203990267</v>
      </c>
      <c r="T12" s="2906" t="s">
        <v>2153</v>
      </c>
      <c r="U12" s="3570">
        <f>IF(SUM(P12:T12)=0,P12,SUM(P12:T12)*-44/12)</f>
        <v>-33042.567169525697</v>
      </c>
      <c r="W12" s="2398"/>
    </row>
    <row r="13" spans="2:23" ht="18" customHeight="1" x14ac:dyDescent="0.2">
      <c r="B13" s="500"/>
      <c r="C13" s="508" t="s">
        <v>2221</v>
      </c>
      <c r="D13" s="3568">
        <f t="shared" ref="D13:D15" si="5">IF(SUM(E13:F13)=0,E13,SUM(E13:F13))</f>
        <v>682.24894237664375</v>
      </c>
      <c r="E13" s="3569">
        <v>682.24894237664375</v>
      </c>
      <c r="F13" s="3554" t="s">
        <v>2153</v>
      </c>
      <c r="G13" s="3558" t="str">
        <f t="shared" ref="G13:K28" si="6">IFERROR(IF(SUM($D13)=0,"NA",N13/$D13),"NA")</f>
        <v>NA</v>
      </c>
      <c r="H13" s="3078">
        <f t="shared" si="6"/>
        <v>-1.5544846113968935</v>
      </c>
      <c r="I13" s="3078">
        <f t="shared" si="6"/>
        <v>-1.5544846113968935</v>
      </c>
      <c r="J13" s="3078">
        <f t="shared" si="6"/>
        <v>0.63367185662857717</v>
      </c>
      <c r="K13" s="3078">
        <f t="shared" si="6"/>
        <v>0.20157323510415306</v>
      </c>
      <c r="L13" s="3078">
        <f t="shared" si="3"/>
        <v>0.68926587456071242</v>
      </c>
      <c r="M13" s="3128" t="str">
        <f t="shared" si="4"/>
        <v>NA</v>
      </c>
      <c r="N13" s="2905" t="s">
        <v>2153</v>
      </c>
      <c r="O13" s="2905">
        <v>-1060.5454820662987</v>
      </c>
      <c r="P13" s="3109">
        <f t="shared" ref="P13:P15" si="7">IF(SUM(N13:O13)=0,N13,SUM(N13:O13))</f>
        <v>-1060.5454820662987</v>
      </c>
      <c r="Q13" s="2905">
        <v>432.32195399869101</v>
      </c>
      <c r="R13" s="2906">
        <v>137.52312646124699</v>
      </c>
      <c r="S13" s="2906">
        <v>470.25091393535848</v>
      </c>
      <c r="T13" s="2906" t="s">
        <v>2153</v>
      </c>
      <c r="U13" s="3570">
        <f t="shared" ref="U13:U15" si="8">IF(SUM(P13:T13)=0,P13,SUM(P13:T13)*-44/12)</f>
        <v>74.981454793674956</v>
      </c>
      <c r="W13" s="2398"/>
    </row>
    <row r="14" spans="2:23" ht="18" customHeight="1" x14ac:dyDescent="0.2">
      <c r="B14" s="500"/>
      <c r="C14" s="508" t="s">
        <v>2222</v>
      </c>
      <c r="D14" s="3568">
        <f t="shared" si="5"/>
        <v>106781.07263643363</v>
      </c>
      <c r="E14" s="3569">
        <v>106781.07263643363</v>
      </c>
      <c r="F14" s="3554" t="s">
        <v>2153</v>
      </c>
      <c r="G14" s="3558">
        <f t="shared" si="6"/>
        <v>2.1560738661462026E-3</v>
      </c>
      <c r="H14" s="3078" t="str">
        <f t="shared" si="6"/>
        <v>NA</v>
      </c>
      <c r="I14" s="3078">
        <f t="shared" si="6"/>
        <v>2.1560738661462026E-3</v>
      </c>
      <c r="J14" s="3078">
        <f t="shared" si="6"/>
        <v>1.0200883714018031E-4</v>
      </c>
      <c r="K14" s="3078">
        <f t="shared" si="6"/>
        <v>4.817902701150974E-4</v>
      </c>
      <c r="L14" s="3078" t="str">
        <f t="shared" si="3"/>
        <v>NA</v>
      </c>
      <c r="M14" s="3128" t="str">
        <f t="shared" si="4"/>
        <v>NA</v>
      </c>
      <c r="N14" s="2905">
        <v>230.22788011047393</v>
      </c>
      <c r="O14" s="2905" t="s">
        <v>2153</v>
      </c>
      <c r="P14" s="3109">
        <f t="shared" si="7"/>
        <v>230.22788011047393</v>
      </c>
      <c r="Q14" s="2905">
        <v>10.892613048223723</v>
      </c>
      <c r="R14" s="2906">
        <v>51.446081828687191</v>
      </c>
      <c r="S14" s="2906" t="s">
        <v>2147</v>
      </c>
      <c r="T14" s="2906" t="s">
        <v>2147</v>
      </c>
      <c r="U14" s="3570">
        <f t="shared" si="8"/>
        <v>-1072.7441082870778</v>
      </c>
      <c r="W14" s="2398"/>
    </row>
    <row r="15" spans="2:23" ht="18" customHeight="1" x14ac:dyDescent="0.2">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v>1595.4953666760491</v>
      </c>
      <c r="O15" s="2905" t="s">
        <v>2153</v>
      </c>
      <c r="P15" s="3109">
        <f t="shared" si="7"/>
        <v>1595.4953666760491</v>
      </c>
      <c r="Q15" s="2905">
        <v>137.98737745408687</v>
      </c>
      <c r="R15" s="2906" t="s">
        <v>2147</v>
      </c>
      <c r="S15" s="2906" t="s">
        <v>2147</v>
      </c>
      <c r="T15" s="2906" t="s">
        <v>2147</v>
      </c>
      <c r="U15" s="3570">
        <f t="shared" si="8"/>
        <v>-6356.1033951438321</v>
      </c>
      <c r="W15" s="2398"/>
    </row>
    <row r="16" spans="2:23" ht="18" customHeight="1" x14ac:dyDescent="0.2">
      <c r="B16" s="485" t="s">
        <v>1041</v>
      </c>
      <c r="C16" s="504"/>
      <c r="D16" s="3568">
        <f>IF(SUM(D17,D19,D23,D25,D27)=0,"IE",SUM(D17,D19,D23,D25,D27))</f>
        <v>13530.260151494547</v>
      </c>
      <c r="E16" s="3571">
        <f t="shared" ref="E16:T16" si="9">IF(SUM(E17,E19,E23,E25,E27)=0,"IE",SUM(E17,E19,E23,E25,E27))</f>
        <v>13364.57193915264</v>
      </c>
      <c r="F16" s="3572">
        <f t="shared" si="9"/>
        <v>165.68821234190798</v>
      </c>
      <c r="G16" s="3558">
        <f t="shared" si="6"/>
        <v>0.93794013623170935</v>
      </c>
      <c r="H16" s="3078" t="str">
        <f t="shared" si="6"/>
        <v>NA</v>
      </c>
      <c r="I16" s="3078">
        <f t="shared" si="6"/>
        <v>0.93794013623170935</v>
      </c>
      <c r="J16" s="3078">
        <f t="shared" si="6"/>
        <v>9.0577190473893635E-2</v>
      </c>
      <c r="K16" s="3078">
        <f t="shared" si="6"/>
        <v>2.5970388201716658E-2</v>
      </c>
      <c r="L16" s="3078">
        <f t="shared" si="3"/>
        <v>-0.13564867942566405</v>
      </c>
      <c r="M16" s="3128">
        <f t="shared" si="4"/>
        <v>0.14161655386925398</v>
      </c>
      <c r="N16" s="3078">
        <f t="shared" si="9"/>
        <v>12690.574049743263</v>
      </c>
      <c r="O16" s="3078" t="str">
        <f t="shared" si="9"/>
        <v>IE</v>
      </c>
      <c r="P16" s="3078">
        <f t="shared" si="9"/>
        <v>12690.574049743263</v>
      </c>
      <c r="Q16" s="3078">
        <f t="shared" si="9"/>
        <v>1225.5329509032545</v>
      </c>
      <c r="R16" s="3573">
        <f t="shared" si="9"/>
        <v>351.38610860453105</v>
      </c>
      <c r="S16" s="3573">
        <f t="shared" si="9"/>
        <v>-1812.8865346353418</v>
      </c>
      <c r="T16" s="3573">
        <f t="shared" si="9"/>
        <v>23.464193648618206</v>
      </c>
      <c r="U16" s="3570">
        <f>IF(SUM(U17,U19,U23,U25,U27)=0,"IE",SUM(U17,U19,U23,U25,U27))</f>
        <v>-45752.926150302526</v>
      </c>
      <c r="W16" s="2019"/>
    </row>
    <row r="17" spans="2:23" ht="18" customHeight="1" x14ac:dyDescent="0.2">
      <c r="B17" s="487" t="s">
        <v>1042</v>
      </c>
      <c r="C17" s="504"/>
      <c r="D17" s="3568">
        <f>D18</f>
        <v>93.019000000000005</v>
      </c>
      <c r="E17" s="3571">
        <f t="shared" ref="E17:U17" si="10">E18</f>
        <v>93.019000000000005</v>
      </c>
      <c r="F17" s="3572" t="str">
        <f t="shared" si="10"/>
        <v>NO</v>
      </c>
      <c r="G17" s="3558">
        <f t="shared" si="6"/>
        <v>1.4047022651286296</v>
      </c>
      <c r="H17" s="3078" t="str">
        <f t="shared" si="6"/>
        <v>NA</v>
      </c>
      <c r="I17" s="3078">
        <f t="shared" si="6"/>
        <v>1.4047022651286296</v>
      </c>
      <c r="J17" s="3078">
        <f t="shared" si="6"/>
        <v>6.5674754620023867E-2</v>
      </c>
      <c r="K17" s="3078">
        <f t="shared" si="6"/>
        <v>3.1111923370494194E-2</v>
      </c>
      <c r="L17" s="3078">
        <f t="shared" si="3"/>
        <v>-0.32386931702125371</v>
      </c>
      <c r="M17" s="3128" t="str">
        <f t="shared" si="4"/>
        <v>NA</v>
      </c>
      <c r="N17" s="3078">
        <f t="shared" si="10"/>
        <v>130.66400000000002</v>
      </c>
      <c r="O17" s="3078" t="str">
        <f t="shared" si="10"/>
        <v>IE</v>
      </c>
      <c r="P17" s="3078">
        <f t="shared" si="10"/>
        <v>130.66400000000002</v>
      </c>
      <c r="Q17" s="3078">
        <f t="shared" si="10"/>
        <v>6.109</v>
      </c>
      <c r="R17" s="3573">
        <f t="shared" si="10"/>
        <v>2.8939999999999997</v>
      </c>
      <c r="S17" s="3573">
        <f t="shared" si="10"/>
        <v>-30.126000000000001</v>
      </c>
      <c r="T17" s="3573" t="str">
        <f t="shared" si="10"/>
        <v>NO</v>
      </c>
      <c r="U17" s="3570">
        <f t="shared" si="10"/>
        <v>-401.65033333333344</v>
      </c>
      <c r="W17" s="2019"/>
    </row>
    <row r="18" spans="2:23" ht="18" customHeight="1" x14ac:dyDescent="0.2">
      <c r="B18" s="488"/>
      <c r="C18" s="508" t="s">
        <v>278</v>
      </c>
      <c r="D18" s="3568">
        <f>IF(SUM(E18:F18)=0,E18,SUM(E18:F18))</f>
        <v>93.019000000000005</v>
      </c>
      <c r="E18" s="3569">
        <v>93.019000000000005</v>
      </c>
      <c r="F18" s="3554" t="s">
        <v>2146</v>
      </c>
      <c r="G18" s="3558">
        <f t="shared" si="6"/>
        <v>1.4047022651286296</v>
      </c>
      <c r="H18" s="3078" t="str">
        <f t="shared" si="6"/>
        <v>NA</v>
      </c>
      <c r="I18" s="3078">
        <f t="shared" si="6"/>
        <v>1.4047022651286296</v>
      </c>
      <c r="J18" s="3078">
        <f t="shared" si="6"/>
        <v>6.5674754620023867E-2</v>
      </c>
      <c r="K18" s="3078">
        <f t="shared" si="6"/>
        <v>3.1111923370494194E-2</v>
      </c>
      <c r="L18" s="3078">
        <f t="shared" si="3"/>
        <v>-0.32386931702125371</v>
      </c>
      <c r="M18" s="3128" t="str">
        <f t="shared" si="4"/>
        <v>NA</v>
      </c>
      <c r="N18" s="2905">
        <v>130.66400000000002</v>
      </c>
      <c r="O18" s="2905" t="s">
        <v>2153</v>
      </c>
      <c r="P18" s="3109">
        <f>IF(SUM(N18:O18)=0,N18,SUM(N18:O18))</f>
        <v>130.66400000000002</v>
      </c>
      <c r="Q18" s="2905">
        <v>6.109</v>
      </c>
      <c r="R18" s="2906">
        <v>2.8939999999999997</v>
      </c>
      <c r="S18" s="2906">
        <v>-30.126000000000001</v>
      </c>
      <c r="T18" s="2906" t="s">
        <v>2146</v>
      </c>
      <c r="U18" s="3570">
        <f t="shared" ref="U18" si="11">IF(SUM(P18:T18)=0,P18,SUM(P18:T18)*-44/12)</f>
        <v>-401.65033333333344</v>
      </c>
      <c r="W18" s="2398"/>
    </row>
    <row r="19" spans="2:23" ht="18" customHeight="1" x14ac:dyDescent="0.2">
      <c r="B19" s="487" t="s">
        <v>1043</v>
      </c>
      <c r="C19" s="504"/>
      <c r="D19" s="3563">
        <f>IF(SUM(D20:D22)=0,"IE",SUM(D20:D22))</f>
        <v>13198.67693915264</v>
      </c>
      <c r="E19" s="3571">
        <f t="shared" ref="E19:U19" si="12">IF(SUM(E20:E22)=0,"IE",SUM(E20:E22))</f>
        <v>13198.67693915264</v>
      </c>
      <c r="F19" s="3572" t="str">
        <f t="shared" si="12"/>
        <v>IE</v>
      </c>
      <c r="G19" s="3558">
        <f t="shared" si="6"/>
        <v>0.85718451184533839</v>
      </c>
      <c r="H19" s="3078" t="str">
        <f t="shared" si="6"/>
        <v>NA</v>
      </c>
      <c r="I19" s="3078">
        <f t="shared" si="6"/>
        <v>0.85718451184533839</v>
      </c>
      <c r="J19" s="3078">
        <f t="shared" si="6"/>
        <v>9.9717981382516849E-2</v>
      </c>
      <c r="K19" s="3078">
        <f t="shared" si="6"/>
        <v>2.6797678088273699E-2</v>
      </c>
      <c r="L19" s="3078">
        <f t="shared" si="3"/>
        <v>-0.13282888449483451</v>
      </c>
      <c r="M19" s="3128" t="str">
        <f t="shared" si="4"/>
        <v>NA</v>
      </c>
      <c r="N19" s="3078">
        <f t="shared" si="12"/>
        <v>11313.701449091881</v>
      </c>
      <c r="O19" s="3078" t="str">
        <f t="shared" si="12"/>
        <v>IE</v>
      </c>
      <c r="P19" s="3078">
        <f t="shared" si="12"/>
        <v>11313.701449091881</v>
      </c>
      <c r="Q19" s="3078">
        <f t="shared" si="12"/>
        <v>1316.1454212922774</v>
      </c>
      <c r="R19" s="3573">
        <f t="shared" si="12"/>
        <v>353.69389580653404</v>
      </c>
      <c r="S19" s="3573">
        <f t="shared" si="12"/>
        <v>-1753.1655346353418</v>
      </c>
      <c r="T19" s="3573" t="str">
        <f t="shared" si="12"/>
        <v>IE</v>
      </c>
      <c r="U19" s="3570">
        <f t="shared" si="12"/>
        <v>-41178.042515702953</v>
      </c>
      <c r="W19" s="2019"/>
    </row>
    <row r="20" spans="2:23" ht="18" customHeight="1" x14ac:dyDescent="0.2">
      <c r="B20" s="496"/>
      <c r="C20" s="508" t="s">
        <v>2223</v>
      </c>
      <c r="D20" s="3568">
        <f>IF(SUM(E20:F20)=0,E20,SUM(E20:F20))</f>
        <v>3755.1020000000008</v>
      </c>
      <c r="E20" s="3569">
        <v>3755.1020000000008</v>
      </c>
      <c r="F20" s="3554" t="s">
        <v>2146</v>
      </c>
      <c r="G20" s="3558">
        <f t="shared" si="6"/>
        <v>1.3597055419533215</v>
      </c>
      <c r="H20" s="3078" t="str">
        <f t="shared" si="6"/>
        <v>NA</v>
      </c>
      <c r="I20" s="3078">
        <f t="shared" si="6"/>
        <v>1.3597055419533215</v>
      </c>
      <c r="J20" s="3078">
        <f t="shared" si="6"/>
        <v>6.9395718145605578E-2</v>
      </c>
      <c r="K20" s="3078">
        <f t="shared" si="6"/>
        <v>3.2859826444128569E-2</v>
      </c>
      <c r="L20" s="3078">
        <f t="shared" si="3"/>
        <v>-0.30642496528722796</v>
      </c>
      <c r="M20" s="3128" t="str">
        <f t="shared" si="4"/>
        <v>NA</v>
      </c>
      <c r="N20" s="2905">
        <v>5105.8330000000024</v>
      </c>
      <c r="O20" s="2905" t="s">
        <v>2153</v>
      </c>
      <c r="P20" s="3109">
        <f>IF(SUM(N20:O20)=0,N20,SUM(N20:O20))</f>
        <v>5105.8330000000024</v>
      </c>
      <c r="Q20" s="2905">
        <v>260.58799999999985</v>
      </c>
      <c r="R20" s="2906">
        <v>123.39200000000011</v>
      </c>
      <c r="S20" s="2906">
        <v>-1150.6570000000006</v>
      </c>
      <c r="T20" s="2906" t="s">
        <v>2146</v>
      </c>
      <c r="U20" s="3570">
        <f t="shared" ref="U20:U22" si="13">IF(SUM(P20:T20)=0,P20,SUM(P20:T20)*-44/12)</f>
        <v>-15910.23866666667</v>
      </c>
      <c r="W20" s="2398"/>
    </row>
    <row r="21" spans="2:23" ht="18" customHeight="1" x14ac:dyDescent="0.2">
      <c r="B21" s="500"/>
      <c r="C21" s="508" t="s">
        <v>2291</v>
      </c>
      <c r="D21" s="3568">
        <f>IF(SUM(E21:F21)=0,E21,SUM(E21:F21))</f>
        <v>9443.5749391526388</v>
      </c>
      <c r="E21" s="3569">
        <v>9443.5749391526388</v>
      </c>
      <c r="F21" s="3554" t="s">
        <v>2146</v>
      </c>
      <c r="G21" s="3558">
        <f t="shared" si="6"/>
        <v>0.65731044689784746</v>
      </c>
      <c r="H21" s="3078" t="str">
        <f t="shared" si="6"/>
        <v>NA</v>
      </c>
      <c r="I21" s="3078">
        <f t="shared" si="6"/>
        <v>0.65731044689784746</v>
      </c>
      <c r="J21" s="3078">
        <f t="shared" si="6"/>
        <v>0.11175213027215562</v>
      </c>
      <c r="K21" s="3078">
        <f t="shared" si="6"/>
        <v>2.4387151824433836E-2</v>
      </c>
      <c r="L21" s="3078">
        <f t="shared" si="3"/>
        <v>-6.3800895160726456E-2</v>
      </c>
      <c r="M21" s="3128" t="str">
        <f t="shared" si="4"/>
        <v>NA</v>
      </c>
      <c r="N21" s="2905">
        <v>6207.3604635677339</v>
      </c>
      <c r="O21" s="2905" t="s">
        <v>2153</v>
      </c>
      <c r="P21" s="3109">
        <f t="shared" ref="P21:P28" si="14">IF(SUM(N21:O21)=0,N21,SUM(N21:O21))</f>
        <v>6207.3604635677339</v>
      </c>
      <c r="Q21" s="2905">
        <v>1055.3396168350498</v>
      </c>
      <c r="R21" s="2906">
        <v>230.30189580653393</v>
      </c>
      <c r="S21" s="2906">
        <v>-602.50853463534122</v>
      </c>
      <c r="T21" s="2906" t="s">
        <v>2146</v>
      </c>
      <c r="U21" s="3570">
        <f t="shared" si="13"/>
        <v>-25265.142619104579</v>
      </c>
      <c r="W21" s="2398"/>
    </row>
    <row r="22" spans="2:23" ht="18" customHeight="1" x14ac:dyDescent="0.2">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v>0.50798552414584897</v>
      </c>
      <c r="O22" s="2905" t="s">
        <v>2153</v>
      </c>
      <c r="P22" s="3109">
        <f t="shared" si="14"/>
        <v>0.50798552414584897</v>
      </c>
      <c r="Q22" s="2905">
        <v>0.2178044572276728</v>
      </c>
      <c r="R22" s="2906" t="s">
        <v>2147</v>
      </c>
      <c r="S22" s="2906" t="s">
        <v>2147</v>
      </c>
      <c r="T22" s="2906" t="s">
        <v>2147</v>
      </c>
      <c r="U22" s="3570">
        <f t="shared" si="13"/>
        <v>-2.6612299317029131</v>
      </c>
      <c r="W22" s="2398"/>
    </row>
    <row r="23" spans="2:23" ht="18" customHeight="1" x14ac:dyDescent="0.2">
      <c r="B23" s="487" t="s">
        <v>1044</v>
      </c>
      <c r="C23" s="504"/>
      <c r="D23" s="3568">
        <f>D24</f>
        <v>165.68821234190798</v>
      </c>
      <c r="E23" s="3571" t="str">
        <f t="shared" ref="E23" si="15">E24</f>
        <v>NO</v>
      </c>
      <c r="F23" s="3572">
        <f t="shared" ref="F23" si="16">F24</f>
        <v>165.68821234190798</v>
      </c>
      <c r="G23" s="3558">
        <f t="shared" si="6"/>
        <v>6.7858635491295054</v>
      </c>
      <c r="H23" s="3078" t="str">
        <f t="shared" si="6"/>
        <v>NA</v>
      </c>
      <c r="I23" s="3078">
        <f t="shared" si="6"/>
        <v>6.7858635491295054</v>
      </c>
      <c r="J23" s="3078">
        <f t="shared" si="6"/>
        <v>-0.62695148267194212</v>
      </c>
      <c r="K23" s="3078">
        <f t="shared" si="6"/>
        <v>-5.4082225134470363E-2</v>
      </c>
      <c r="L23" s="3078" t="str">
        <f t="shared" si="3"/>
        <v>NA</v>
      </c>
      <c r="M23" s="3128">
        <f t="shared" si="4"/>
        <v>0.14161655386925398</v>
      </c>
      <c r="N23" s="3078">
        <f t="shared" ref="N23" si="17">N24</f>
        <v>1124.3376006513829</v>
      </c>
      <c r="O23" s="3078" t="str">
        <f t="shared" ref="O23" si="18">O24</f>
        <v>IE</v>
      </c>
      <c r="P23" s="3078">
        <f t="shared" ref="P23" si="19">P24</f>
        <v>1124.3376006513829</v>
      </c>
      <c r="Q23" s="3078">
        <f t="shared" ref="Q23" si="20">Q24</f>
        <v>-103.87847038902279</v>
      </c>
      <c r="R23" s="3573">
        <f t="shared" ref="R23" si="21">R24</f>
        <v>-8.9607872020029991</v>
      </c>
      <c r="S23" s="3573" t="str">
        <f t="shared" ref="S23" si="22">S24</f>
        <v>NO</v>
      </c>
      <c r="T23" s="3573">
        <f t="shared" ref="T23" si="23">T24</f>
        <v>23.464193648618206</v>
      </c>
      <c r="U23" s="3570">
        <f t="shared" ref="U23" si="24">U24</f>
        <v>-3794.8626345995758</v>
      </c>
      <c r="W23" s="2019"/>
    </row>
    <row r="24" spans="2:23" ht="18" customHeight="1" x14ac:dyDescent="0.2">
      <c r="B24" s="488"/>
      <c r="C24" s="508" t="s">
        <v>278</v>
      </c>
      <c r="D24" s="3568">
        <f>IF(SUM(E24:F24)=0,E24,SUM(E24:F24))</f>
        <v>165.68821234190798</v>
      </c>
      <c r="E24" s="3569" t="s">
        <v>2146</v>
      </c>
      <c r="F24" s="3554">
        <v>165.68821234190798</v>
      </c>
      <c r="G24" s="3558">
        <f t="shared" si="6"/>
        <v>6.7858635491295054</v>
      </c>
      <c r="H24" s="3078" t="str">
        <f t="shared" si="6"/>
        <v>NA</v>
      </c>
      <c r="I24" s="3078">
        <f t="shared" si="6"/>
        <v>6.7858635491295054</v>
      </c>
      <c r="J24" s="3078">
        <f t="shared" si="6"/>
        <v>-0.62695148267194212</v>
      </c>
      <c r="K24" s="3078">
        <f t="shared" si="6"/>
        <v>-5.4082225134470363E-2</v>
      </c>
      <c r="L24" s="3078" t="str">
        <f t="shared" si="3"/>
        <v>NA</v>
      </c>
      <c r="M24" s="3128">
        <f t="shared" si="4"/>
        <v>0.14161655386925398</v>
      </c>
      <c r="N24" s="2905">
        <v>1124.3376006513829</v>
      </c>
      <c r="O24" s="2905" t="s">
        <v>2153</v>
      </c>
      <c r="P24" s="3109">
        <f t="shared" si="14"/>
        <v>1124.3376006513829</v>
      </c>
      <c r="Q24" s="2905">
        <v>-103.87847038902279</v>
      </c>
      <c r="R24" s="2906">
        <v>-8.9607872020029991</v>
      </c>
      <c r="S24" s="2906" t="s">
        <v>2146</v>
      </c>
      <c r="T24" s="2906">
        <v>23.464193648618206</v>
      </c>
      <c r="U24" s="3570">
        <f t="shared" ref="U24" si="25">IF(SUM(P24:T24)=0,P24,SUM(P24:T24)*-44/12)</f>
        <v>-3794.8626345995758</v>
      </c>
      <c r="W24" s="2398"/>
    </row>
    <row r="25" spans="2:23" ht="18" customHeight="1" x14ac:dyDescent="0.2">
      <c r="B25" s="487" t="s">
        <v>1045</v>
      </c>
      <c r="C25" s="504"/>
      <c r="D25" s="3568">
        <f>D26</f>
        <v>72.876000000000005</v>
      </c>
      <c r="E25" s="3571">
        <f t="shared" ref="E25" si="26">E26</f>
        <v>72.876000000000005</v>
      </c>
      <c r="F25" s="3572" t="str">
        <f t="shared" ref="F25" si="27">F26</f>
        <v>NO</v>
      </c>
      <c r="G25" s="3558">
        <f t="shared" si="6"/>
        <v>1.6723063834458531</v>
      </c>
      <c r="H25" s="3078" t="str">
        <f t="shared" si="6"/>
        <v>NA</v>
      </c>
      <c r="I25" s="3078">
        <f t="shared" si="6"/>
        <v>1.6723063834458531</v>
      </c>
      <c r="J25" s="3078">
        <f t="shared" si="6"/>
        <v>9.8207914814204947E-2</v>
      </c>
      <c r="K25" s="3078">
        <f t="shared" si="6"/>
        <v>5.1580767330808491E-2</v>
      </c>
      <c r="L25" s="3078">
        <f t="shared" si="3"/>
        <v>-0.40610077391733901</v>
      </c>
      <c r="M25" s="3128" t="str">
        <f t="shared" si="4"/>
        <v>NA</v>
      </c>
      <c r="N25" s="3078">
        <f t="shared" ref="N25" si="28">N26</f>
        <v>121.871</v>
      </c>
      <c r="O25" s="3078" t="str">
        <f t="shared" ref="O25" si="29">O26</f>
        <v>IE</v>
      </c>
      <c r="P25" s="3078">
        <f t="shared" ref="P25" si="30">P26</f>
        <v>121.871</v>
      </c>
      <c r="Q25" s="3078">
        <f t="shared" ref="Q25" si="31">Q26</f>
        <v>7.157</v>
      </c>
      <c r="R25" s="3573">
        <f t="shared" ref="R25" si="32">R26</f>
        <v>3.7589999999999999</v>
      </c>
      <c r="S25" s="3573">
        <f t="shared" ref="S25" si="33">S26</f>
        <v>-29.594999999999999</v>
      </c>
      <c r="T25" s="3573" t="str">
        <f t="shared" ref="T25" si="34">T26</f>
        <v>NO</v>
      </c>
      <c r="U25" s="3570">
        <f t="shared" ref="U25" si="35">U26</f>
        <v>-378.37066666666664</v>
      </c>
      <c r="W25" s="2019"/>
    </row>
    <row r="26" spans="2:23" ht="18" customHeight="1" x14ac:dyDescent="0.2">
      <c r="B26" s="488"/>
      <c r="C26" s="508" t="s">
        <v>278</v>
      </c>
      <c r="D26" s="3568">
        <f>IF(SUM(E26:F26)=0,E26,SUM(E26:F26))</f>
        <v>72.876000000000005</v>
      </c>
      <c r="E26" s="3569">
        <v>72.876000000000005</v>
      </c>
      <c r="F26" s="3554" t="s">
        <v>2146</v>
      </c>
      <c r="G26" s="3558">
        <f t="shared" si="6"/>
        <v>1.6723063834458531</v>
      </c>
      <c r="H26" s="3078" t="str">
        <f t="shared" si="6"/>
        <v>NA</v>
      </c>
      <c r="I26" s="3078">
        <f t="shared" si="6"/>
        <v>1.6723063834458531</v>
      </c>
      <c r="J26" s="3078">
        <f t="shared" si="6"/>
        <v>9.8207914814204947E-2</v>
      </c>
      <c r="K26" s="3078">
        <f t="shared" si="6"/>
        <v>5.1580767330808491E-2</v>
      </c>
      <c r="L26" s="3078">
        <f t="shared" si="3"/>
        <v>-0.40610077391733901</v>
      </c>
      <c r="M26" s="3128" t="str">
        <f t="shared" si="4"/>
        <v>NA</v>
      </c>
      <c r="N26" s="2905">
        <v>121.871</v>
      </c>
      <c r="O26" s="2905" t="s">
        <v>2153</v>
      </c>
      <c r="P26" s="3109">
        <f t="shared" si="14"/>
        <v>121.871</v>
      </c>
      <c r="Q26" s="2905">
        <v>7.157</v>
      </c>
      <c r="R26" s="2906">
        <v>3.7589999999999999</v>
      </c>
      <c r="S26" s="2906">
        <v>-29.594999999999999</v>
      </c>
      <c r="T26" s="2906" t="s">
        <v>2146</v>
      </c>
      <c r="U26" s="3570">
        <f t="shared" ref="U26" si="36">IF(SUM(P26:T26)=0,P26,SUM(P26:T26)*-44/12)</f>
        <v>-378.37066666666664</v>
      </c>
      <c r="W26" s="2398"/>
    </row>
    <row r="27" spans="2:23" ht="18" customHeight="1" x14ac:dyDescent="0.2">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25">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80" t="s">
        <v>2224</v>
      </c>
      <c r="C49" s="4481"/>
      <c r="D49" s="4481"/>
      <c r="E49" s="4481"/>
      <c r="F49" s="4481"/>
      <c r="G49" s="4481"/>
      <c r="H49" s="4481"/>
      <c r="I49" s="4481"/>
      <c r="J49" s="4481"/>
      <c r="K49" s="4481"/>
      <c r="L49" s="4481"/>
      <c r="M49" s="4481"/>
      <c r="N49" s="4481"/>
      <c r="O49" s="4481"/>
      <c r="P49" s="4481"/>
      <c r="Q49" s="4481"/>
      <c r="R49" s="4481"/>
      <c r="S49" s="4481"/>
      <c r="T49" s="4481"/>
      <c r="U49" s="4482"/>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5" t="s">
        <v>1053</v>
      </c>
      <c r="C10" s="2262"/>
      <c r="D10" s="3582">
        <f>IF(SUM(D11,D13)=0,"IE",SUM(D11,D13))</f>
        <v>39976.642795673819</v>
      </c>
      <c r="E10" s="3583">
        <f t="shared" ref="E10:F10" si="0">IF(SUM(E11,E13)=0,"IE",SUM(E11,E13))</f>
        <v>39973.642795673819</v>
      </c>
      <c r="F10" s="3584">
        <f t="shared" si="0"/>
        <v>3</v>
      </c>
      <c r="G10" s="3558">
        <f>IFERROR(IF(SUM($D10)=0,"NA",M10/$D10),"NA")</f>
        <v>4.5389552309166963E-3</v>
      </c>
      <c r="H10" s="3583" t="str">
        <f t="shared" ref="H10:J10" si="1">IFERROR(IF(SUM($D10)=0,"NA",N10/$D10),"NA")</f>
        <v>NA</v>
      </c>
      <c r="I10" s="3583">
        <f t="shared" si="1"/>
        <v>4.5389552309166963E-3</v>
      </c>
      <c r="J10" s="3583">
        <f t="shared" si="1"/>
        <v>-2.5752287536046151E-3</v>
      </c>
      <c r="K10" s="3585">
        <f>IFERROR(IF(SUM(E10)=0,"NA",Q10/E10),"NA")</f>
        <v>1.9165020410797581E-2</v>
      </c>
      <c r="L10" s="3584">
        <f>IFERROR(IF(SUM(F10)=0,"NA",R10/F10),"NA")</f>
        <v>-12.475</v>
      </c>
      <c r="M10" s="3586">
        <f>IF(SUM(M11,M13)=0,"IE",SUM(M11,M13))</f>
        <v>181.45219193191195</v>
      </c>
      <c r="N10" s="3583" t="str">
        <f t="shared" ref="N10:S10" si="2">IF(SUM(N11,N13)=0,"IE",SUM(N11,N13))</f>
        <v>IE</v>
      </c>
      <c r="O10" s="3587">
        <f t="shared" si="2"/>
        <v>181.45219193191195</v>
      </c>
      <c r="P10" s="3583">
        <f t="shared" si="2"/>
        <v>-102.949</v>
      </c>
      <c r="Q10" s="3585">
        <f t="shared" si="2"/>
        <v>766.09568007302039</v>
      </c>
      <c r="R10" s="3585">
        <f t="shared" si="2"/>
        <v>-37.424999999999997</v>
      </c>
      <c r="S10" s="3588">
        <f t="shared" si="2"/>
        <v>-2959.6375306847522</v>
      </c>
      <c r="U10" s="2261"/>
    </row>
    <row r="11" spans="2:21" ht="18" customHeight="1" x14ac:dyDescent="0.2">
      <c r="B11" s="499" t="s">
        <v>985</v>
      </c>
      <c r="C11" s="2256"/>
      <c r="D11" s="3589">
        <f>D12</f>
        <v>37677.277854646003</v>
      </c>
      <c r="E11" s="3078">
        <f t="shared" ref="E11" si="3">E12</f>
        <v>37677.277854646003</v>
      </c>
      <c r="F11" s="3078" t="str">
        <f t="shared" ref="F11" si="4">F12</f>
        <v>IE</v>
      </c>
      <c r="G11" s="3558">
        <f t="shared" ref="G11:G23" si="5">IFERROR(IF(SUM($D11)=0,"NA",M11/$D11),"NA")</f>
        <v>1.4978574659674597E-3</v>
      </c>
      <c r="H11" s="3078" t="str">
        <f t="shared" ref="H11:H23" si="6">IFERROR(IF(SUM($D11)=0,"NA",N11/$D11),"NA")</f>
        <v>NA</v>
      </c>
      <c r="I11" s="3078">
        <f t="shared" ref="I11:I23" si="7">IFERROR(IF(SUM($D11)=0,"NA",O11/$D11),"NA")</f>
        <v>1.4978574659674597E-3</v>
      </c>
      <c r="J11" s="3078" t="str">
        <f t="shared" ref="J11:J23" si="8">IFERROR(IF(SUM($D11)=0,"NA",P11/$D11),"NA")</f>
        <v>NA</v>
      </c>
      <c r="K11" s="3573">
        <f t="shared" ref="K11:K23" si="9">IFERROR(IF(SUM(E11)=0,"NA",Q11/E11),"NA")</f>
        <v>3.3990976195197753E-2</v>
      </c>
      <c r="L11" s="3128" t="str">
        <f t="shared" ref="L11:L23" si="10">IFERROR(IF(SUM(F11)=0,"NA",R11/F11),"NA")</f>
        <v>NA</v>
      </c>
      <c r="M11" s="3590">
        <f t="shared" ref="M11" si="11">M12</f>
        <v>56.435191931911952</v>
      </c>
      <c r="N11" s="3591" t="str">
        <f t="shared" ref="N11" si="12">N12</f>
        <v>IE</v>
      </c>
      <c r="O11" s="3592">
        <f t="shared" ref="O11" si="13">O12</f>
        <v>56.435191931911952</v>
      </c>
      <c r="P11" s="3591" t="str">
        <f t="shared" ref="P11" si="14">P12</f>
        <v>NA</v>
      </c>
      <c r="Q11" s="3593">
        <f t="shared" ref="Q11" si="15">Q12</f>
        <v>1280.6874546571237</v>
      </c>
      <c r="R11" s="3593" t="str">
        <f t="shared" ref="R11" si="16">R12</f>
        <v>IE</v>
      </c>
      <c r="S11" s="3594">
        <f t="shared" ref="S11" si="17">S12</f>
        <v>-4902.7830374931309</v>
      </c>
      <c r="U11" s="2258"/>
    </row>
    <row r="12" spans="2:21" ht="18" customHeight="1" x14ac:dyDescent="0.2">
      <c r="B12" s="501"/>
      <c r="C12" s="508" t="s">
        <v>278</v>
      </c>
      <c r="D12" s="3568">
        <f>IF(SUM(E12:F12)=0,E12,SUM(E12:F12))</f>
        <v>37677.277854646003</v>
      </c>
      <c r="E12" s="3569">
        <v>37677.277854646003</v>
      </c>
      <c r="F12" s="3554" t="s">
        <v>2153</v>
      </c>
      <c r="G12" s="3558">
        <f t="shared" si="5"/>
        <v>1.4978574659674597E-3</v>
      </c>
      <c r="H12" s="3078" t="str">
        <f t="shared" si="6"/>
        <v>NA</v>
      </c>
      <c r="I12" s="3078">
        <f t="shared" si="7"/>
        <v>1.4978574659674597E-3</v>
      </c>
      <c r="J12" s="3078" t="str">
        <f t="shared" si="8"/>
        <v>NA</v>
      </c>
      <c r="K12" s="3573">
        <f t="shared" si="9"/>
        <v>3.3990976195197753E-2</v>
      </c>
      <c r="L12" s="3128" t="str">
        <f t="shared" si="10"/>
        <v>NA</v>
      </c>
      <c r="M12" s="2905">
        <v>56.435191931911952</v>
      </c>
      <c r="N12" s="2905" t="s">
        <v>2153</v>
      </c>
      <c r="O12" s="3109">
        <f>IF(SUM(M12:N12)=0,M12,SUM(M12:N12))</f>
        <v>56.435191931911952</v>
      </c>
      <c r="P12" s="2905" t="s">
        <v>2147</v>
      </c>
      <c r="Q12" s="2906">
        <v>1280.6874546571237</v>
      </c>
      <c r="R12" s="2906" t="s">
        <v>2153</v>
      </c>
      <c r="S12" s="3594">
        <f>IF(SUM(O12:R12)=0,Q12,SUM(O12:R12)*-44/12)</f>
        <v>-4902.7830374931309</v>
      </c>
      <c r="U12" s="2398"/>
    </row>
    <row r="13" spans="2:21" ht="18" customHeight="1" x14ac:dyDescent="0.2">
      <c r="B13" s="485" t="s">
        <v>1054</v>
      </c>
      <c r="C13" s="504"/>
      <c r="D13" s="3589">
        <f>IF(SUM(D14,D16,D18,D20,D22)=0,"IE",SUM(D14,D16,D18,D20,D22))</f>
        <v>2299.3649410278122</v>
      </c>
      <c r="E13" s="3591">
        <f t="shared" ref="E13:F13" si="18">IF(SUM(E14,E16,E18,E20,E22)=0,"IE",SUM(E14,E16,E18,E20,E22))</f>
        <v>2296.3649410278122</v>
      </c>
      <c r="F13" s="3595">
        <f t="shared" si="18"/>
        <v>3</v>
      </c>
      <c r="G13" s="3558">
        <f t="shared" si="5"/>
        <v>5.4370229696603802E-2</v>
      </c>
      <c r="H13" s="3078" t="str">
        <f t="shared" si="6"/>
        <v>NA</v>
      </c>
      <c r="I13" s="3078">
        <f t="shared" si="7"/>
        <v>5.4370229696603802E-2</v>
      </c>
      <c r="J13" s="3078">
        <f t="shared" si="8"/>
        <v>-4.4772797115877561E-2</v>
      </c>
      <c r="K13" s="3573">
        <f t="shared" si="9"/>
        <v>-0.22408971909916947</v>
      </c>
      <c r="L13" s="3128">
        <f t="shared" si="10"/>
        <v>-12.475</v>
      </c>
      <c r="M13" s="3590">
        <f>IF(SUM(M14,M16,M18,M20,M22)=0,"IE",SUM(M14,M16,M18,M20,M22))</f>
        <v>125.017</v>
      </c>
      <c r="N13" s="3591" t="str">
        <f t="shared" ref="N13" si="19">IF(SUM(N14,N16,N18,N20,N22)=0,"IE",SUM(N14,N16,N18,N20,N22))</f>
        <v>IE</v>
      </c>
      <c r="O13" s="3592">
        <f t="shared" ref="O13" si="20">IF(SUM(O14,O16,O18,O20,O22)=0,"IE",SUM(O14,O16,O18,O20,O22))</f>
        <v>125.017</v>
      </c>
      <c r="P13" s="3592">
        <f t="shared" ref="P13" si="21">IF(SUM(P14,P16,P18,P20,P22)=0,"IE",SUM(P14,P16,P18,P20,P22))</f>
        <v>-102.949</v>
      </c>
      <c r="Q13" s="3592">
        <f t="shared" ref="Q13" si="22">IF(SUM(Q14,Q16,Q18,Q20,Q22)=0,"IE",SUM(Q14,Q16,Q18,Q20,Q22))</f>
        <v>-514.59177458410329</v>
      </c>
      <c r="R13" s="3592">
        <f t="shared" ref="R13" si="23">IF(SUM(R14,R16,R18,R20,R22)=0,"IE",SUM(R14,R16,R18,R20,R22))</f>
        <v>-37.424999999999997</v>
      </c>
      <c r="S13" s="3594">
        <f t="shared" ref="S13" si="24">IF(SUM(S14,S16,S18,S20,S22)=0,"IE",SUM(S14,S16,S18,S20,S22))</f>
        <v>1943.145506808379</v>
      </c>
      <c r="U13" s="503"/>
    </row>
    <row r="14" spans="2:21" ht="18" customHeight="1" x14ac:dyDescent="0.2">
      <c r="B14" s="487" t="s">
        <v>1055</v>
      </c>
      <c r="C14" s="504"/>
      <c r="D14" s="3589">
        <f>D15</f>
        <v>2286.7040000000002</v>
      </c>
      <c r="E14" s="3078">
        <f t="shared" ref="E14" si="25">E15</f>
        <v>2286.7040000000002</v>
      </c>
      <c r="F14" s="3078" t="str">
        <f t="shared" ref="F14" si="26">F15</f>
        <v>IE</v>
      </c>
      <c r="G14" s="3558">
        <f t="shared" si="5"/>
        <v>5.4671264842323271E-2</v>
      </c>
      <c r="H14" s="3078" t="str">
        <f t="shared" si="6"/>
        <v>NA</v>
      </c>
      <c r="I14" s="3078">
        <f t="shared" si="7"/>
        <v>5.4671264842323271E-2</v>
      </c>
      <c r="J14" s="3078">
        <f t="shared" si="8"/>
        <v>-4.5020693539697308E-2</v>
      </c>
      <c r="K14" s="3573">
        <f t="shared" si="9"/>
        <v>-0.21269390353976725</v>
      </c>
      <c r="L14" s="3128" t="str">
        <f t="shared" si="10"/>
        <v>NA</v>
      </c>
      <c r="M14" s="3590">
        <f t="shared" ref="M14" si="27">M15</f>
        <v>125.017</v>
      </c>
      <c r="N14" s="3591" t="str">
        <f t="shared" ref="N14" si="28">N15</f>
        <v>IE</v>
      </c>
      <c r="O14" s="3592">
        <f t="shared" ref="O14" si="29">O15</f>
        <v>125.017</v>
      </c>
      <c r="P14" s="3591">
        <f t="shared" ref="P14" si="30">P15</f>
        <v>-102.949</v>
      </c>
      <c r="Q14" s="3593">
        <f t="shared" ref="Q14" si="31">Q15</f>
        <v>-486.36799999999999</v>
      </c>
      <c r="R14" s="3593" t="str">
        <f t="shared" ref="R14" si="32">R15</f>
        <v>IE</v>
      </c>
      <c r="S14" s="3594">
        <f t="shared" ref="S14" si="33">S15</f>
        <v>1702.4333333333334</v>
      </c>
      <c r="U14" s="503"/>
    </row>
    <row r="15" spans="2:21" ht="18" customHeight="1" x14ac:dyDescent="0.2">
      <c r="B15" s="501"/>
      <c r="C15" s="508" t="s">
        <v>278</v>
      </c>
      <c r="D15" s="3568">
        <f>IF(SUM(E15:F15)=0,E15,SUM(E15:F15))</f>
        <v>2286.7040000000002</v>
      </c>
      <c r="E15" s="3569">
        <v>2286.7040000000002</v>
      </c>
      <c r="F15" s="3554" t="s">
        <v>2153</v>
      </c>
      <c r="G15" s="3558">
        <f t="shared" si="5"/>
        <v>5.4671264842323271E-2</v>
      </c>
      <c r="H15" s="3078" t="str">
        <f t="shared" si="6"/>
        <v>NA</v>
      </c>
      <c r="I15" s="3078">
        <f t="shared" si="7"/>
        <v>5.4671264842323271E-2</v>
      </c>
      <c r="J15" s="3078">
        <f t="shared" si="8"/>
        <v>-4.5020693539697308E-2</v>
      </c>
      <c r="K15" s="3573">
        <f t="shared" si="9"/>
        <v>-0.21269390353976725</v>
      </c>
      <c r="L15" s="3128" t="str">
        <f t="shared" si="10"/>
        <v>NA</v>
      </c>
      <c r="M15" s="2905">
        <v>125.017</v>
      </c>
      <c r="N15" s="2905" t="s">
        <v>2153</v>
      </c>
      <c r="O15" s="3109">
        <f>IF(SUM(M15:N15)=0,M15,SUM(M15:N15))</f>
        <v>125.017</v>
      </c>
      <c r="P15" s="2905">
        <v>-102.949</v>
      </c>
      <c r="Q15" s="2906">
        <v>-486.36799999999999</v>
      </c>
      <c r="R15" s="2906" t="s">
        <v>2153</v>
      </c>
      <c r="S15" s="3594">
        <f>IF(SUM(O15:R15)=0,Q15,SUM(O15:R15)*-44/12)</f>
        <v>1702.4333333333334</v>
      </c>
      <c r="U15" s="2398"/>
    </row>
    <row r="16" spans="2:21" ht="18" customHeight="1" x14ac:dyDescent="0.2">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25">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80" t="s">
        <v>2225</v>
      </c>
      <c r="C46" s="4481"/>
      <c r="D46" s="4481"/>
      <c r="E46" s="4481"/>
      <c r="F46" s="4481"/>
      <c r="G46" s="4481"/>
      <c r="H46" s="4481"/>
      <c r="I46" s="4481"/>
      <c r="J46" s="4481"/>
      <c r="K46" s="4481"/>
      <c r="L46" s="4481"/>
      <c r="M46" s="4481"/>
      <c r="N46" s="4481"/>
      <c r="O46" s="4481"/>
      <c r="P46" s="4481"/>
      <c r="Q46" s="4481"/>
      <c r="R46" s="4481"/>
      <c r="S46" s="4482"/>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6" t="s">
        <v>64</v>
      </c>
      <c r="S5" s="491"/>
      <c r="U5" s="2569"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5" t="s">
        <v>1065</v>
      </c>
      <c r="C10" s="2262"/>
      <c r="D10" s="3582">
        <f>IF(SUM(D11,D15)=0,"IE",SUM(D11,D15))</f>
        <v>520383.5670412028</v>
      </c>
      <c r="E10" s="3583">
        <f t="shared" ref="E10:F10" si="0">IF(SUM(E11,E15)=0,"IE",SUM(E11,E15))</f>
        <v>520382.5670412028</v>
      </c>
      <c r="F10" s="3584">
        <f t="shared" si="0"/>
        <v>1</v>
      </c>
      <c r="G10" s="3558">
        <f>IFERROR(IF(SUM($D10)=0,"NA",M10/$D10),"NA")</f>
        <v>4.6596655822221103E-3</v>
      </c>
      <c r="H10" s="3583">
        <f t="shared" ref="H10:J10" si="1">IFERROR(IF(SUM($D10)=0,"NA",N10/$D10),"NA")</f>
        <v>-1.26926832500551E-2</v>
      </c>
      <c r="I10" s="3583">
        <f t="shared" si="1"/>
        <v>-8.0330176678329885E-3</v>
      </c>
      <c r="J10" s="3583">
        <f t="shared" si="1"/>
        <v>-1.01577725695579E-3</v>
      </c>
      <c r="K10" s="3585">
        <f>IFERROR(IF(SUM(E10)=0,"NA",Q10/E10),"NA")</f>
        <v>-5.8506229992572106E-3</v>
      </c>
      <c r="L10" s="3584">
        <f>IFERROR(IF(SUM(F10)=0,"NA",R10/F10),"NA")</f>
        <v>-8.7249999999999996</v>
      </c>
      <c r="M10" s="3586">
        <f>IF(SUM(M11,M15)=0,"IE",SUM(M11,M15))</f>
        <v>2424.8133968958646</v>
      </c>
      <c r="N10" s="3583">
        <f t="shared" ref="N10:S10" si="2">IF(SUM(N11,N15)=0,"IE",SUM(N11,N15))</f>
        <v>-6605.0637849877994</v>
      </c>
      <c r="O10" s="3587">
        <f t="shared" si="2"/>
        <v>-4180.2503880919348</v>
      </c>
      <c r="P10" s="3583">
        <f t="shared" si="2"/>
        <v>-528.59379229398246</v>
      </c>
      <c r="Q10" s="3585">
        <f t="shared" si="2"/>
        <v>-3044.5622151437683</v>
      </c>
      <c r="R10" s="3585">
        <f t="shared" si="2"/>
        <v>-8.7249999999999996</v>
      </c>
      <c r="S10" s="3588">
        <f t="shared" si="2"/>
        <v>28461.148450275516</v>
      </c>
      <c r="U10" s="2261"/>
    </row>
    <row r="11" spans="2:21" ht="18" customHeight="1" x14ac:dyDescent="0.2">
      <c r="B11" s="493" t="s">
        <v>988</v>
      </c>
      <c r="C11" s="483"/>
      <c r="D11" s="3599">
        <f>IF(SUM(D12:D14)=0,"IE",SUM(D12:D14))</f>
        <v>507010.71875823103</v>
      </c>
      <c r="E11" s="3564">
        <f t="shared" ref="E11:F11" si="3">IF(SUM(E12:E14)=0,"IE",SUM(E12:E14))</f>
        <v>507010.71875823103</v>
      </c>
      <c r="F11" s="3565" t="str">
        <f t="shared" si="3"/>
        <v>IE</v>
      </c>
      <c r="G11" s="3599">
        <f t="shared" ref="G11:G26" si="4">IFERROR(IF(SUM($D11)=0,"NA",M11/$D11),"NA")</f>
        <v>4.7457872888408597E-3</v>
      </c>
      <c r="H11" s="3109" t="str">
        <f t="shared" ref="H11:H26" si="5">IFERROR(IF(SUM($D11)=0,"NA",N11/$D11),"NA")</f>
        <v>NA</v>
      </c>
      <c r="I11" s="3109">
        <f t="shared" ref="I11:I26" si="6">IFERROR(IF(SUM($D11)=0,"NA",O11/$D11),"NA")</f>
        <v>4.7457872888408597E-3</v>
      </c>
      <c r="J11" s="3109">
        <f t="shared" ref="J11:J26" si="7">IFERROR(IF(SUM($D11)=0,"NA",P11/$D11),"NA")</f>
        <v>1.0412657472225167E-3</v>
      </c>
      <c r="K11" s="3566">
        <f t="shared" ref="K11:K26" si="8">IFERROR(IF(SUM(E11)=0,"NA",Q11/E11),"NA")</f>
        <v>-5.6932766849719521E-4</v>
      </c>
      <c r="L11" s="3249" t="str">
        <f t="shared" ref="L11:L26" si="9">IFERROR(IF(SUM(F11)=0,"NA",R11/F11),"NA")</f>
        <v>NA</v>
      </c>
      <c r="M11" s="3109">
        <f>IF(SUM(M12:M14)=0,"IE",SUM(M12:M14))</f>
        <v>2406.1650243888807</v>
      </c>
      <c r="N11" s="3109" t="str">
        <f t="shared" ref="N11:O11" si="10">IF(SUM(N12:N14)=0,"IE",SUM(N12:N14))</f>
        <v>IE</v>
      </c>
      <c r="O11" s="3109">
        <f t="shared" si="10"/>
        <v>2406.1650243888807</v>
      </c>
      <c r="P11" s="3109">
        <f t="shared" ref="P11" si="11">IF(SUM(P12:P14)=0,"IE",SUM(P12:P14))</f>
        <v>527.9328949176147</v>
      </c>
      <c r="Q11" s="3566">
        <f t="shared" ref="Q11" si="12">IF(SUM(Q12:Q14)=0,"IE",SUM(Q12:Q14))</f>
        <v>-288.65523041371085</v>
      </c>
      <c r="R11" s="3566" t="str">
        <f t="shared" ref="R11" si="13">IF(SUM(R12:R14)=0,"IE",SUM(R12:R14))</f>
        <v>IE</v>
      </c>
      <c r="S11" s="3567">
        <f t="shared" ref="S11" si="14">IF(SUM(S12:S14)=0,"IE",SUM(S12:S14))</f>
        <v>-9699.9565259402116</v>
      </c>
      <c r="U11" s="2397"/>
    </row>
    <row r="12" spans="2:21" ht="18" customHeight="1" x14ac:dyDescent="0.2">
      <c r="B12" s="499"/>
      <c r="C12" s="484" t="s">
        <v>2226</v>
      </c>
      <c r="D12" s="3600">
        <f>IF(SUM(E12:F12)=0,E12,SUM(E12:F12))</f>
        <v>70456.100045431274</v>
      </c>
      <c r="E12" s="3569">
        <v>70456.100045431274</v>
      </c>
      <c r="F12" s="3554" t="s">
        <v>2153</v>
      </c>
      <c r="G12" s="3558">
        <f t="shared" si="4"/>
        <v>8.9602283362338973E-3</v>
      </c>
      <c r="H12" s="3078" t="str">
        <f t="shared" si="5"/>
        <v>NA</v>
      </c>
      <c r="I12" s="3078">
        <f t="shared" si="6"/>
        <v>8.9602283362338973E-3</v>
      </c>
      <c r="J12" s="3078">
        <f t="shared" si="7"/>
        <v>1.792045667246781E-3</v>
      </c>
      <c r="K12" s="3573">
        <f t="shared" si="8"/>
        <v>7.1681826689871239E-3</v>
      </c>
      <c r="L12" s="3128" t="str">
        <f t="shared" si="9"/>
        <v>NA</v>
      </c>
      <c r="M12" s="2905">
        <v>631.30274408760363</v>
      </c>
      <c r="N12" s="2905" t="s">
        <v>2153</v>
      </c>
      <c r="O12" s="3109">
        <f>IF(SUM(M12:N12)=0,M12,SUM(M12:N12))</f>
        <v>631.30274408760363</v>
      </c>
      <c r="P12" s="2905">
        <v>126.26054881752084</v>
      </c>
      <c r="Q12" s="2906">
        <v>505.04219527008337</v>
      </c>
      <c r="R12" s="2906" t="s">
        <v>2153</v>
      </c>
      <c r="S12" s="3570">
        <f>IF(SUM(O12:R12)=0,Q12,SUM(O12:R12)*-44/12)</f>
        <v>-4629.5534566424294</v>
      </c>
      <c r="U12" s="2398"/>
    </row>
    <row r="13" spans="2:21" ht="18" customHeight="1" x14ac:dyDescent="0.2">
      <c r="B13" s="499"/>
      <c r="C13" s="484" t="s">
        <v>2227</v>
      </c>
      <c r="D13" s="3600">
        <f>IF(SUM(E13:F13)=0,E13,SUM(E13:F13))</f>
        <v>436554.61871279974</v>
      </c>
      <c r="E13" s="3569">
        <v>436554.61871279974</v>
      </c>
      <c r="F13" s="3554" t="s">
        <v>2153</v>
      </c>
      <c r="G13" s="3558" t="str">
        <f t="shared" si="4"/>
        <v>NA</v>
      </c>
      <c r="H13" s="3078" t="str">
        <f t="shared" si="5"/>
        <v>NA</v>
      </c>
      <c r="I13" s="3078" t="str">
        <f t="shared" si="6"/>
        <v>NA</v>
      </c>
      <c r="J13" s="3078" t="str">
        <f t="shared" si="7"/>
        <v>NA</v>
      </c>
      <c r="K13" s="3573">
        <f t="shared" si="8"/>
        <v>-1.8180942124127459E-3</v>
      </c>
      <c r="L13" s="3128" t="str">
        <f t="shared" si="9"/>
        <v>NA</v>
      </c>
      <c r="M13" s="2905" t="s">
        <v>2147</v>
      </c>
      <c r="N13" s="2905" t="s">
        <v>2147</v>
      </c>
      <c r="O13" s="3109" t="str">
        <f>IF(SUM(M13:N13)=0,M13,SUM(M13:N13))</f>
        <v>NA</v>
      </c>
      <c r="P13" s="2905" t="s">
        <v>2147</v>
      </c>
      <c r="Q13" s="2906">
        <v>-793.69742568379422</v>
      </c>
      <c r="R13" s="2906" t="s">
        <v>2153</v>
      </c>
      <c r="S13" s="3570">
        <f>IF(SUM(O13:R13)=0,Q13,SUM(O13:R13)*-44/12)</f>
        <v>2910.2238941739124</v>
      </c>
      <c r="U13" s="2398"/>
    </row>
    <row r="14" spans="2:21" ht="18" customHeight="1" x14ac:dyDescent="0.2">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v>1774.862280301277</v>
      </c>
      <c r="N14" s="2905" t="s">
        <v>2153</v>
      </c>
      <c r="O14" s="3109">
        <f>IF(SUM(M14:N14)=0,M14,SUM(M14:N14))</f>
        <v>1774.862280301277</v>
      </c>
      <c r="P14" s="2905">
        <v>401.67234610009388</v>
      </c>
      <c r="Q14" s="2906" t="s">
        <v>2147</v>
      </c>
      <c r="R14" s="2906" t="s">
        <v>2147</v>
      </c>
      <c r="S14" s="3570">
        <f>IF(SUM(O14:R14)=0,Q14,SUM(O14:R14)*-44/12)</f>
        <v>-7980.6269634716946</v>
      </c>
      <c r="U14" s="2398"/>
    </row>
    <row r="15" spans="2:21" ht="18" customHeight="1" x14ac:dyDescent="0.2">
      <c r="B15" s="485" t="s">
        <v>1066</v>
      </c>
      <c r="C15" s="486"/>
      <c r="D15" s="3589">
        <f>IF(SUM(D16,D19,D21,D23,D25)=0,"IE",SUM(D16,D19,D21,D23,D25))</f>
        <v>13372.848282971778</v>
      </c>
      <c r="E15" s="3591">
        <f t="shared" ref="E15:F15" si="15">IF(SUM(E16,E19,E21,E23,E25)=0,"IE",SUM(E16,E19,E21,E23,E25))</f>
        <v>13371.848282971778</v>
      </c>
      <c r="F15" s="3595">
        <f t="shared" si="15"/>
        <v>1</v>
      </c>
      <c r="G15" s="3558">
        <f t="shared" si="4"/>
        <v>1.394495182505716E-3</v>
      </c>
      <c r="H15" s="3078">
        <f t="shared" si="5"/>
        <v>-0.49391600392253837</v>
      </c>
      <c r="I15" s="3078">
        <f t="shared" si="6"/>
        <v>-0.4925215087400327</v>
      </c>
      <c r="J15" s="3078">
        <f t="shared" si="7"/>
        <v>-7.9005359580495496E-2</v>
      </c>
      <c r="K15" s="3573">
        <f t="shared" si="8"/>
        <v>-0.20609768570583728</v>
      </c>
      <c r="L15" s="3128">
        <f t="shared" si="9"/>
        <v>-8.7249999999999996</v>
      </c>
      <c r="M15" s="3590">
        <f>IF(SUM(M16,M19,M21,M23,M25)=0,"IE",SUM(M16,M19,M21,M23,M25))</f>
        <v>18.648372506983979</v>
      </c>
      <c r="N15" s="3591">
        <f t="shared" ref="N15:S15" si="16">IF(SUM(N16,N19,N21,N23,N25)=0,"IE",SUM(N16,N19,N21,N23,N25))</f>
        <v>-6605.0637849877994</v>
      </c>
      <c r="O15" s="3592">
        <f t="shared" si="16"/>
        <v>-6586.4154124808156</v>
      </c>
      <c r="P15" s="3592">
        <f t="shared" si="16"/>
        <v>-1056.5266872115972</v>
      </c>
      <c r="Q15" s="3592">
        <f t="shared" si="16"/>
        <v>-2755.9069847300575</v>
      </c>
      <c r="R15" s="3592">
        <f t="shared" si="16"/>
        <v>-8.7249999999999996</v>
      </c>
      <c r="S15" s="3594">
        <f t="shared" si="16"/>
        <v>38161.104976215727</v>
      </c>
      <c r="U15" s="2019"/>
    </row>
    <row r="16" spans="2:21" ht="18" customHeight="1" x14ac:dyDescent="0.2">
      <c r="B16" s="500" t="s">
        <v>1067</v>
      </c>
      <c r="C16" s="486"/>
      <c r="D16" s="3599">
        <f>IF(SUM(D17:D18)=0,"IE",SUM(D17:D18))</f>
        <v>13323.970850435231</v>
      </c>
      <c r="E16" s="3564">
        <f t="shared" ref="E16:F16" si="17">IF(SUM(E17:E18)=0,"IE",SUM(E17:E18))</f>
        <v>13323.970850435231</v>
      </c>
      <c r="F16" s="3565" t="str">
        <f t="shared" si="17"/>
        <v>IE</v>
      </c>
      <c r="G16" s="3558">
        <f t="shared" si="4"/>
        <v>1.3996107253848296E-3</v>
      </c>
      <c r="H16" s="3078">
        <f t="shared" si="5"/>
        <v>-0.49572787715698458</v>
      </c>
      <c r="I16" s="3078">
        <f t="shared" si="6"/>
        <v>-0.49432826643159977</v>
      </c>
      <c r="J16" s="3078">
        <f t="shared" si="7"/>
        <v>-7.9295181524439123E-2</v>
      </c>
      <c r="K16" s="3573">
        <f t="shared" si="8"/>
        <v>-0.19795248858743258</v>
      </c>
      <c r="L16" s="3128" t="str">
        <f t="shared" si="9"/>
        <v>NA</v>
      </c>
      <c r="M16" s="3506">
        <f>IF(SUM(M17:M18)=0,"IE",SUM(M17:M18))</f>
        <v>18.648372506983979</v>
      </c>
      <c r="N16" s="3506">
        <f t="shared" ref="N16:O16" si="18">IF(SUM(N17:N18)=0,"IE",SUM(N17:N18))</f>
        <v>-6605.0637849877994</v>
      </c>
      <c r="O16" s="3506">
        <f t="shared" si="18"/>
        <v>-6586.4154124808156</v>
      </c>
      <c r="P16" s="3506">
        <f t="shared" ref="P16" si="19">IF(SUM(P17:P18)=0,"IE",SUM(P17:P18))</f>
        <v>-1056.5266872115972</v>
      </c>
      <c r="Q16" s="3601">
        <f t="shared" ref="Q16" si="20">IF(SUM(Q17:Q18)=0,"IE",SUM(Q17:Q18))</f>
        <v>-2637.5131877100644</v>
      </c>
      <c r="R16" s="3601" t="str">
        <f t="shared" ref="R16" si="21">IF(SUM(R17:R18)=0,"IE",SUM(R17:R18))</f>
        <v>IE</v>
      </c>
      <c r="S16" s="3287">
        <f t="shared" ref="S16" si="22">IF(SUM(S17:S18)=0,"IE",SUM(S17:S18))</f>
        <v>37695.00272047575</v>
      </c>
      <c r="U16" s="2400"/>
    </row>
    <row r="17" spans="2:21" ht="18" customHeight="1" x14ac:dyDescent="0.2">
      <c r="B17" s="500"/>
      <c r="C17" s="484" t="s">
        <v>2228</v>
      </c>
      <c r="D17" s="3600">
        <f>IF(SUM(E17:F17)=0,E17,SUM(E17:F17))</f>
        <v>13323.970850435231</v>
      </c>
      <c r="E17" s="3569">
        <v>13323.970850435231</v>
      </c>
      <c r="F17" s="3554" t="s">
        <v>2153</v>
      </c>
      <c r="G17" s="3558" t="str">
        <f t="shared" si="4"/>
        <v>NA</v>
      </c>
      <c r="H17" s="3078">
        <f t="shared" si="5"/>
        <v>-0.49572787715698458</v>
      </c>
      <c r="I17" s="3078">
        <f t="shared" si="6"/>
        <v>-0.49572787715698458</v>
      </c>
      <c r="J17" s="3078">
        <f t="shared" si="7"/>
        <v>-7.9395053030146032E-2</v>
      </c>
      <c r="K17" s="3573">
        <f t="shared" si="8"/>
        <v>-0.19795248858743258</v>
      </c>
      <c r="L17" s="3128" t="str">
        <f t="shared" si="9"/>
        <v>NA</v>
      </c>
      <c r="M17" s="2905" t="s">
        <v>2153</v>
      </c>
      <c r="N17" s="2905">
        <v>-6605.0637849877994</v>
      </c>
      <c r="O17" s="3109">
        <f>IF(SUM(M17:N17)=0,M17,SUM(M17:N17))</f>
        <v>-6605.0637849877994</v>
      </c>
      <c r="P17" s="2905">
        <v>-1057.8573722424251</v>
      </c>
      <c r="Q17" s="2906">
        <v>-2637.5131877100644</v>
      </c>
      <c r="R17" s="2906" t="s">
        <v>2153</v>
      </c>
      <c r="S17" s="3570">
        <f>IF(SUM(O17:R17)=0,Q17,SUM(O17:R17)*-44/12)</f>
        <v>37768.25926478106</v>
      </c>
      <c r="U17" s="2398"/>
    </row>
    <row r="18" spans="2:21" ht="18" customHeight="1" x14ac:dyDescent="0.2">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v>18.648372506983979</v>
      </c>
      <c r="N18" s="2905" t="s">
        <v>2153</v>
      </c>
      <c r="O18" s="3109">
        <f>IF(SUM(M18:N18)=0,M18,SUM(M18:N18))</f>
        <v>18.648372506983979</v>
      </c>
      <c r="P18" s="2905">
        <v>1.3306850308278386</v>
      </c>
      <c r="Q18" s="2906" t="s">
        <v>2147</v>
      </c>
      <c r="R18" s="2906" t="s">
        <v>2147</v>
      </c>
      <c r="S18" s="3570">
        <f>IF(SUM(O18:R18)=0,Q18,SUM(O18:R18)*-44/12)</f>
        <v>-73.256544305309987</v>
      </c>
      <c r="U18" s="2398"/>
    </row>
    <row r="19" spans="2:21" ht="18" customHeight="1" x14ac:dyDescent="0.2">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25">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83" t="s">
        <v>2229</v>
      </c>
      <c r="C47" s="4484"/>
      <c r="D47" s="4484"/>
      <c r="E47" s="4484"/>
      <c r="F47" s="4484"/>
      <c r="G47" s="4484"/>
      <c r="H47" s="4484"/>
      <c r="I47" s="4484"/>
      <c r="J47" s="4484"/>
      <c r="K47" s="4484"/>
      <c r="L47" s="4484"/>
      <c r="M47" s="4484"/>
      <c r="N47" s="4484"/>
      <c r="O47" s="4484"/>
      <c r="P47" s="4484"/>
      <c r="Q47" s="4484"/>
      <c r="R47" s="4484"/>
      <c r="S47" s="4485"/>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6" t="s">
        <v>64</v>
      </c>
      <c r="U5" s="2569"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9" t="s">
        <v>1076</v>
      </c>
      <c r="C10" s="2260"/>
      <c r="D10" s="3582">
        <f>IF(SUM(D11,D23)=0,"IE",SUM(D11,D23))</f>
        <v>13149.05966703</v>
      </c>
      <c r="E10" s="3583">
        <f>IF(SUM(E11,E23)=0,"IE",SUM(E11,E23))</f>
        <v>13112.849663101224</v>
      </c>
      <c r="F10" s="3584">
        <f>IF(SUM(F11,F23)=0,"IE",SUM(F11,F23))</f>
        <v>36.210003928776018</v>
      </c>
      <c r="G10" s="3608">
        <f>IFERROR(IF(SUM($D10)=0,"NA",M10/$D10),"NA")</f>
        <v>7.1498458502151016E-3</v>
      </c>
      <c r="H10" s="3609">
        <f t="shared" ref="H10:J10" si="0">IFERROR(IF(SUM($D10)=0,"NA",N10/$D10),"NA")</f>
        <v>-1.2334956547364307E-3</v>
      </c>
      <c r="I10" s="3610">
        <f t="shared" si="0"/>
        <v>5.9163501954786705E-3</v>
      </c>
      <c r="J10" s="3609">
        <f t="shared" si="0"/>
        <v>4.7556429875376081E-4</v>
      </c>
      <c r="K10" s="3609">
        <f>IFERROR(IF(SUM(E10)=0,"NA",Q10/E10),"NA")</f>
        <v>-9.6316565010738143E-4</v>
      </c>
      <c r="L10" s="3611" t="str">
        <f>IFERROR(IF(SUM(F10)=0,"NA",R10/F10),"NA")</f>
        <v>NA</v>
      </c>
      <c r="M10" s="3610">
        <f t="shared" ref="M10:S10" si="1">IF(SUM(M11,M23)=0,"IE",SUM(M11,M23))</f>
        <v>94.013749694545211</v>
      </c>
      <c r="N10" s="3609">
        <f t="shared" si="1"/>
        <v>-16.219307963151564</v>
      </c>
      <c r="O10" s="3610">
        <f t="shared" si="1"/>
        <v>77.794441731393647</v>
      </c>
      <c r="P10" s="3609">
        <f t="shared" si="1"/>
        <v>6.2532233398224815</v>
      </c>
      <c r="Q10" s="3612">
        <f t="shared" si="1"/>
        <v>-12.629846370521248</v>
      </c>
      <c r="R10" s="3612" t="str">
        <f t="shared" si="1"/>
        <v>IE</v>
      </c>
      <c r="S10" s="3588">
        <f t="shared" si="1"/>
        <v>-261.86533523588122</v>
      </c>
      <c r="U10" s="2401"/>
    </row>
    <row r="11" spans="1:23" ht="18" customHeight="1" x14ac:dyDescent="0.2">
      <c r="B11" s="501" t="s">
        <v>990</v>
      </c>
      <c r="C11" s="483"/>
      <c r="D11" s="3613">
        <f>IF(SUM(D12,D14,D17)=0,"IE",SUM(D12,D14,D17))</f>
        <v>13104.55066703</v>
      </c>
      <c r="E11" s="3614">
        <f t="shared" ref="E11:S11" si="2">IF(SUM(E12,E14,E17)=0,"IE",SUM(E12,E14,E17))</f>
        <v>13068.340663101224</v>
      </c>
      <c r="F11" s="3615">
        <f t="shared" si="2"/>
        <v>36.210003928776018</v>
      </c>
      <c r="G11" s="3616">
        <f t="shared" ref="G11:G56" si="3">IFERROR(IF(SUM($D11)=0,"NA",M11/$D11),"NA")</f>
        <v>7.1741299708258047E-3</v>
      </c>
      <c r="H11" s="3617">
        <f t="shared" ref="H11:H56" si="4">IFERROR(IF(SUM($D11)=0,"NA",N11/$D11),"NA")</f>
        <v>-1.2047195179969938E-3</v>
      </c>
      <c r="I11" s="3618">
        <f t="shared" ref="I11:I56" si="5">IFERROR(IF(SUM($D11)=0,"NA",O11/$D11),"NA")</f>
        <v>5.9694104528288106E-3</v>
      </c>
      <c r="J11" s="3617">
        <f t="shared" ref="J11:J56" si="6">IFERROR(IF(SUM($D11)=0,"NA",P11/$D11),"NA")</f>
        <v>4.7717953089037159E-4</v>
      </c>
      <c r="K11" s="3617">
        <f t="shared" ref="K11:K56" si="7">IFERROR(IF(SUM(E11)=0,"NA",Q11/E11),"NA")</f>
        <v>-9.6644606198412967E-4</v>
      </c>
      <c r="L11" s="3619" t="str">
        <f t="shared" ref="L11:L56" si="8">IFERROR(IF(SUM(F11)=0,"NA",R11/F11),"NA")</f>
        <v>NA</v>
      </c>
      <c r="M11" s="3618">
        <f t="shared" si="2"/>
        <v>94.013749694545211</v>
      </c>
      <c r="N11" s="3617">
        <f t="shared" si="2"/>
        <v>-15.787307963151564</v>
      </c>
      <c r="O11" s="3618">
        <f t="shared" si="2"/>
        <v>78.226441731393649</v>
      </c>
      <c r="P11" s="3617">
        <f t="shared" si="2"/>
        <v>6.2532233398224815</v>
      </c>
      <c r="Q11" s="3620">
        <f t="shared" si="2"/>
        <v>-12.629846370521248</v>
      </c>
      <c r="R11" s="3620" t="str">
        <f t="shared" si="2"/>
        <v>IE</v>
      </c>
      <c r="S11" s="3621">
        <f t="shared" si="2"/>
        <v>-263.44933523588122</v>
      </c>
      <c r="U11" s="2402"/>
    </row>
    <row r="12" spans="1:23" ht="18" customHeight="1" x14ac:dyDescent="0.2">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
      <c r="B14" s="487" t="s">
        <v>1078</v>
      </c>
      <c r="C14" s="483"/>
      <c r="D14" s="3589">
        <f>IF(SUM(D15:D16)=0,"IE",SUM(D15:D16))</f>
        <v>880.28179347714058</v>
      </c>
      <c r="E14" s="3564">
        <f>IF(SUM(E15:E16)=0,"IE",SUM(E15:E16))</f>
        <v>880.28179347714058</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
      <c r="B15" s="2682"/>
      <c r="C15" s="885" t="s">
        <v>2230</v>
      </c>
      <c r="D15" s="3600">
        <f>IF(SUM(E15:F15)=0,E15,SUM(E15:F15))</f>
        <v>547.49170000000015</v>
      </c>
      <c r="E15" s="3569">
        <v>547.49170000000015</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
      <c r="B17" s="487" t="s">
        <v>1079</v>
      </c>
      <c r="C17" s="483"/>
      <c r="D17" s="3589">
        <f>IF(SUM(D18:D21)=0,"IE",SUM(D18:D21))</f>
        <v>12224.268873552859</v>
      </c>
      <c r="E17" s="3564">
        <f>IF(SUM(E18:E21)=0,"IE",SUM(E18:E21))</f>
        <v>12188.058869624083</v>
      </c>
      <c r="F17" s="3565">
        <f>IF(SUM(F18:F21)=0,"IE",SUM(F18:F21))</f>
        <v>36.210003928776018</v>
      </c>
      <c r="G17" s="3622">
        <f t="shared" si="3"/>
        <v>7.6907462251540838E-3</v>
      </c>
      <c r="H17" s="3591">
        <f t="shared" si="4"/>
        <v>-1.2914725720167461E-3</v>
      </c>
      <c r="I17" s="3623">
        <f t="shared" si="5"/>
        <v>6.3992736531373372E-3</v>
      </c>
      <c r="J17" s="3591">
        <f t="shared" si="6"/>
        <v>5.1154170482549648E-4</v>
      </c>
      <c r="K17" s="3591">
        <f t="shared" si="7"/>
        <v>-1.0362475686754532E-3</v>
      </c>
      <c r="L17" s="3595" t="str">
        <f t="shared" si="8"/>
        <v>NA</v>
      </c>
      <c r="M17" s="3564">
        <f t="shared" ref="M17:S17" si="16">IF(SUM(M18:M21)=0,"IE",SUM(M18:M21))</f>
        <v>94.013749694545211</v>
      </c>
      <c r="N17" s="3617">
        <f t="shared" si="16"/>
        <v>-15.787307963151564</v>
      </c>
      <c r="O17" s="3618">
        <f t="shared" si="16"/>
        <v>78.226441731393649</v>
      </c>
      <c r="P17" s="3617">
        <f t="shared" si="16"/>
        <v>6.2532233398224815</v>
      </c>
      <c r="Q17" s="3620">
        <f t="shared" si="16"/>
        <v>-12.629846370521248</v>
      </c>
      <c r="R17" s="3620" t="str">
        <f t="shared" si="16"/>
        <v>IE</v>
      </c>
      <c r="S17" s="3634">
        <f t="shared" si="16"/>
        <v>-263.44933523588122</v>
      </c>
      <c r="U17" s="2402"/>
    </row>
    <row r="18" spans="1:23" ht="18" customHeight="1" x14ac:dyDescent="0.2">
      <c r="A18" s="2502"/>
      <c r="B18" s="2682"/>
      <c r="C18" s="2503" t="s">
        <v>2231</v>
      </c>
      <c r="D18" s="3600">
        <f>IF(SUM(E18:F18)=0,E18,SUM(E18:F18))</f>
        <v>1716.6986404464249</v>
      </c>
      <c r="E18" s="3569">
        <v>1716.6986404464249</v>
      </c>
      <c r="F18" s="3635" t="s">
        <v>2153</v>
      </c>
      <c r="G18" s="3630" t="str">
        <f t="shared" si="3"/>
        <v>NA</v>
      </c>
      <c r="H18" s="3631">
        <f t="shared" si="4"/>
        <v>-9.1963187895611649E-3</v>
      </c>
      <c r="I18" s="3632">
        <f t="shared" si="5"/>
        <v>-9.1963187895611649E-3</v>
      </c>
      <c r="J18" s="3631">
        <f t="shared" si="6"/>
        <v>-1.8392637579122326E-3</v>
      </c>
      <c r="K18" s="3631">
        <f t="shared" si="7"/>
        <v>-7.3570550316489304E-3</v>
      </c>
      <c r="L18" s="3633" t="str">
        <f t="shared" si="8"/>
        <v>NA</v>
      </c>
      <c r="M18" s="3624" t="s">
        <v>2153</v>
      </c>
      <c r="N18" s="3625">
        <v>-15.787307963151564</v>
      </c>
      <c r="O18" s="3109">
        <f>IF(SUM(M18:N18)=0,M18,SUM(M18:N18))</f>
        <v>-15.787307963151564</v>
      </c>
      <c r="P18" s="3625">
        <v>-3.157461592630312</v>
      </c>
      <c r="Q18" s="3626">
        <v>-12.629846370521248</v>
      </c>
      <c r="R18" s="3636" t="s">
        <v>2153</v>
      </c>
      <c r="S18" s="3570">
        <f>IF(SUM(O18:R18)=0,Q18,SUM(O18:R18)*-44/12)</f>
        <v>115.77359172977812</v>
      </c>
      <c r="T18" s="2502"/>
      <c r="U18" s="2504"/>
      <c r="V18" s="2502"/>
      <c r="W18" s="2502"/>
    </row>
    <row r="19" spans="1:23" ht="18" customHeight="1" x14ac:dyDescent="0.2">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v>94.013749694545211</v>
      </c>
      <c r="N19" s="3625" t="s">
        <v>2153</v>
      </c>
      <c r="O19" s="3109">
        <f t="shared" ref="O19:O22" si="18">IF(SUM(M19:N19)=0,M19,SUM(M19:N19))</f>
        <v>94.013749694545211</v>
      </c>
      <c r="P19" s="3625">
        <v>9.4106849324527939</v>
      </c>
      <c r="Q19" s="3628" t="s">
        <v>2147</v>
      </c>
      <c r="R19" s="3627" t="s">
        <v>2147</v>
      </c>
      <c r="S19" s="3570">
        <f t="shared" ref="S19:S22" si="19">IF(SUM(O19:R19)=0,Q19,SUM(O19:R19)*-44/12)</f>
        <v>-379.22292696565933</v>
      </c>
      <c r="T19" s="2502"/>
      <c r="U19" s="2684"/>
      <c r="V19" s="2502"/>
      <c r="W19" s="2502"/>
    </row>
    <row r="20" spans="1:23" ht="18" customHeight="1" x14ac:dyDescent="0.2">
      <c r="A20" s="2502"/>
      <c r="B20" s="2682"/>
      <c r="C20" s="2683" t="s">
        <v>2234</v>
      </c>
      <c r="D20" s="3600">
        <f t="shared" si="17"/>
        <v>10471.360229177659</v>
      </c>
      <c r="E20" s="3607">
        <v>10471.360229177659</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
      <c r="B21" s="1481" t="s">
        <v>1977</v>
      </c>
      <c r="C21" s="483"/>
      <c r="D21" s="3600">
        <f>D22</f>
        <v>36.210003928776018</v>
      </c>
      <c r="E21" s="3564" t="str">
        <f t="shared" ref="E21:F21" si="20">E22</f>
        <v>IE</v>
      </c>
      <c r="F21" s="3565">
        <f t="shared" si="20"/>
        <v>36.210003928776018</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
      <c r="B22" s="1473"/>
      <c r="C22" s="885" t="s">
        <v>278</v>
      </c>
      <c r="D22" s="3600">
        <f>IF(SUM(E22:F22)=0,E22,SUM(E22:F22))</f>
        <v>36.210003928776018</v>
      </c>
      <c r="E22" s="3569" t="s">
        <v>2153</v>
      </c>
      <c r="F22" s="3554">
        <v>36.210003928776018</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
      <c r="B23" s="502" t="s">
        <v>1976</v>
      </c>
      <c r="C23" s="486"/>
      <c r="D23" s="3589">
        <f>IF(SUM(D24,D35,D46)=0,"IE",SUM(D24,D35,D46))</f>
        <v>44.509</v>
      </c>
      <c r="E23" s="3591">
        <f t="shared" ref="E23:F23" si="22">IF(SUM(E24,E35,E46)=0,"IE",SUM(E24,E35,E46))</f>
        <v>44.509</v>
      </c>
      <c r="F23" s="3595" t="str">
        <f t="shared" si="22"/>
        <v>IE</v>
      </c>
      <c r="G23" s="3622" t="str">
        <f t="shared" si="3"/>
        <v>NA</v>
      </c>
      <c r="H23" s="3591">
        <f t="shared" si="4"/>
        <v>-9.7059021770877791E-3</v>
      </c>
      <c r="I23" s="3623">
        <f t="shared" si="5"/>
        <v>-9.7059021770877791E-3</v>
      </c>
      <c r="J23" s="3591" t="str">
        <f t="shared" si="6"/>
        <v>NA</v>
      </c>
      <c r="K23" s="3591" t="str">
        <f t="shared" si="7"/>
        <v>NA</v>
      </c>
      <c r="L23" s="3595" t="str">
        <f t="shared" si="8"/>
        <v>NA</v>
      </c>
      <c r="M23" s="3591" t="str">
        <f t="shared" ref="M23" si="23">IF(SUM(M24,M35,M46)=0,"IE",SUM(M24,M35,M46))</f>
        <v>IE</v>
      </c>
      <c r="N23" s="3591">
        <f t="shared" ref="N23" si="24">IF(SUM(N24,N35,N46)=0,"IE",SUM(N24,N35,N46))</f>
        <v>-0.432</v>
      </c>
      <c r="O23" s="3623">
        <f t="shared" ref="O23" si="25">IF(SUM(O24,O35,O46)=0,"IE",SUM(O24,O35,O46))</f>
        <v>-0.432</v>
      </c>
      <c r="P23" s="3591" t="str">
        <f>IF(SUM(P24,P35,P46)=0,"NO",SUM(P24,P35,P46))</f>
        <v>NO</v>
      </c>
      <c r="Q23" s="3590" t="str">
        <f>IF(SUM(Q24,Q35,Q46)=0,"NO",SUM(Q24,Q35,Q46))</f>
        <v>NO</v>
      </c>
      <c r="R23" s="3590" t="str">
        <f>IF(SUM(R24,R35,R46)=0,"NO",SUM(R24,R35,R46))</f>
        <v>NO</v>
      </c>
      <c r="S23" s="3594">
        <f t="shared" ref="S23" si="26">IF(SUM(S24,S35,S46)=0,"IE",SUM(S24,S35,S46))</f>
        <v>1.5839999999999999</v>
      </c>
      <c r="U23" s="503"/>
    </row>
    <row r="24" spans="1:23" ht="18" customHeight="1" x14ac:dyDescent="0.2">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
      <c r="B35" s="1473" t="s">
        <v>1086</v>
      </c>
      <c r="C35" s="486"/>
      <c r="D35" s="3589">
        <f>IF(SUM(D36,D38,D40,D42,D44)=0,"IE",SUM(D36,D38,D40,D42,D44))</f>
        <v>44.509</v>
      </c>
      <c r="E35" s="3591">
        <f>IF(SUM(E36,E38,E40,E42,E44)=0,"IE",SUM(E36,E38,E40,E42,E44))</f>
        <v>44.509</v>
      </c>
      <c r="F35" s="3595" t="str">
        <f>IF(SUM(F36,F38,F40,F42,F44)=0,"IE",SUM(F36,F38,F40,F42,F44))</f>
        <v>IE</v>
      </c>
      <c r="G35" s="3622" t="str">
        <f t="shared" si="3"/>
        <v>NA</v>
      </c>
      <c r="H35" s="3591">
        <f t="shared" si="4"/>
        <v>-9.7059021770877791E-3</v>
      </c>
      <c r="I35" s="3623">
        <f t="shared" si="5"/>
        <v>-9.7059021770877791E-3</v>
      </c>
      <c r="J35" s="3591" t="str">
        <f t="shared" si="6"/>
        <v>NA</v>
      </c>
      <c r="K35" s="3591" t="str">
        <f t="shared" si="7"/>
        <v>NA</v>
      </c>
      <c r="L35" s="3595" t="str">
        <f t="shared" si="8"/>
        <v>NA</v>
      </c>
      <c r="M35" s="3591" t="str">
        <f t="shared" ref="M35:S35" si="48">IF(SUM(M36,M38,M40,M42,M44)=0,"IE",SUM(M36,M38,M40,M42,M44))</f>
        <v>IE</v>
      </c>
      <c r="N35" s="3591">
        <f t="shared" si="48"/>
        <v>-0.432</v>
      </c>
      <c r="O35" s="3623">
        <f t="shared" si="48"/>
        <v>-0.432</v>
      </c>
      <c r="P35" s="3591" t="str">
        <f>IF(SUM(P36,P38,P40,P42,P44)=0,"NO",SUM(P36,P38,P40,P42,P44))</f>
        <v>NO</v>
      </c>
      <c r="Q35" s="3590" t="str">
        <f>IF(SUM(Q36,Q38,Q40,Q42,Q44)=0,"NO",SUM(Q36,Q38,Q40,Q42,Q44))</f>
        <v>NO</v>
      </c>
      <c r="R35" s="3590" t="str">
        <f>IF(SUM(R36,R38,R40,R42,R44)=0,"NO",SUM(R36,R38,R40,R42,R44))</f>
        <v>NO</v>
      </c>
      <c r="S35" s="3594">
        <f t="shared" si="48"/>
        <v>1.5839999999999999</v>
      </c>
      <c r="U35" s="503"/>
    </row>
    <row r="36" spans="2:21" ht="18" customHeight="1" x14ac:dyDescent="0.2">
      <c r="B36" s="505" t="s">
        <v>1087</v>
      </c>
      <c r="C36" s="486"/>
      <c r="D36" s="3600">
        <f>D37</f>
        <v>44.509</v>
      </c>
      <c r="E36" s="3564">
        <f t="shared" ref="E36:F36" si="49">E37</f>
        <v>44.509</v>
      </c>
      <c r="F36" s="3565" t="str">
        <f t="shared" si="49"/>
        <v>IE</v>
      </c>
      <c r="G36" s="3558" t="str">
        <f t="shared" si="3"/>
        <v>NA</v>
      </c>
      <c r="H36" s="3078">
        <f t="shared" si="4"/>
        <v>-9.7059021770877791E-3</v>
      </c>
      <c r="I36" s="3078">
        <f t="shared" si="5"/>
        <v>-9.7059021770877791E-3</v>
      </c>
      <c r="J36" s="3078" t="str">
        <f t="shared" si="6"/>
        <v>NA</v>
      </c>
      <c r="K36" s="3573" t="str">
        <f t="shared" si="7"/>
        <v>NA</v>
      </c>
      <c r="L36" s="3128" t="str">
        <f t="shared" si="8"/>
        <v>NA</v>
      </c>
      <c r="M36" s="3505" t="str">
        <f t="shared" ref="M36:S36" si="50">M37</f>
        <v>IE</v>
      </c>
      <c r="N36" s="3506">
        <f t="shared" si="50"/>
        <v>-0.432</v>
      </c>
      <c r="O36" s="3506">
        <f t="shared" si="50"/>
        <v>-0.432</v>
      </c>
      <c r="P36" s="3506" t="str">
        <f t="shared" si="50"/>
        <v>NA</v>
      </c>
      <c r="Q36" s="3601" t="str">
        <f t="shared" si="50"/>
        <v>NA</v>
      </c>
      <c r="R36" s="3601" t="str">
        <f t="shared" si="50"/>
        <v>NA</v>
      </c>
      <c r="S36" s="3287">
        <f t="shared" si="50"/>
        <v>1.5839999999999999</v>
      </c>
      <c r="U36" s="2402"/>
    </row>
    <row r="37" spans="2:21" ht="18" customHeight="1" x14ac:dyDescent="0.2">
      <c r="B37" s="1479"/>
      <c r="C37" s="885" t="s">
        <v>278</v>
      </c>
      <c r="D37" s="3600">
        <f>IF(SUM(E37:F37)=0,E37,SUM(E37:F37))</f>
        <v>44.509</v>
      </c>
      <c r="E37" s="3569">
        <v>44.509</v>
      </c>
      <c r="F37" s="3554" t="s">
        <v>2153</v>
      </c>
      <c r="G37" s="3622" t="str">
        <f t="shared" si="3"/>
        <v>NA</v>
      </c>
      <c r="H37" s="3591">
        <f t="shared" si="4"/>
        <v>-9.7059021770877791E-3</v>
      </c>
      <c r="I37" s="3623">
        <f t="shared" si="5"/>
        <v>-9.7059021770877791E-3</v>
      </c>
      <c r="J37" s="3591" t="str">
        <f t="shared" si="6"/>
        <v>NA</v>
      </c>
      <c r="K37" s="3591" t="str">
        <f t="shared" si="7"/>
        <v>NA</v>
      </c>
      <c r="L37" s="3595" t="str">
        <f t="shared" si="8"/>
        <v>NA</v>
      </c>
      <c r="M37" s="3624" t="s">
        <v>2153</v>
      </c>
      <c r="N37" s="3625">
        <v>-0.432</v>
      </c>
      <c r="O37" s="3109">
        <f t="shared" ref="O37" si="51">IF(SUM(M37:N37)=0,M37,SUM(M37:N37))</f>
        <v>-0.432</v>
      </c>
      <c r="P37" s="3625" t="s">
        <v>2147</v>
      </c>
      <c r="Q37" s="3626" t="s">
        <v>2147</v>
      </c>
      <c r="R37" s="3626" t="s">
        <v>2147</v>
      </c>
      <c r="S37" s="3570">
        <f t="shared" ref="S37" si="52">IF(SUM(O37:R37)=0,Q37,SUM(O37:R37)*-44/12)</f>
        <v>1.5839999999999999</v>
      </c>
      <c r="U37" s="2403"/>
    </row>
    <row r="38" spans="2:21" ht="18" customHeight="1" x14ac:dyDescent="0.2">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25">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501" t="s">
        <v>2237</v>
      </c>
      <c r="C80" s="4502"/>
      <c r="D80" s="4502"/>
      <c r="E80" s="4502"/>
      <c r="F80" s="4502"/>
      <c r="G80" s="4502"/>
      <c r="H80" s="4502"/>
      <c r="I80" s="4502"/>
      <c r="J80" s="4502"/>
      <c r="K80" s="4502"/>
      <c r="L80" s="4502"/>
      <c r="M80" s="4502"/>
      <c r="N80" s="4502"/>
      <c r="O80" s="4502"/>
      <c r="P80" s="4502"/>
      <c r="Q80" s="4502"/>
      <c r="R80" s="4502"/>
      <c r="S80" s="4503"/>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6" t="s">
        <v>64</v>
      </c>
      <c r="S5" s="491"/>
      <c r="U5" s="2569"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48" x14ac:dyDescent="0.2">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1100</v>
      </c>
      <c r="C10" s="2257"/>
      <c r="D10" s="3582">
        <f>IF(SUM(D11,D13)=0,"IE",SUM(D11,D13))</f>
        <v>1540.6461496234019</v>
      </c>
      <c r="E10" s="3583">
        <f t="shared" ref="E10:F10" si="0">IF(SUM(E11,E13)=0,"IE",SUM(E11,E13))</f>
        <v>1443.685381258</v>
      </c>
      <c r="F10" s="3584">
        <f t="shared" si="0"/>
        <v>96.960768365401933</v>
      </c>
      <c r="G10" s="3582">
        <f>IFERROR(IF(SUM($D10)=0,"NA",M10/$D10),"NA")</f>
        <v>2.886258313404584E-3</v>
      </c>
      <c r="H10" s="3583">
        <f t="shared" ref="H10:J10" si="1">IFERROR(IF(SUM($D10)=0,"NA",N10/$D10),"NA")</f>
        <v>-1.1299706314622928</v>
      </c>
      <c r="I10" s="3583">
        <f t="shared" si="1"/>
        <v>-1.1270843731488882</v>
      </c>
      <c r="J10" s="3583">
        <f t="shared" si="1"/>
        <v>0.33104028537853669</v>
      </c>
      <c r="K10" s="3585">
        <f>IFERROR(IF(SUM(E10)=0,"NA",Q10/E10),"NA")</f>
        <v>-6.6892440034238665E-2</v>
      </c>
      <c r="L10" s="3584">
        <f>IFERROR(IF(SUM(F10)=0,"NA",R10/F10),"NA")</f>
        <v>1.2417716609672429</v>
      </c>
      <c r="M10" s="3586">
        <f>IF(SUM(M11,M13)=0,"IE",SUM(M11,M13))</f>
        <v>4.4467027573653066</v>
      </c>
      <c r="N10" s="3583">
        <f t="shared" ref="N10:S10" si="2">IF(SUM(N11,N13)=0,"IE",SUM(N11,N13))</f>
        <v>-1740.8849025499055</v>
      </c>
      <c r="O10" s="3587">
        <f t="shared" si="2"/>
        <v>-1736.4381997925402</v>
      </c>
      <c r="P10" s="3583">
        <f t="shared" si="2"/>
        <v>510.01594103867473</v>
      </c>
      <c r="Q10" s="3585">
        <f t="shared" si="2"/>
        <v>-96.571637794107758</v>
      </c>
      <c r="R10" s="3585">
        <f t="shared" si="2"/>
        <v>120.40313438176526</v>
      </c>
      <c r="S10" s="3588">
        <f t="shared" si="2"/>
        <v>4409.4994612760966</v>
      </c>
      <c r="U10" s="2261"/>
    </row>
    <row r="11" spans="2:21" ht="18" customHeight="1" x14ac:dyDescent="0.2">
      <c r="B11" s="493" t="s">
        <v>993</v>
      </c>
      <c r="C11" s="2256"/>
      <c r="D11" s="3589">
        <f>D12</f>
        <v>1032.3373812580001</v>
      </c>
      <c r="E11" s="3078">
        <f t="shared" ref="E11:F11" si="3">E12</f>
        <v>1032.3373812580001</v>
      </c>
      <c r="F11" s="3078" t="str">
        <f t="shared" si="3"/>
        <v>IE</v>
      </c>
      <c r="G11" s="3558">
        <f t="shared" ref="G11:G24" si="4">IFERROR(IF(SUM($D11)=0,"NA",M11/$D11),"NA")</f>
        <v>4.3074123228460269E-3</v>
      </c>
      <c r="H11" s="3078" t="str">
        <f t="shared" ref="H11:H24" si="5">IFERROR(IF(SUM($D11)=0,"NA",N11/$D11),"NA")</f>
        <v>NA</v>
      </c>
      <c r="I11" s="3078">
        <f t="shared" ref="I11:I24" si="6">IFERROR(IF(SUM($D11)=0,"NA",O11/$D11),"NA")</f>
        <v>4.3074123228460269E-3</v>
      </c>
      <c r="J11" s="3078">
        <f t="shared" ref="J11:J24" si="7">IFERROR(IF(SUM($D11)=0,"NA",P11/$D11),"NA")</f>
        <v>8.6148246456920527E-4</v>
      </c>
      <c r="K11" s="3573">
        <f t="shared" ref="K11:K24" si="8">IFERROR(IF(SUM(E11)=0,"NA",Q11/E11),"NA")</f>
        <v>3.4459298582768211E-3</v>
      </c>
      <c r="L11" s="3128" t="str">
        <f t="shared" ref="L11:L24" si="9">IFERROR(IF(SUM(F11)=0,"NA",R11/F11),"NA")</f>
        <v>NA</v>
      </c>
      <c r="M11" s="3590">
        <f t="shared" ref="M11:S11" si="10">M12</f>
        <v>4.4467027573653066</v>
      </c>
      <c r="N11" s="3591" t="str">
        <f t="shared" si="10"/>
        <v>IE</v>
      </c>
      <c r="O11" s="3592">
        <f t="shared" si="10"/>
        <v>4.4467027573653066</v>
      </c>
      <c r="P11" s="3591">
        <f t="shared" si="10"/>
        <v>0.88934055147306112</v>
      </c>
      <c r="Q11" s="3593">
        <f t="shared" si="10"/>
        <v>3.5573622058922445</v>
      </c>
      <c r="R11" s="3593" t="str">
        <f t="shared" si="10"/>
        <v>IE</v>
      </c>
      <c r="S11" s="3594">
        <f t="shared" si="10"/>
        <v>-32.609153554012245</v>
      </c>
      <c r="U11" s="2397"/>
    </row>
    <row r="12" spans="2:21" ht="18" customHeight="1" x14ac:dyDescent="0.2">
      <c r="B12" s="501"/>
      <c r="C12" s="885" t="s">
        <v>278</v>
      </c>
      <c r="D12" s="3600">
        <f>IF(SUM(E12:F12)=0,E12,SUM(E12:F12))</f>
        <v>1032.3373812580001</v>
      </c>
      <c r="E12" s="3569">
        <v>1032.3373812580001</v>
      </c>
      <c r="F12" s="3554" t="s">
        <v>2153</v>
      </c>
      <c r="G12" s="3558">
        <f t="shared" si="4"/>
        <v>4.3074123228460269E-3</v>
      </c>
      <c r="H12" s="3078" t="str">
        <f t="shared" si="5"/>
        <v>NA</v>
      </c>
      <c r="I12" s="3078">
        <f t="shared" si="6"/>
        <v>4.3074123228460269E-3</v>
      </c>
      <c r="J12" s="3078">
        <f t="shared" si="7"/>
        <v>8.6148246456920527E-4</v>
      </c>
      <c r="K12" s="3573">
        <f t="shared" si="8"/>
        <v>3.4459298582768211E-3</v>
      </c>
      <c r="L12" s="3128" t="str">
        <f t="shared" si="9"/>
        <v>NA</v>
      </c>
      <c r="M12" s="2905">
        <v>4.4467027573653066</v>
      </c>
      <c r="N12" s="2905" t="s">
        <v>2153</v>
      </c>
      <c r="O12" s="3109">
        <f>IF(SUM(M12:N12)=0,M12,SUM(M12:N12))</f>
        <v>4.4467027573653066</v>
      </c>
      <c r="P12" s="2905">
        <v>0.88934055147306112</v>
      </c>
      <c r="Q12" s="2906">
        <v>3.5573622058922445</v>
      </c>
      <c r="R12" s="2906" t="s">
        <v>2153</v>
      </c>
      <c r="S12" s="3570">
        <f>IF(SUM(O12:R12)=0,Q12,SUM(O12:R12)*-44/12)</f>
        <v>-32.609153554012245</v>
      </c>
      <c r="U12" s="2398"/>
    </row>
    <row r="13" spans="2:21" ht="18" customHeight="1" x14ac:dyDescent="0.2">
      <c r="B13" s="493" t="s">
        <v>994</v>
      </c>
      <c r="C13" s="504"/>
      <c r="D13" s="3589">
        <f>IF(SUM(D14,D17,D19,D21,D23)=0,"IE",SUM(D14,D17,D19,D21,D23))</f>
        <v>508.30876836540193</v>
      </c>
      <c r="E13" s="3591">
        <f t="shared" ref="E13:S13" si="11">IF(SUM(E14,E17,E19,E21,E23)=0,"IE",SUM(E14,E17,E19,E21,E23))</f>
        <v>411.34800000000001</v>
      </c>
      <c r="F13" s="3595">
        <f t="shared" si="11"/>
        <v>96.960768365401933</v>
      </c>
      <c r="G13" s="3558" t="str">
        <f t="shared" si="4"/>
        <v>NA</v>
      </c>
      <c r="H13" s="3078">
        <f t="shared" si="5"/>
        <v>-3.4248571161740342</v>
      </c>
      <c r="I13" s="3078">
        <f t="shared" si="6"/>
        <v>-3.4248571161740342</v>
      </c>
      <c r="J13" s="3078">
        <f t="shared" si="7"/>
        <v>1.0016089278263478</v>
      </c>
      <c r="K13" s="3573">
        <f t="shared" si="8"/>
        <v>-0.24341676633896361</v>
      </c>
      <c r="L13" s="3128">
        <f t="shared" si="9"/>
        <v>1.2417716609672429</v>
      </c>
      <c r="M13" s="3078" t="str">
        <f t="shared" si="11"/>
        <v>IE</v>
      </c>
      <c r="N13" s="3078">
        <f t="shared" si="11"/>
        <v>-1740.8849025499055</v>
      </c>
      <c r="O13" s="3078">
        <f t="shared" si="11"/>
        <v>-1740.8849025499055</v>
      </c>
      <c r="P13" s="3078">
        <f t="shared" si="11"/>
        <v>509.12660048720164</v>
      </c>
      <c r="Q13" s="3573">
        <f t="shared" si="11"/>
        <v>-100.129</v>
      </c>
      <c r="R13" s="3573">
        <f t="shared" si="11"/>
        <v>120.40313438176526</v>
      </c>
      <c r="S13" s="3570">
        <f t="shared" si="11"/>
        <v>4442.1086148301092</v>
      </c>
      <c r="U13" s="2019"/>
    </row>
    <row r="14" spans="2:21" ht="18" customHeight="1" x14ac:dyDescent="0.2">
      <c r="B14" s="495" t="s">
        <v>1101</v>
      </c>
      <c r="C14" s="504"/>
      <c r="D14" s="3599">
        <f>IF(SUM(D15:D16)=0,"IE",SUM(D15:D16))</f>
        <v>508.30876836540193</v>
      </c>
      <c r="E14" s="3564">
        <f t="shared" ref="E14:F14" si="12">IF(SUM(E15:E16)=0,"IE",SUM(E15:E16))</f>
        <v>411.34800000000001</v>
      </c>
      <c r="F14" s="3565">
        <f t="shared" si="12"/>
        <v>96.960768365401933</v>
      </c>
      <c r="G14" s="3558" t="str">
        <f t="shared" si="4"/>
        <v>NA</v>
      </c>
      <c r="H14" s="3078">
        <f t="shared" si="5"/>
        <v>-3.4248571161740342</v>
      </c>
      <c r="I14" s="3078">
        <f t="shared" si="6"/>
        <v>-3.4248571161740342</v>
      </c>
      <c r="J14" s="3078">
        <f t="shared" si="7"/>
        <v>1.0016089278263478</v>
      </c>
      <c r="K14" s="3573">
        <f t="shared" si="8"/>
        <v>-0.24341676633896361</v>
      </c>
      <c r="L14" s="3128">
        <f t="shared" si="9"/>
        <v>1.2417716609672429</v>
      </c>
      <c r="M14" s="3506" t="str">
        <f>IF(SUM(M15:M16)=0,"IE",SUM(M15:M16))</f>
        <v>IE</v>
      </c>
      <c r="N14" s="3506">
        <f t="shared" ref="N14:S14" si="13">IF(SUM(N15:N16)=0,"IE",SUM(N15:N16))</f>
        <v>-1740.8849025499055</v>
      </c>
      <c r="O14" s="3506">
        <f t="shared" si="13"/>
        <v>-1740.8849025499055</v>
      </c>
      <c r="P14" s="3506">
        <f t="shared" si="13"/>
        <v>509.12660048720164</v>
      </c>
      <c r="Q14" s="3601">
        <f t="shared" si="13"/>
        <v>-100.129</v>
      </c>
      <c r="R14" s="3601">
        <f t="shared" si="13"/>
        <v>120.40313438176526</v>
      </c>
      <c r="S14" s="3287">
        <f t="shared" si="13"/>
        <v>4442.1086148301092</v>
      </c>
      <c r="U14" s="2019"/>
    </row>
    <row r="15" spans="2:21" ht="18" customHeight="1" x14ac:dyDescent="0.2">
      <c r="B15" s="496"/>
      <c r="C15" s="508" t="s">
        <v>2235</v>
      </c>
      <c r="D15" s="3600">
        <f>IF(SUM(E15:F15)=0,E15,SUM(E15:F15))</f>
        <v>96.960768365401933</v>
      </c>
      <c r="E15" s="3569" t="s">
        <v>2146</v>
      </c>
      <c r="F15" s="3554">
        <v>96.960768365401933</v>
      </c>
      <c r="G15" s="3558" t="str">
        <f t="shared" si="4"/>
        <v>NA</v>
      </c>
      <c r="H15" s="3078">
        <f t="shared" si="5"/>
        <v>-15.727401177382205</v>
      </c>
      <c r="I15" s="3078">
        <f t="shared" si="6"/>
        <v>-15.727401177382205</v>
      </c>
      <c r="J15" s="3078">
        <f t="shared" si="7"/>
        <v>5.7657608320550997</v>
      </c>
      <c r="K15" s="3573" t="str">
        <f t="shared" si="8"/>
        <v>NA</v>
      </c>
      <c r="L15" s="3128">
        <f t="shared" si="9"/>
        <v>1.2417716609672429</v>
      </c>
      <c r="M15" s="2905" t="s">
        <v>2153</v>
      </c>
      <c r="N15" s="2905">
        <v>-1524.9409025499056</v>
      </c>
      <c r="O15" s="3109">
        <f>IF(SUM(M15:N15)=0,M15,SUM(M15:N15))</f>
        <v>-1524.9409025499056</v>
      </c>
      <c r="P15" s="2905">
        <v>559.05260048720163</v>
      </c>
      <c r="Q15" s="2906" t="s">
        <v>2146</v>
      </c>
      <c r="R15" s="2906">
        <v>120.40313438176526</v>
      </c>
      <c r="S15" s="3570">
        <f>IF(SUM(O15:R15)=0,Q15,SUM(O15:R15)*-44/12)</f>
        <v>3100.1122814967753</v>
      </c>
      <c r="U15" s="2019"/>
    </row>
    <row r="16" spans="2:21" ht="18" customHeight="1" x14ac:dyDescent="0.2">
      <c r="B16" s="494"/>
      <c r="C16" s="508" t="s">
        <v>2236</v>
      </c>
      <c r="D16" s="3600">
        <f>IF(SUM(E16:F16)=0,E16,SUM(E16:F16))</f>
        <v>411.34800000000001</v>
      </c>
      <c r="E16" s="3569">
        <v>411.34800000000001</v>
      </c>
      <c r="F16" s="3554" t="s">
        <v>2153</v>
      </c>
      <c r="G16" s="3558" t="str">
        <f t="shared" si="4"/>
        <v>NA</v>
      </c>
      <c r="H16" s="3078">
        <f t="shared" si="5"/>
        <v>-0.52496669486663361</v>
      </c>
      <c r="I16" s="3078">
        <f t="shared" si="6"/>
        <v>-0.52496669486663361</v>
      </c>
      <c r="J16" s="3078">
        <f t="shared" si="7"/>
        <v>-0.12137168528836897</v>
      </c>
      <c r="K16" s="3573">
        <f t="shared" si="8"/>
        <v>-0.24341676633896361</v>
      </c>
      <c r="L16" s="3128" t="str">
        <f t="shared" si="9"/>
        <v>NA</v>
      </c>
      <c r="M16" s="2905" t="s">
        <v>2153</v>
      </c>
      <c r="N16" s="2905">
        <v>-215.94400000000002</v>
      </c>
      <c r="O16" s="3109">
        <f>IF(SUM(M16:N16)=0,M16,SUM(M16:N16))</f>
        <v>-215.94400000000002</v>
      </c>
      <c r="P16" s="2905">
        <v>-49.926000000000002</v>
      </c>
      <c r="Q16" s="2906">
        <v>-100.129</v>
      </c>
      <c r="R16" s="2906" t="s">
        <v>2153</v>
      </c>
      <c r="S16" s="3570">
        <f>IF(SUM(O16:R16)=0,Q16,SUM(O16:R16)*-44/12)</f>
        <v>1341.9963333333335</v>
      </c>
      <c r="U16" s="2398"/>
    </row>
    <row r="17" spans="2:35" ht="18" customHeight="1" x14ac:dyDescent="0.2">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25">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504"/>
      <c r="W29" s="4504"/>
      <c r="X29" s="4504"/>
      <c r="Y29" s="4504"/>
      <c r="Z29" s="4504"/>
      <c r="AA29" s="4504"/>
      <c r="AB29" s="4504"/>
      <c r="AC29" s="4504"/>
      <c r="AD29" s="4504"/>
      <c r="AE29" s="4504"/>
      <c r="AF29" s="4504"/>
      <c r="AG29" s="4504"/>
      <c r="AH29" s="4504"/>
      <c r="AI29" s="4504"/>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6" t="s">
        <v>64</v>
      </c>
      <c r="U5" s="2569" t="s">
        <v>1049</v>
      </c>
    </row>
    <row r="6" spans="2:21" ht="30.75" customHeight="1" x14ac:dyDescent="0.2">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48" x14ac:dyDescent="0.2">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4" x14ac:dyDescent="0.2">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5" customHeight="1" thickBot="1" x14ac:dyDescent="0.25">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24" x14ac:dyDescent="0.2">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25">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6"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8"/>
      <c r="D7" s="2319"/>
      <c r="E7" s="2320"/>
      <c r="F7" s="339" t="s">
        <v>1120</v>
      </c>
      <c r="G7" s="2325" t="s">
        <v>1121</v>
      </c>
      <c r="H7" s="2317"/>
      <c r="I7" s="339" t="s">
        <v>1122</v>
      </c>
      <c r="J7" s="327" t="s">
        <v>1978</v>
      </c>
      <c r="K7" s="327"/>
      <c r="L7" s="263" t="s">
        <v>1123</v>
      </c>
    </row>
    <row r="8" spans="1:12" ht="72" x14ac:dyDescent="0.2">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25">
      <c r="B9" s="1589"/>
      <c r="C9" s="2332" t="s">
        <v>893</v>
      </c>
      <c r="D9" s="2333"/>
      <c r="E9" s="2334"/>
      <c r="F9" s="2322" t="s">
        <v>1133</v>
      </c>
      <c r="G9" s="2022"/>
      <c r="H9" s="2323"/>
      <c r="I9" s="2329" t="s">
        <v>73</v>
      </c>
      <c r="J9" s="2330"/>
      <c r="K9" s="2330"/>
      <c r="L9" s="2331"/>
    </row>
    <row r="10" spans="1:12" ht="64.5" customHeight="1" thickTop="1" thickBot="1" x14ac:dyDescent="0.25">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
      <c r="A11" s="1556"/>
      <c r="B11" s="1808" t="s">
        <v>345</v>
      </c>
      <c r="C11" s="2695"/>
      <c r="D11" s="2696"/>
      <c r="E11" s="2696"/>
      <c r="F11" s="2696"/>
      <c r="G11" s="2696"/>
      <c r="H11" s="2696"/>
      <c r="I11" s="2696"/>
      <c r="J11" s="2696"/>
      <c r="K11" s="2696"/>
      <c r="L11" s="2697"/>
    </row>
    <row r="12" spans="1:12" ht="18" customHeight="1" x14ac:dyDescent="0.2">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25">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25">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25">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25">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83" t="s">
        <v>2401</v>
      </c>
      <c r="C53" s="4484"/>
      <c r="D53" s="4484"/>
      <c r="E53" s="4484"/>
      <c r="F53" s="4484"/>
      <c r="G53" s="4484"/>
      <c r="H53" s="4484"/>
      <c r="I53" s="4484"/>
      <c r="J53" s="4484"/>
      <c r="K53" s="4484"/>
      <c r="L53" s="4485"/>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505"/>
      <c r="C55" s="4505"/>
      <c r="D55" s="4505"/>
      <c r="E55" s="4505"/>
      <c r="F55" s="4505"/>
      <c r="G55" s="4505"/>
      <c r="H55" s="4505"/>
      <c r="I55" s="4505"/>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6"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506" t="s">
        <v>1144</v>
      </c>
      <c r="C8" s="2455" t="s">
        <v>1019</v>
      </c>
      <c r="D8" s="2823" t="s">
        <v>1145</v>
      </c>
      <c r="E8" s="907" t="s">
        <v>1146</v>
      </c>
      <c r="F8" s="906" t="s">
        <v>1147</v>
      </c>
      <c r="G8" s="521" t="s">
        <v>1148</v>
      </c>
      <c r="H8" s="522" t="s">
        <v>1149</v>
      </c>
      <c r="I8" s="522" t="s">
        <v>1150</v>
      </c>
      <c r="J8" s="523" t="s">
        <v>1151</v>
      </c>
    </row>
    <row r="9" spans="2:10" ht="15" thickBot="1" x14ac:dyDescent="0.3">
      <c r="B9" s="4507"/>
      <c r="C9" s="2456"/>
      <c r="D9" s="2824" t="s">
        <v>1012</v>
      </c>
      <c r="E9" s="908" t="s">
        <v>1152</v>
      </c>
      <c r="F9" s="806" t="s">
        <v>1153</v>
      </c>
      <c r="G9" s="524" t="s">
        <v>1154</v>
      </c>
      <c r="H9" s="904" t="s">
        <v>73</v>
      </c>
      <c r="I9" s="904"/>
      <c r="J9" s="905"/>
    </row>
    <row r="10" spans="2:10" ht="18" customHeight="1" thickTop="1" thickBot="1" x14ac:dyDescent="0.25">
      <c r="B10" s="910" t="s">
        <v>1155</v>
      </c>
      <c r="C10" s="2825"/>
      <c r="D10" s="2783"/>
      <c r="E10" s="2784"/>
      <c r="F10" s="2785"/>
      <c r="G10" s="2783"/>
      <c r="H10" s="2817" t="str">
        <f>H269</f>
        <v>IE,NE</v>
      </c>
      <c r="I10" s="2786" t="s">
        <v>2154</v>
      </c>
      <c r="J10" s="3739">
        <f>J269</f>
        <v>69.997539682867654</v>
      </c>
    </row>
    <row r="11" spans="2:10" ht="18" customHeight="1" x14ac:dyDescent="0.2">
      <c r="B11" s="909" t="s">
        <v>1156</v>
      </c>
      <c r="C11" s="2826"/>
      <c r="D11" s="2787"/>
      <c r="E11" s="2788"/>
      <c r="F11" s="2789"/>
      <c r="G11" s="2787"/>
      <c r="H11" s="2818" t="s">
        <v>2154</v>
      </c>
      <c r="I11" s="2813" t="s">
        <v>2154</v>
      </c>
      <c r="J11" s="3740" t="s">
        <v>2154</v>
      </c>
    </row>
    <row r="12" spans="2:10" ht="18" customHeight="1" collapsed="1" x14ac:dyDescent="0.2">
      <c r="B12" s="909" t="s">
        <v>1157</v>
      </c>
      <c r="C12" s="2826"/>
      <c r="D12" s="2787"/>
      <c r="E12" s="2788"/>
      <c r="F12" s="2789"/>
      <c r="G12" s="2787"/>
      <c r="H12" s="2819" t="s">
        <v>2154</v>
      </c>
      <c r="I12" s="2815" t="s">
        <v>2154</v>
      </c>
      <c r="J12" s="3741" t="s">
        <v>2154</v>
      </c>
    </row>
    <row r="13" spans="2:10" ht="18" hidden="1" customHeight="1" outlineLevel="1" x14ac:dyDescent="0.2">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
      <c r="B14" s="2829" t="s">
        <v>200</v>
      </c>
      <c r="C14" s="2828"/>
      <c r="D14" s="2792"/>
      <c r="E14" s="2792"/>
      <c r="F14" s="2792"/>
      <c r="G14" s="2792"/>
      <c r="H14" s="2792"/>
      <c r="I14" s="2792"/>
      <c r="J14" s="3742"/>
    </row>
    <row r="15" spans="2:10" ht="18" hidden="1" customHeight="1" outlineLevel="1" x14ac:dyDescent="0.2">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
      <c r="B20" s="2829" t="s">
        <v>200</v>
      </c>
      <c r="C20" s="2828"/>
      <c r="D20" s="2760"/>
      <c r="E20" s="2761"/>
      <c r="F20" s="2762"/>
      <c r="G20" s="2763"/>
      <c r="H20" s="2764"/>
      <c r="I20" s="2762"/>
      <c r="J20" s="3745"/>
    </row>
    <row r="21" spans="2:10" ht="18" hidden="1" customHeight="1" outlineLevel="1" x14ac:dyDescent="0.2">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25">
      <c r="B24" s="909" t="s">
        <v>1165</v>
      </c>
      <c r="C24" s="2826"/>
      <c r="D24" s="2787"/>
      <c r="E24" s="2788"/>
      <c r="F24" s="2789"/>
      <c r="G24" s="2787"/>
      <c r="H24" s="2819" t="s">
        <v>2154</v>
      </c>
      <c r="I24" s="2815" t="s">
        <v>2154</v>
      </c>
      <c r="J24" s="3741" t="s">
        <v>2154</v>
      </c>
    </row>
    <row r="25" spans="2:10" ht="18" hidden="1" customHeight="1" outlineLevel="1" x14ac:dyDescent="0.2">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
      <c r="B26" s="2829" t="s">
        <v>200</v>
      </c>
      <c r="C26" s="2828"/>
      <c r="D26" s="2792"/>
      <c r="E26" s="2792"/>
      <c r="F26" s="2792"/>
      <c r="G26" s="2792"/>
      <c r="H26" s="2792"/>
      <c r="I26" s="2792"/>
      <c r="J26" s="3742"/>
    </row>
    <row r="27" spans="2:10" ht="18" hidden="1" customHeight="1" outlineLevel="1" x14ac:dyDescent="0.2">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
      <c r="B32" s="2829" t="s">
        <v>200</v>
      </c>
      <c r="C32" s="2828"/>
      <c r="D32" s="2766"/>
      <c r="E32" s="2766"/>
      <c r="F32" s="2767"/>
      <c r="G32" s="2767"/>
      <c r="H32" s="2767"/>
      <c r="I32" s="2767"/>
      <c r="J32" s="3746"/>
    </row>
    <row r="33" spans="2:10" ht="18" hidden="1" customHeight="1" outlineLevel="1" x14ac:dyDescent="0.2">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
      <c r="B36" s="2829" t="s">
        <v>200</v>
      </c>
      <c r="C36" s="2828"/>
      <c r="D36" s="2766"/>
      <c r="E36" s="2766"/>
      <c r="F36" s="2767"/>
      <c r="G36" s="2767"/>
      <c r="H36" s="2767"/>
      <c r="I36" s="2767"/>
      <c r="J36" s="3746"/>
    </row>
    <row r="37" spans="2:10" ht="18" hidden="1" customHeight="1" outlineLevel="1" collapsed="1" x14ac:dyDescent="0.2">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
      <c r="B39" s="2829" t="s">
        <v>200</v>
      </c>
      <c r="C39" s="2828"/>
      <c r="D39" s="2792"/>
      <c r="E39" s="2792"/>
      <c r="F39" s="2792"/>
      <c r="G39" s="2792"/>
      <c r="H39" s="2792"/>
      <c r="I39" s="2792"/>
      <c r="J39" s="3742"/>
    </row>
    <row r="40" spans="2:10" ht="18" hidden="1" customHeight="1" outlineLevel="2" x14ac:dyDescent="0.2">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
      <c r="B45" s="2829" t="s">
        <v>200</v>
      </c>
      <c r="C45" s="2828"/>
      <c r="D45" s="2766"/>
      <c r="E45" s="2766"/>
      <c r="F45" s="2767"/>
      <c r="G45" s="2767"/>
      <c r="H45" s="2767"/>
      <c r="I45" s="2767"/>
      <c r="J45" s="3746"/>
    </row>
    <row r="46" spans="2:10" ht="18" hidden="1" customHeight="1" outlineLevel="2" x14ac:dyDescent="0.2">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
      <c r="B51" s="2829" t="s">
        <v>200</v>
      </c>
      <c r="C51" s="2828"/>
      <c r="D51" s="2792"/>
      <c r="E51" s="2792"/>
      <c r="F51" s="2792"/>
      <c r="G51" s="2792"/>
      <c r="H51" s="2792"/>
      <c r="I51" s="2792"/>
      <c r="J51" s="3742"/>
    </row>
    <row r="52" spans="2:10" ht="18" hidden="1" customHeight="1" outlineLevel="2" x14ac:dyDescent="0.2">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
      <c r="B57" s="2829" t="s">
        <v>200</v>
      </c>
      <c r="C57" s="2828"/>
      <c r="D57" s="2766"/>
      <c r="E57" s="2766"/>
      <c r="F57" s="2767"/>
      <c r="G57" s="2767"/>
      <c r="H57" s="2767"/>
      <c r="I57" s="2767"/>
      <c r="J57" s="3746"/>
    </row>
    <row r="58" spans="2:10" ht="18" hidden="1" customHeight="1" outlineLevel="2" x14ac:dyDescent="0.2">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
      <c r="B63" s="2829" t="s">
        <v>200</v>
      </c>
      <c r="C63" s="2828"/>
      <c r="D63" s="2792"/>
      <c r="E63" s="2792"/>
      <c r="F63" s="2792"/>
      <c r="G63" s="2792"/>
      <c r="H63" s="2792"/>
      <c r="I63" s="2792"/>
      <c r="J63" s="3742"/>
    </row>
    <row r="64" spans="2:10" ht="18" hidden="1" customHeight="1" outlineLevel="2" x14ac:dyDescent="0.2">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
      <c r="B69" s="2829" t="s">
        <v>200</v>
      </c>
      <c r="C69" s="2828"/>
      <c r="D69" s="2766"/>
      <c r="E69" s="2766"/>
      <c r="F69" s="2767"/>
      <c r="G69" s="2767"/>
      <c r="H69" s="2767"/>
      <c r="I69" s="2767"/>
      <c r="J69" s="3746"/>
    </row>
    <row r="70" spans="2:10" ht="18" hidden="1" customHeight="1" outlineLevel="2" x14ac:dyDescent="0.2">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
      <c r="B75" s="2829" t="s">
        <v>200</v>
      </c>
      <c r="C75" s="2828"/>
      <c r="D75" s="2792"/>
      <c r="E75" s="2792"/>
      <c r="F75" s="2792"/>
      <c r="G75" s="2792"/>
      <c r="H75" s="2792"/>
      <c r="I75" s="2792"/>
      <c r="J75" s="3742"/>
    </row>
    <row r="76" spans="2:10" ht="18" hidden="1" customHeight="1" outlineLevel="2" x14ac:dyDescent="0.2">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
      <c r="B81" s="2829" t="s">
        <v>200</v>
      </c>
      <c r="C81" s="2828"/>
      <c r="D81" s="2766"/>
      <c r="E81" s="2766"/>
      <c r="F81" s="2767"/>
      <c r="G81" s="2767"/>
      <c r="H81" s="2767"/>
      <c r="I81" s="2767"/>
      <c r="J81" s="3746"/>
    </row>
    <row r="82" spans="2:10" ht="18" hidden="1" customHeight="1" outlineLevel="2" x14ac:dyDescent="0.2">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25">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
      <c r="B87" s="2829" t="s">
        <v>200</v>
      </c>
      <c r="C87" s="2828"/>
      <c r="D87" s="2792"/>
      <c r="E87" s="2792"/>
      <c r="F87" s="2792"/>
      <c r="G87" s="2792"/>
      <c r="H87" s="2792"/>
      <c r="I87" s="2792"/>
      <c r="J87" s="3742"/>
    </row>
    <row r="88" spans="2:10" ht="18" hidden="1" customHeight="1" outlineLevel="2" x14ac:dyDescent="0.2">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
      <c r="B93" s="2829" t="s">
        <v>200</v>
      </c>
      <c r="C93" s="2828"/>
      <c r="D93" s="2766"/>
      <c r="E93" s="2766"/>
      <c r="F93" s="2767"/>
      <c r="G93" s="2767"/>
      <c r="H93" s="2767"/>
      <c r="I93" s="2767"/>
      <c r="J93" s="3746"/>
    </row>
    <row r="94" spans="2:10" ht="18" hidden="1" customHeight="1" outlineLevel="2" x14ac:dyDescent="0.2">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25">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
      <c r="B97" s="1440" t="s">
        <v>1979</v>
      </c>
      <c r="C97" s="2838"/>
      <c r="D97" s="2769"/>
      <c r="E97" s="2770"/>
      <c r="F97" s="2771"/>
      <c r="G97" s="2772"/>
      <c r="H97" s="2818" t="s">
        <v>2238</v>
      </c>
      <c r="I97" s="2813" t="s">
        <v>2154</v>
      </c>
      <c r="J97" s="3740" t="s">
        <v>2154</v>
      </c>
    </row>
    <row r="98" spans="2:10" ht="18" customHeight="1" collapsed="1" x14ac:dyDescent="0.2">
      <c r="B98" s="909" t="s">
        <v>1171</v>
      </c>
      <c r="C98" s="2826"/>
      <c r="D98" s="2787"/>
      <c r="E98" s="2788"/>
      <c r="F98" s="2789"/>
      <c r="G98" s="2787"/>
      <c r="H98" s="2791" t="s">
        <v>2238</v>
      </c>
      <c r="I98" s="2801"/>
      <c r="J98" s="3741" t="s">
        <v>2154</v>
      </c>
    </row>
    <row r="99" spans="2:10" ht="18" hidden="1" customHeight="1" outlineLevel="1" x14ac:dyDescent="0.2">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
      <c r="B100" s="2829" t="s">
        <v>200</v>
      </c>
      <c r="C100" s="2828"/>
      <c r="D100" s="2792"/>
      <c r="E100" s="2792"/>
      <c r="F100" s="2792"/>
      <c r="G100" s="2792"/>
      <c r="H100" s="2792"/>
      <c r="I100" s="2792"/>
      <c r="J100" s="3742"/>
    </row>
    <row r="101" spans="2:10" ht="18" hidden="1" customHeight="1" outlineLevel="1" x14ac:dyDescent="0.2">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
      <c r="B106" s="2829" t="s">
        <v>200</v>
      </c>
      <c r="C106" s="2828"/>
      <c r="D106" s="2766"/>
      <c r="E106" s="2766"/>
      <c r="F106" s="2767"/>
      <c r="G106" s="2767"/>
      <c r="H106" s="2767"/>
      <c r="I106" s="2792"/>
      <c r="J106" s="3746"/>
    </row>
    <row r="107" spans="2:10" ht="18" hidden="1" customHeight="1" outlineLevel="1" x14ac:dyDescent="0.2">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25">
      <c r="B110" s="909" t="s">
        <v>1172</v>
      </c>
      <c r="C110" s="2826"/>
      <c r="D110" s="2787"/>
      <c r="E110" s="2788"/>
      <c r="F110" s="2789"/>
      <c r="G110" s="2787"/>
      <c r="H110" s="2819" t="s">
        <v>2238</v>
      </c>
      <c r="I110" s="2815" t="s">
        <v>2154</v>
      </c>
      <c r="J110" s="3741" t="s">
        <v>2154</v>
      </c>
    </row>
    <row r="111" spans="2:10" ht="18" hidden="1" customHeight="1" outlineLevel="1" x14ac:dyDescent="0.2">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
      <c r="B112" s="2829" t="s">
        <v>200</v>
      </c>
      <c r="C112" s="2828"/>
      <c r="D112" s="2792"/>
      <c r="E112" s="2792"/>
      <c r="F112" s="2792"/>
      <c r="G112" s="2792"/>
      <c r="H112" s="2792"/>
      <c r="I112" s="2792"/>
      <c r="J112" s="3742"/>
    </row>
    <row r="113" spans="2:10" ht="18" hidden="1" customHeight="1" outlineLevel="1" x14ac:dyDescent="0.2">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
      <c r="B118" s="2829" t="s">
        <v>200</v>
      </c>
      <c r="C118" s="2828"/>
      <c r="D118" s="2766"/>
      <c r="E118" s="2766"/>
      <c r="F118" s="2767"/>
      <c r="G118" s="2767"/>
      <c r="H118" s="2767"/>
      <c r="I118" s="2767"/>
      <c r="J118" s="3746"/>
    </row>
    <row r="119" spans="2:10" ht="18" hidden="1" customHeight="1" outlineLevel="1" x14ac:dyDescent="0.2">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
      <c r="B122" s="2829" t="s">
        <v>200</v>
      </c>
      <c r="C122" s="2828"/>
      <c r="D122" s="2766"/>
      <c r="E122" s="2766"/>
      <c r="F122" s="2767"/>
      <c r="G122" s="2767"/>
      <c r="H122" s="2767"/>
      <c r="I122" s="2767"/>
      <c r="J122" s="3746"/>
    </row>
    <row r="123" spans="2:10" ht="18" hidden="1" customHeight="1" outlineLevel="1" collapsed="1" x14ac:dyDescent="0.2">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
      <c r="B125" s="2829" t="s">
        <v>200</v>
      </c>
      <c r="C125" s="2828"/>
      <c r="D125" s="2792"/>
      <c r="E125" s="2792"/>
      <c r="F125" s="2792"/>
      <c r="G125" s="2792"/>
      <c r="H125" s="2792"/>
      <c r="I125" s="2792"/>
      <c r="J125" s="3742"/>
    </row>
    <row r="126" spans="2:10" ht="18" hidden="1" customHeight="1" outlineLevel="2" x14ac:dyDescent="0.2">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
      <c r="B131" s="2829" t="s">
        <v>200</v>
      </c>
      <c r="C131" s="2828"/>
      <c r="D131" s="2766"/>
      <c r="E131" s="2766"/>
      <c r="F131" s="2767"/>
      <c r="G131" s="2767"/>
      <c r="H131" s="2767"/>
      <c r="I131" s="2767"/>
      <c r="J131" s="3746"/>
    </row>
    <row r="132" spans="2:10" ht="18" hidden="1" customHeight="1" outlineLevel="2" x14ac:dyDescent="0.2">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
      <c r="B137" s="2829" t="s">
        <v>200</v>
      </c>
      <c r="C137" s="2828"/>
      <c r="D137" s="2792"/>
      <c r="E137" s="2792"/>
      <c r="F137" s="2792"/>
      <c r="G137" s="2792"/>
      <c r="H137" s="2792"/>
      <c r="I137" s="2792"/>
      <c r="J137" s="3742"/>
    </row>
    <row r="138" spans="2:10" ht="18" hidden="1" customHeight="1" outlineLevel="2" x14ac:dyDescent="0.2">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
      <c r="B143" s="2829" t="s">
        <v>200</v>
      </c>
      <c r="C143" s="2828"/>
      <c r="D143" s="2766"/>
      <c r="E143" s="2766"/>
      <c r="F143" s="2767"/>
      <c r="G143" s="2767"/>
      <c r="H143" s="2767"/>
      <c r="I143" s="2767"/>
      <c r="J143" s="3746"/>
    </row>
    <row r="144" spans="2:10" ht="18" hidden="1" customHeight="1" outlineLevel="2" x14ac:dyDescent="0.2">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
      <c r="B149" s="2829" t="s">
        <v>200</v>
      </c>
      <c r="C149" s="2828"/>
      <c r="D149" s="2792"/>
      <c r="E149" s="2792"/>
      <c r="F149" s="2792"/>
      <c r="G149" s="2792"/>
      <c r="H149" s="2792"/>
      <c r="I149" s="2792"/>
      <c r="J149" s="3742"/>
    </row>
    <row r="150" spans="2:10" ht="18" hidden="1" customHeight="1" outlineLevel="2" x14ac:dyDescent="0.2">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
      <c r="B155" s="2829" t="s">
        <v>200</v>
      </c>
      <c r="C155" s="2828"/>
      <c r="D155" s="2766"/>
      <c r="E155" s="2766"/>
      <c r="F155" s="2767"/>
      <c r="G155" s="2767"/>
      <c r="H155" s="2767"/>
      <c r="I155" s="2767"/>
      <c r="J155" s="3746"/>
    </row>
    <row r="156" spans="2:10" ht="18" hidden="1" customHeight="1" outlineLevel="2" x14ac:dyDescent="0.2">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
      <c r="B161" s="2829" t="s">
        <v>200</v>
      </c>
      <c r="C161" s="2828"/>
      <c r="D161" s="2792"/>
      <c r="E161" s="2792"/>
      <c r="F161" s="2792"/>
      <c r="G161" s="2792"/>
      <c r="H161" s="2792"/>
      <c r="I161" s="2792"/>
      <c r="J161" s="3742"/>
    </row>
    <row r="162" spans="2:10" ht="18" hidden="1" customHeight="1" outlineLevel="2" x14ac:dyDescent="0.2">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
      <c r="B167" s="2829" t="s">
        <v>200</v>
      </c>
      <c r="C167" s="2828"/>
      <c r="D167" s="2766"/>
      <c r="E167" s="2766"/>
      <c r="F167" s="2767"/>
      <c r="G167" s="2767"/>
      <c r="H167" s="2767"/>
      <c r="I167" s="2767"/>
      <c r="J167" s="3746"/>
    </row>
    <row r="168" spans="2:10" ht="18" hidden="1" customHeight="1" outlineLevel="2" x14ac:dyDescent="0.2">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25">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
      <c r="B173" s="2829" t="s">
        <v>200</v>
      </c>
      <c r="C173" s="2828"/>
      <c r="D173" s="2792"/>
      <c r="E173" s="2792"/>
      <c r="F173" s="2792"/>
      <c r="G173" s="2792"/>
      <c r="H173" s="2792"/>
      <c r="I173" s="2792"/>
      <c r="J173" s="3742"/>
    </row>
    <row r="174" spans="2:10" ht="18" hidden="1" customHeight="1" outlineLevel="2" x14ac:dyDescent="0.2">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
      <c r="B179" s="2829" t="s">
        <v>200</v>
      </c>
      <c r="C179" s="2828"/>
      <c r="D179" s="2766"/>
      <c r="E179" s="2766"/>
      <c r="F179" s="2767"/>
      <c r="G179" s="2767"/>
      <c r="H179" s="2767"/>
      <c r="I179" s="2767"/>
      <c r="J179" s="3746"/>
    </row>
    <row r="180" spans="2:10" ht="18" hidden="1" customHeight="1" outlineLevel="2" x14ac:dyDescent="0.2">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25">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
      <c r="B183" s="1440" t="s">
        <v>1178</v>
      </c>
      <c r="C183" s="2839"/>
      <c r="D183" s="2802"/>
      <c r="E183" s="2803"/>
      <c r="F183" s="2773"/>
      <c r="G183" s="2769"/>
      <c r="H183" s="2818" t="s">
        <v>2238</v>
      </c>
      <c r="I183" s="2813" t="s">
        <v>2154</v>
      </c>
      <c r="J183" s="3748" t="s">
        <v>2154</v>
      </c>
    </row>
    <row r="184" spans="2:10" ht="18" customHeight="1" collapsed="1" x14ac:dyDescent="0.2">
      <c r="B184" s="909" t="s">
        <v>1179</v>
      </c>
      <c r="C184" s="2826"/>
      <c r="D184" s="2787"/>
      <c r="E184" s="2788"/>
      <c r="F184" s="2789"/>
      <c r="G184" s="2787"/>
      <c r="H184" s="2819" t="s">
        <v>2238</v>
      </c>
      <c r="I184" s="2801"/>
      <c r="J184" s="3741" t="s">
        <v>2154</v>
      </c>
    </row>
    <row r="185" spans="2:10" ht="18" hidden="1" customHeight="1" outlineLevel="1" x14ac:dyDescent="0.2">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
      <c r="B186" s="2829" t="s">
        <v>200</v>
      </c>
      <c r="C186" s="2828"/>
      <c r="D186" s="2792"/>
      <c r="E186" s="2792"/>
      <c r="F186" s="2792"/>
      <c r="G186" s="2792"/>
      <c r="H186" s="2792"/>
      <c r="I186" s="2792"/>
      <c r="J186" s="3742"/>
    </row>
    <row r="187" spans="2:10" ht="18" hidden="1" customHeight="1" outlineLevel="1" x14ac:dyDescent="0.2">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
      <c r="B192" s="2829" t="s">
        <v>200</v>
      </c>
      <c r="C192" s="2828"/>
      <c r="D192" s="2766"/>
      <c r="E192" s="2766"/>
      <c r="F192" s="2767"/>
      <c r="G192" s="2767"/>
      <c r="H192" s="2767"/>
      <c r="I192" s="2792"/>
      <c r="J192" s="3746"/>
    </row>
    <row r="193" spans="2:10" ht="18" hidden="1" customHeight="1" outlineLevel="1" x14ac:dyDescent="0.2">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25">
      <c r="B196" s="909" t="s">
        <v>1180</v>
      </c>
      <c r="C196" s="2826"/>
      <c r="D196" s="2787"/>
      <c r="E196" s="2788"/>
      <c r="F196" s="2789"/>
      <c r="G196" s="2787"/>
      <c r="H196" s="2819" t="s">
        <v>2238</v>
      </c>
      <c r="I196" s="2815" t="s">
        <v>2154</v>
      </c>
      <c r="J196" s="3741" t="s">
        <v>2154</v>
      </c>
    </row>
    <row r="197" spans="2:10" ht="18" hidden="1" customHeight="1" outlineLevel="1" x14ac:dyDescent="0.2">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
      <c r="B198" s="2829" t="s">
        <v>200</v>
      </c>
      <c r="C198" s="2828"/>
      <c r="D198" s="2792"/>
      <c r="E198" s="2792"/>
      <c r="F198" s="2792"/>
      <c r="G198" s="2792"/>
      <c r="H198" s="2792"/>
      <c r="I198" s="2792"/>
      <c r="J198" s="3742"/>
    </row>
    <row r="199" spans="2:10" ht="18" hidden="1" customHeight="1" outlineLevel="1" x14ac:dyDescent="0.2">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
      <c r="B204" s="2829" t="s">
        <v>200</v>
      </c>
      <c r="C204" s="2828"/>
      <c r="D204" s="2766"/>
      <c r="E204" s="2766"/>
      <c r="F204" s="2767"/>
      <c r="G204" s="2767"/>
      <c r="H204" s="2767"/>
      <c r="I204" s="2767"/>
      <c r="J204" s="3746"/>
    </row>
    <row r="205" spans="2:10" ht="18" hidden="1" customHeight="1" outlineLevel="1" x14ac:dyDescent="0.2">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
      <c r="B208" s="2829" t="s">
        <v>200</v>
      </c>
      <c r="C208" s="2828"/>
      <c r="D208" s="2766"/>
      <c r="E208" s="2766"/>
      <c r="F208" s="2767"/>
      <c r="G208" s="2767"/>
      <c r="H208" s="2767"/>
      <c r="I208" s="2767"/>
      <c r="J208" s="3746"/>
    </row>
    <row r="209" spans="2:10" ht="18" hidden="1" customHeight="1" outlineLevel="1" collapsed="1" x14ac:dyDescent="0.2">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
      <c r="B211" s="2829" t="s">
        <v>200</v>
      </c>
      <c r="C211" s="2828"/>
      <c r="D211" s="2792"/>
      <c r="E211" s="2792"/>
      <c r="F211" s="2792"/>
      <c r="G211" s="2792"/>
      <c r="H211" s="2792"/>
      <c r="I211" s="2792"/>
      <c r="J211" s="3742"/>
    </row>
    <row r="212" spans="2:10" ht="18" hidden="1" customHeight="1" outlineLevel="2" x14ac:dyDescent="0.2">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
      <c r="B217" s="2829" t="s">
        <v>200</v>
      </c>
      <c r="C217" s="2828"/>
      <c r="D217" s="2766"/>
      <c r="E217" s="2766"/>
      <c r="F217" s="2767"/>
      <c r="G217" s="2767"/>
      <c r="H217" s="2767"/>
      <c r="I217" s="2767"/>
      <c r="J217" s="3746"/>
    </row>
    <row r="218" spans="2:10" ht="18" hidden="1" customHeight="1" outlineLevel="2" x14ac:dyDescent="0.2">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
      <c r="B223" s="2829" t="s">
        <v>200</v>
      </c>
      <c r="C223" s="2828"/>
      <c r="D223" s="2792"/>
      <c r="E223" s="2792"/>
      <c r="F223" s="2792"/>
      <c r="G223" s="2792"/>
      <c r="H223" s="2792"/>
      <c r="I223" s="2792"/>
      <c r="J223" s="3742"/>
    </row>
    <row r="224" spans="2:10" ht="18" hidden="1" customHeight="1" outlineLevel="2" x14ac:dyDescent="0.2">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
      <c r="B229" s="2829" t="s">
        <v>200</v>
      </c>
      <c r="C229" s="2828"/>
      <c r="D229" s="2766"/>
      <c r="E229" s="2766"/>
      <c r="F229" s="2767"/>
      <c r="G229" s="2767"/>
      <c r="H229" s="2767"/>
      <c r="I229" s="2767"/>
      <c r="J229" s="3746"/>
    </row>
    <row r="230" spans="2:10" ht="18" hidden="1" customHeight="1" outlineLevel="2" x14ac:dyDescent="0.2">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
      <c r="B235" s="2829" t="s">
        <v>200</v>
      </c>
      <c r="C235" s="2828"/>
      <c r="D235" s="2792"/>
      <c r="E235" s="2792"/>
      <c r="F235" s="2792"/>
      <c r="G235" s="2792"/>
      <c r="H235" s="2792"/>
      <c r="I235" s="2792"/>
      <c r="J235" s="3742"/>
    </row>
    <row r="236" spans="2:10" ht="18" hidden="1" customHeight="1" outlineLevel="2" x14ac:dyDescent="0.2">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
      <c r="B241" s="2829" t="s">
        <v>200</v>
      </c>
      <c r="C241" s="2828"/>
      <c r="D241" s="2766"/>
      <c r="E241" s="2766"/>
      <c r="F241" s="2767"/>
      <c r="G241" s="2767"/>
      <c r="H241" s="2767"/>
      <c r="I241" s="2767"/>
      <c r="J241" s="3746"/>
    </row>
    <row r="242" spans="2:10" ht="18" hidden="1" customHeight="1" outlineLevel="2" x14ac:dyDescent="0.2">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
      <c r="B247" s="2829" t="s">
        <v>200</v>
      </c>
      <c r="C247" s="2828"/>
      <c r="D247" s="2792"/>
      <c r="E247" s="2792"/>
      <c r="F247" s="2792"/>
      <c r="G247" s="2792"/>
      <c r="H247" s="2792"/>
      <c r="I247" s="2792"/>
      <c r="J247" s="3742"/>
    </row>
    <row r="248" spans="2:10" ht="18" hidden="1" customHeight="1" outlineLevel="2" x14ac:dyDescent="0.2">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
      <c r="B253" s="2829" t="s">
        <v>200</v>
      </c>
      <c r="C253" s="2828"/>
      <c r="D253" s="2766"/>
      <c r="E253" s="2766"/>
      <c r="F253" s="2767"/>
      <c r="G253" s="2767"/>
      <c r="H253" s="2767"/>
      <c r="I253" s="2767"/>
      <c r="J253" s="3746"/>
    </row>
    <row r="254" spans="2:10" ht="18" hidden="1" customHeight="1" outlineLevel="2" x14ac:dyDescent="0.2">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25">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
      <c r="B259" s="2829" t="s">
        <v>200</v>
      </c>
      <c r="C259" s="2828"/>
      <c r="D259" s="2792"/>
      <c r="E259" s="2792"/>
      <c r="F259" s="2792"/>
      <c r="G259" s="2792"/>
      <c r="H259" s="2792"/>
      <c r="I259" s="2792"/>
      <c r="J259" s="3742"/>
    </row>
    <row r="260" spans="2:10" ht="18" hidden="1" customHeight="1" outlineLevel="2" x14ac:dyDescent="0.2">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
      <c r="B265" s="2829" t="s">
        <v>200</v>
      </c>
      <c r="C265" s="2828"/>
      <c r="D265" s="2766"/>
      <c r="E265" s="2766"/>
      <c r="F265" s="2767"/>
      <c r="G265" s="2767"/>
      <c r="H265" s="2767"/>
      <c r="I265" s="2767"/>
      <c r="J265" s="3746"/>
    </row>
    <row r="266" spans="2:10" ht="18" hidden="1" customHeight="1" outlineLevel="2" x14ac:dyDescent="0.2">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25">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
      <c r="B269" s="1440" t="s">
        <v>1186</v>
      </c>
      <c r="C269" s="2840"/>
      <c r="D269" s="2804"/>
      <c r="E269" s="2805"/>
      <c r="F269" s="2806"/>
      <c r="G269" s="2807"/>
      <c r="H269" s="2818" t="s">
        <v>2238</v>
      </c>
      <c r="I269" s="2813" t="s">
        <v>2154</v>
      </c>
      <c r="J269" s="3748">
        <f>SUM(J270,J320)</f>
        <v>69.997539682867654</v>
      </c>
    </row>
    <row r="270" spans="2:10" ht="18" customHeight="1" x14ac:dyDescent="0.2">
      <c r="B270" s="2827" t="s">
        <v>1187</v>
      </c>
      <c r="C270" s="2828"/>
      <c r="D270" s="2808"/>
      <c r="E270" s="2809"/>
      <c r="F270" s="2810"/>
      <c r="G270" s="2811"/>
      <c r="H270" s="2819" t="s">
        <v>2154</v>
      </c>
      <c r="I270" s="2815" t="s">
        <v>2154</v>
      </c>
      <c r="J270" s="3741">
        <f>J277</f>
        <v>69.014443539362361</v>
      </c>
    </row>
    <row r="271" spans="2:10" ht="18" customHeight="1" outlineLevel="1" x14ac:dyDescent="0.2">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
      <c r="B272" s="2829" t="s">
        <v>200</v>
      </c>
      <c r="C272" s="2833"/>
      <c r="D272" s="3728"/>
      <c r="E272" s="2766"/>
      <c r="F272" s="2766"/>
      <c r="G272" s="2766"/>
      <c r="H272" s="2766"/>
      <c r="I272" s="2766"/>
      <c r="J272" s="3749"/>
    </row>
    <row r="273" spans="2:10" ht="18" customHeight="1" outlineLevel="1" x14ac:dyDescent="0.2">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
      <c r="B277" s="2827" t="s">
        <v>1162</v>
      </c>
      <c r="C277" s="2841"/>
      <c r="D277" s="3727">
        <f t="shared" ref="D277" si="0">D302</f>
        <v>663.06216096557489</v>
      </c>
      <c r="E277" s="2755" t="s">
        <v>2147</v>
      </c>
      <c r="F277" s="2753" t="s">
        <v>2147</v>
      </c>
      <c r="G277" s="3735">
        <f>IF(SUM(D277)=0,"NA",J277*1000/D277)</f>
        <v>104.08442466217805</v>
      </c>
      <c r="H277" s="2778" t="str">
        <f t="shared" ref="H277:J277" si="1">H302</f>
        <v>NE</v>
      </c>
      <c r="I277" s="2777" t="str">
        <f t="shared" si="1"/>
        <v>NE</v>
      </c>
      <c r="J277" s="3734">
        <f t="shared" si="1"/>
        <v>69.014443539362361</v>
      </c>
    </row>
    <row r="278" spans="2:10" ht="18" customHeight="1" outlineLevel="1" x14ac:dyDescent="0.2">
      <c r="B278" s="2829" t="s">
        <v>200</v>
      </c>
      <c r="C278" s="2833"/>
      <c r="D278" s="3728"/>
      <c r="E278" s="2766"/>
      <c r="F278" s="2766"/>
      <c r="G278" s="3736"/>
      <c r="H278" s="2766"/>
      <c r="I278" s="2766"/>
      <c r="J278" s="3749"/>
    </row>
    <row r="279" spans="2:10" ht="18" customHeight="1" outlineLevel="1" x14ac:dyDescent="0.2">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
      <c r="B281" s="2844" t="str">
        <f>B306</f>
        <v>Reservoirs</v>
      </c>
      <c r="C281" s="2835" t="str">
        <f t="shared" ref="C281:G282" si="2">C306</f>
        <v>Established Reservoirs</v>
      </c>
      <c r="D281" s="3729">
        <f t="shared" si="2"/>
        <v>362.36706939955462</v>
      </c>
      <c r="E281" s="2755" t="str">
        <f t="shared" si="2"/>
        <v>NA</v>
      </c>
      <c r="F281" s="2753" t="str">
        <f t="shared" si="2"/>
        <v>NA</v>
      </c>
      <c r="G281" s="3735">
        <f t="shared" si="2"/>
        <v>121.30858332702383</v>
      </c>
      <c r="H281" s="2780" t="str">
        <f t="shared" ref="H281" si="3">H306</f>
        <v>NA</v>
      </c>
      <c r="I281" s="2758" t="str">
        <f t="shared" ref="I281:J281" si="4">I306</f>
        <v>NA</v>
      </c>
      <c r="J281" s="3744">
        <f t="shared" si="4"/>
        <v>43.958235833225302</v>
      </c>
    </row>
    <row r="282" spans="2:10" ht="18" customHeight="1" outlineLevel="1" x14ac:dyDescent="0.2">
      <c r="B282" s="2847" t="str">
        <f>B307</f>
        <v>Other Constructed Water Bodies</v>
      </c>
      <c r="C282" s="2835" t="str">
        <f t="shared" si="2"/>
        <v>Other Constructed Water Bodies</v>
      </c>
      <c r="D282" s="3729">
        <f t="shared" si="2"/>
        <v>300.69509156602027</v>
      </c>
      <c r="E282" s="2755" t="str">
        <f t="shared" si="2"/>
        <v>NA</v>
      </c>
      <c r="F282" s="2753" t="str">
        <f t="shared" si="2"/>
        <v>NA</v>
      </c>
      <c r="G282" s="3735">
        <f t="shared" si="2"/>
        <v>83.327624590226279</v>
      </c>
      <c r="H282" s="2845" t="str">
        <f t="shared" ref="H282" si="5">H307</f>
        <v>NA</v>
      </c>
      <c r="I282" s="2846" t="str">
        <f t="shared" ref="I282:J282" si="6">I307</f>
        <v>NA</v>
      </c>
      <c r="J282" s="3744">
        <f t="shared" si="6"/>
        <v>25.056207706137055</v>
      </c>
    </row>
    <row r="283" spans="2:10" ht="18" customHeight="1" outlineLevel="1" collapsed="1" x14ac:dyDescent="0.2">
      <c r="B283" s="2573" t="s">
        <v>1188</v>
      </c>
      <c r="C283" s="2828"/>
      <c r="D283" s="3731"/>
      <c r="E283" s="2809"/>
      <c r="F283" s="2810"/>
      <c r="G283" s="3738"/>
      <c r="H283" s="2819" t="s">
        <v>2146</v>
      </c>
      <c r="I283" s="2815" t="s">
        <v>2146</v>
      </c>
      <c r="J283" s="3741" t="s">
        <v>2146</v>
      </c>
    </row>
    <row r="284" spans="2:10" ht="18" hidden="1" customHeight="1" outlineLevel="2" x14ac:dyDescent="0.2">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
      <c r="B285" s="2829" t="s">
        <v>200</v>
      </c>
      <c r="C285" s="2833"/>
      <c r="D285" s="3728"/>
      <c r="E285" s="2766"/>
      <c r="F285" s="2766"/>
      <c r="G285" s="3736"/>
      <c r="H285" s="2766"/>
      <c r="I285" s="2766"/>
      <c r="J285" s="3749"/>
    </row>
    <row r="286" spans="2:10" ht="18" hidden="1" customHeight="1" outlineLevel="2" x14ac:dyDescent="0.2">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
      <c r="B291" s="2829" t="s">
        <v>200</v>
      </c>
      <c r="C291" s="2833"/>
      <c r="D291" s="3728"/>
      <c r="E291" s="2766"/>
      <c r="F291" s="2766"/>
      <c r="G291" s="3736"/>
      <c r="H291" s="2766"/>
      <c r="I291" s="2766"/>
      <c r="J291" s="3749"/>
    </row>
    <row r="292" spans="2:10" ht="18" hidden="1" customHeight="1" outlineLevel="2" x14ac:dyDescent="0.2">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
      <c r="B295" s="2573" t="s">
        <v>1189</v>
      </c>
      <c r="C295" s="2828"/>
      <c r="D295" s="3731"/>
      <c r="E295" s="2809"/>
      <c r="F295" s="2810"/>
      <c r="G295" s="3738"/>
      <c r="H295" s="2819" t="s">
        <v>2154</v>
      </c>
      <c r="I295" s="2815" t="s">
        <v>2154</v>
      </c>
      <c r="J295" s="3741">
        <f>J302</f>
        <v>69.014443539362361</v>
      </c>
    </row>
    <row r="296" spans="2:10" ht="18" customHeight="1" outlineLevel="2" x14ac:dyDescent="0.2">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
      <c r="B297" s="2829" t="s">
        <v>200</v>
      </c>
      <c r="C297" s="2833"/>
      <c r="D297" s="3728"/>
      <c r="E297" s="2766"/>
      <c r="F297" s="2766"/>
      <c r="G297" s="3736"/>
      <c r="H297" s="2766"/>
      <c r="I297" s="2766"/>
      <c r="J297" s="3749"/>
    </row>
    <row r="298" spans="2:10" ht="18" customHeight="1" outlineLevel="2" x14ac:dyDescent="0.2">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
      <c r="B302" s="2827" t="s">
        <v>1162</v>
      </c>
      <c r="C302" s="2841"/>
      <c r="D302" s="3727">
        <f>IF(SUM(D306:D307)=0,"NO",SUM(D306:D307))</f>
        <v>663.06216096557489</v>
      </c>
      <c r="E302" s="2755" t="s">
        <v>2147</v>
      </c>
      <c r="F302" s="2753" t="s">
        <v>2147</v>
      </c>
      <c r="G302" s="3735">
        <f>IF(SUM(D302)=0,"NA",J302*1000/D302)</f>
        <v>104.08442466217805</v>
      </c>
      <c r="H302" s="2778" t="s">
        <v>2154</v>
      </c>
      <c r="I302" s="2777" t="s">
        <v>2154</v>
      </c>
      <c r="J302" s="3734">
        <f t="shared" ref="J302" si="7">IF(SUM(J306:J307)=0,"NO",SUM(J306:J307))</f>
        <v>69.014443539362361</v>
      </c>
    </row>
    <row r="303" spans="2:10" ht="18" customHeight="1" outlineLevel="2" x14ac:dyDescent="0.2">
      <c r="B303" s="2829" t="s">
        <v>200</v>
      </c>
      <c r="C303" s="2833"/>
      <c r="D303" s="3728"/>
      <c r="E303" s="2766"/>
      <c r="F303" s="2766"/>
      <c r="G303" s="3736"/>
      <c r="H303" s="2766"/>
      <c r="I303" s="2766"/>
      <c r="J303" s="3749"/>
    </row>
    <row r="304" spans="2:10" ht="18" customHeight="1" outlineLevel="2" x14ac:dyDescent="0.2">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
      <c r="B306" s="2844" t="s">
        <v>2230</v>
      </c>
      <c r="C306" s="2835" t="s">
        <v>2246</v>
      </c>
      <c r="D306" s="3732">
        <v>362.36706939955462</v>
      </c>
      <c r="E306" s="2755" t="s">
        <v>2147</v>
      </c>
      <c r="F306" s="2753" t="s">
        <v>2147</v>
      </c>
      <c r="G306" s="3735">
        <f>IF(SUM(D306)=0,"NA",J306*1000/D306)</f>
        <v>121.30858332702383</v>
      </c>
      <c r="H306" s="2780" t="s">
        <v>2147</v>
      </c>
      <c r="I306" s="2758" t="s">
        <v>2147</v>
      </c>
      <c r="J306" s="3744">
        <v>43.958235833225302</v>
      </c>
    </row>
    <row r="307" spans="2:10" ht="18" customHeight="1" outlineLevel="2" x14ac:dyDescent="0.2">
      <c r="B307" s="2847" t="s">
        <v>2245</v>
      </c>
      <c r="C307" s="2835" t="s">
        <v>2245</v>
      </c>
      <c r="D307" s="3732">
        <v>300.69509156602027</v>
      </c>
      <c r="E307" s="2755" t="s">
        <v>2147</v>
      </c>
      <c r="F307" s="2753" t="s">
        <v>2147</v>
      </c>
      <c r="G307" s="3735">
        <f>IF(SUM(D307)=0,"NA",J307*1000/D307)</f>
        <v>83.327624590226279</v>
      </c>
      <c r="H307" s="2780" t="s">
        <v>2147</v>
      </c>
      <c r="I307" s="2758" t="s">
        <v>2147</v>
      </c>
      <c r="J307" s="3744">
        <v>25.056207706137055</v>
      </c>
    </row>
    <row r="308" spans="2:10" ht="18" customHeight="1" outlineLevel="1" collapsed="1" x14ac:dyDescent="0.2">
      <c r="B308" s="2573" t="s">
        <v>1190</v>
      </c>
      <c r="C308" s="2828"/>
      <c r="D308" s="3731"/>
      <c r="E308" s="2809"/>
      <c r="F308" s="2810"/>
      <c r="G308" s="3738"/>
      <c r="H308" s="2778" t="s">
        <v>2154</v>
      </c>
      <c r="I308" s="2777" t="s">
        <v>2154</v>
      </c>
      <c r="J308" s="3734" t="s">
        <v>2154</v>
      </c>
    </row>
    <row r="309" spans="2:10" ht="18" hidden="1" customHeight="1" outlineLevel="2" x14ac:dyDescent="0.2">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
      <c r="B310" s="2829" t="s">
        <v>200</v>
      </c>
      <c r="C310" s="2833"/>
      <c r="D310" s="3728"/>
      <c r="E310" s="2766"/>
      <c r="F310" s="2766"/>
      <c r="G310" s="3736"/>
      <c r="H310" s="2766"/>
      <c r="I310" s="2766"/>
      <c r="J310" s="3749"/>
    </row>
    <row r="311" spans="2:10" ht="18" hidden="1" customHeight="1" outlineLevel="2" x14ac:dyDescent="0.2">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
      <c r="B316" s="2829" t="s">
        <v>200</v>
      </c>
      <c r="C316" s="2833"/>
      <c r="D316" s="3728"/>
      <c r="E316" s="2766"/>
      <c r="F316" s="2766"/>
      <c r="G316" s="3736"/>
      <c r="H316" s="2766"/>
      <c r="I316" s="2766"/>
      <c r="J316" s="3749"/>
    </row>
    <row r="317" spans="2:10" ht="18" hidden="1" customHeight="1" outlineLevel="2" x14ac:dyDescent="0.2">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
      <c r="B320" s="2827" t="s">
        <v>1191</v>
      </c>
      <c r="C320" s="2833"/>
      <c r="D320" s="3731"/>
      <c r="E320" s="2809"/>
      <c r="F320" s="2810"/>
      <c r="G320" s="3738"/>
      <c r="H320" s="2819" t="str">
        <f>H327</f>
        <v>IE</v>
      </c>
      <c r="I320" s="2815" t="s">
        <v>2154</v>
      </c>
      <c r="J320" s="3741">
        <f>J327</f>
        <v>0.98309614350529584</v>
      </c>
    </row>
    <row r="321" spans="2:10" ht="18" customHeight="1" outlineLevel="1" x14ac:dyDescent="0.2">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
      <c r="B322" s="2829" t="s">
        <v>200</v>
      </c>
      <c r="C322" s="2833"/>
      <c r="D322" s="3728"/>
      <c r="E322" s="2766"/>
      <c r="F322" s="2766"/>
      <c r="G322" s="3736"/>
      <c r="H322" s="2766"/>
      <c r="I322" s="2766"/>
      <c r="J322" s="3749"/>
    </row>
    <row r="323" spans="2:10" ht="18" customHeight="1" outlineLevel="1" x14ac:dyDescent="0.2">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
      <c r="B327" s="2827" t="s">
        <v>1162</v>
      </c>
      <c r="C327" s="2841"/>
      <c r="D327" s="3727">
        <f>D331</f>
        <v>4.2736954202956987</v>
      </c>
      <c r="E327" s="2776" t="str">
        <f t="shared" ref="E327:J327" si="8">E331</f>
        <v>NA</v>
      </c>
      <c r="F327" s="2777" t="str">
        <f t="shared" si="8"/>
        <v>NA</v>
      </c>
      <c r="G327" s="3737">
        <f t="shared" si="8"/>
        <v>230.03420852983365</v>
      </c>
      <c r="H327" s="2778" t="str">
        <f t="shared" si="8"/>
        <v>IE</v>
      </c>
      <c r="I327" s="2777" t="str">
        <f t="shared" si="8"/>
        <v>NA</v>
      </c>
      <c r="J327" s="3734">
        <f t="shared" si="8"/>
        <v>0.98309614350529584</v>
      </c>
    </row>
    <row r="328" spans="2:10" ht="18" customHeight="1" outlineLevel="1" x14ac:dyDescent="0.2">
      <c r="B328" s="2829" t="s">
        <v>200</v>
      </c>
      <c r="C328" s="2833"/>
      <c r="D328" s="3728"/>
      <c r="E328" s="2766"/>
      <c r="F328" s="2766"/>
      <c r="G328" s="3736"/>
      <c r="H328" s="2766"/>
      <c r="I328" s="2766"/>
      <c r="J328" s="3749"/>
    </row>
    <row r="329" spans="2:10" ht="18" customHeight="1" outlineLevel="1" x14ac:dyDescent="0.2">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
      <c r="B331" s="2844" t="str">
        <f>B415</f>
        <v>Reservoirs</v>
      </c>
      <c r="C331" s="2835" t="str">
        <f t="shared" ref="C331:J331" si="9">C415</f>
        <v>New Reservoirs</v>
      </c>
      <c r="D331" s="3729">
        <f t="shared" si="9"/>
        <v>4.2736954202956987</v>
      </c>
      <c r="E331" s="2755" t="str">
        <f t="shared" si="9"/>
        <v>NA</v>
      </c>
      <c r="F331" s="2753" t="str">
        <f t="shared" si="9"/>
        <v>NA</v>
      </c>
      <c r="G331" s="3735">
        <f t="shared" si="9"/>
        <v>230.03420852983365</v>
      </c>
      <c r="H331" s="2765" t="str">
        <f t="shared" si="9"/>
        <v>IE</v>
      </c>
      <c r="I331" s="2758" t="str">
        <f t="shared" si="9"/>
        <v>NA</v>
      </c>
      <c r="J331" s="3744">
        <f t="shared" si="9"/>
        <v>0.98309614350529584</v>
      </c>
    </row>
    <row r="332" spans="2:10" ht="18" customHeight="1" outlineLevel="1" collapsed="1" x14ac:dyDescent="0.2">
      <c r="B332" s="2573" t="s">
        <v>1192</v>
      </c>
      <c r="C332" s="2828"/>
      <c r="D332" s="3731"/>
      <c r="E332" s="2809"/>
      <c r="F332" s="2810"/>
      <c r="G332" s="3738"/>
      <c r="H332" s="2819" t="s">
        <v>2146</v>
      </c>
      <c r="I332" s="2815" t="s">
        <v>2146</v>
      </c>
      <c r="J332" s="3741" t="s">
        <v>2146</v>
      </c>
    </row>
    <row r="333" spans="2:10" ht="18" hidden="1" customHeight="1" outlineLevel="2" x14ac:dyDescent="0.2">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
      <c r="B334" s="2829" t="s">
        <v>200</v>
      </c>
      <c r="C334" s="2833"/>
      <c r="D334" s="3728"/>
      <c r="E334" s="2766"/>
      <c r="F334" s="2766"/>
      <c r="G334" s="3736"/>
      <c r="H334" s="2766"/>
      <c r="I334" s="2766"/>
      <c r="J334" s="3749"/>
    </row>
    <row r="335" spans="2:10" ht="18" hidden="1" customHeight="1" outlineLevel="2" x14ac:dyDescent="0.2">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
      <c r="B340" s="2829" t="s">
        <v>200</v>
      </c>
      <c r="C340" s="2833"/>
      <c r="D340" s="3728"/>
      <c r="E340" s="2766"/>
      <c r="F340" s="2766"/>
      <c r="G340" s="3736"/>
      <c r="H340" s="2766"/>
      <c r="I340" s="2766"/>
      <c r="J340" s="3749"/>
    </row>
    <row r="341" spans="2:10" ht="18" hidden="1" customHeight="1" outlineLevel="2" x14ac:dyDescent="0.2">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
      <c r="B344" s="2842" t="s">
        <v>1193</v>
      </c>
      <c r="C344" s="2828"/>
      <c r="D344" s="3731"/>
      <c r="E344" s="2809"/>
      <c r="F344" s="2810"/>
      <c r="G344" s="3738"/>
      <c r="H344" s="2819" t="s">
        <v>2146</v>
      </c>
      <c r="I344" s="2815" t="s">
        <v>2146</v>
      </c>
      <c r="J344" s="3741" t="s">
        <v>2146</v>
      </c>
    </row>
    <row r="345" spans="2:10" ht="18" hidden="1" customHeight="1" outlineLevel="3" x14ac:dyDescent="0.2">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
      <c r="B346" s="2829" t="s">
        <v>200</v>
      </c>
      <c r="C346" s="2833"/>
      <c r="D346" s="3728"/>
      <c r="E346" s="2766"/>
      <c r="F346" s="2766"/>
      <c r="G346" s="3736"/>
      <c r="H346" s="2766"/>
      <c r="I346" s="2766"/>
      <c r="J346" s="3749"/>
    </row>
    <row r="347" spans="2:10" ht="18" hidden="1" customHeight="1" outlineLevel="3" x14ac:dyDescent="0.2">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
      <c r="B352" s="2829" t="s">
        <v>200</v>
      </c>
      <c r="C352" s="2833"/>
      <c r="D352" s="3728"/>
      <c r="E352" s="2766"/>
      <c r="F352" s="2766"/>
      <c r="G352" s="3736"/>
      <c r="H352" s="2766"/>
      <c r="I352" s="2766"/>
      <c r="J352" s="3749"/>
    </row>
    <row r="353" spans="2:10" ht="18" hidden="1" customHeight="1" outlineLevel="3" x14ac:dyDescent="0.2">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
      <c r="B356" s="2842" t="s">
        <v>1194</v>
      </c>
      <c r="C356" s="2828"/>
      <c r="D356" s="3731"/>
      <c r="E356" s="2809"/>
      <c r="F356" s="2810"/>
      <c r="G356" s="3738"/>
      <c r="H356" s="2819" t="s">
        <v>2146</v>
      </c>
      <c r="I356" s="2815" t="s">
        <v>2146</v>
      </c>
      <c r="J356" s="3741" t="s">
        <v>2146</v>
      </c>
    </row>
    <row r="357" spans="2:10" ht="18" hidden="1" customHeight="1" outlineLevel="3" x14ac:dyDescent="0.2">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
      <c r="B358" s="2829" t="s">
        <v>200</v>
      </c>
      <c r="C358" s="2833"/>
      <c r="D358" s="3728"/>
      <c r="E358" s="2766"/>
      <c r="F358" s="2766"/>
      <c r="G358" s="3736"/>
      <c r="H358" s="2766"/>
      <c r="I358" s="2766"/>
      <c r="J358" s="3749"/>
    </row>
    <row r="359" spans="2:10" ht="18" hidden="1" customHeight="1" outlineLevel="3" x14ac:dyDescent="0.2">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
      <c r="B364" s="2829" t="s">
        <v>200</v>
      </c>
      <c r="C364" s="2833"/>
      <c r="D364" s="3728"/>
      <c r="E364" s="2766"/>
      <c r="F364" s="2766"/>
      <c r="G364" s="3736"/>
      <c r="H364" s="2766"/>
      <c r="I364" s="2766"/>
      <c r="J364" s="3749"/>
    </row>
    <row r="365" spans="2:10" ht="18" hidden="1" customHeight="1" outlineLevel="3" x14ac:dyDescent="0.2">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
      <c r="B368" s="2842" t="s">
        <v>1195</v>
      </c>
      <c r="C368" s="2828"/>
      <c r="D368" s="3731"/>
      <c r="E368" s="2809"/>
      <c r="F368" s="2810"/>
      <c r="G368" s="3738"/>
      <c r="H368" s="2819" t="s">
        <v>2146</v>
      </c>
      <c r="I368" s="2815" t="s">
        <v>2146</v>
      </c>
      <c r="J368" s="3741" t="s">
        <v>2146</v>
      </c>
    </row>
    <row r="369" spans="2:10" ht="18" hidden="1" customHeight="1" outlineLevel="3" x14ac:dyDescent="0.2">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
      <c r="B370" s="2829" t="s">
        <v>200</v>
      </c>
      <c r="C370" s="2833"/>
      <c r="D370" s="3728"/>
      <c r="E370" s="2766"/>
      <c r="F370" s="2766"/>
      <c r="G370" s="3736"/>
      <c r="H370" s="2766"/>
      <c r="I370" s="2766"/>
      <c r="J370" s="3749"/>
    </row>
    <row r="371" spans="2:10" ht="18" hidden="1" customHeight="1" outlineLevel="3" x14ac:dyDescent="0.2">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
      <c r="B376" s="2829" t="s">
        <v>200</v>
      </c>
      <c r="C376" s="2833"/>
      <c r="D376" s="3728"/>
      <c r="E376" s="2766"/>
      <c r="F376" s="2766"/>
      <c r="G376" s="3736"/>
      <c r="H376" s="2766"/>
      <c r="I376" s="2766"/>
      <c r="J376" s="3749"/>
    </row>
    <row r="377" spans="2:10" ht="18" hidden="1" customHeight="1" outlineLevel="3" x14ac:dyDescent="0.2">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
      <c r="B380" s="2842" t="s">
        <v>1196</v>
      </c>
      <c r="C380" s="2828"/>
      <c r="D380" s="3731"/>
      <c r="E380" s="2809"/>
      <c r="F380" s="2810"/>
      <c r="G380" s="3738"/>
      <c r="H380" s="2819" t="s">
        <v>2146</v>
      </c>
      <c r="I380" s="2815" t="s">
        <v>2146</v>
      </c>
      <c r="J380" s="3741" t="s">
        <v>2146</v>
      </c>
    </row>
    <row r="381" spans="2:10" ht="18" hidden="1" customHeight="1" outlineLevel="3" x14ac:dyDescent="0.2">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
      <c r="B382" s="2829" t="s">
        <v>200</v>
      </c>
      <c r="C382" s="2833"/>
      <c r="D382" s="3728"/>
      <c r="E382" s="2766"/>
      <c r="F382" s="2766"/>
      <c r="G382" s="3736"/>
      <c r="H382" s="2766"/>
      <c r="I382" s="2766"/>
      <c r="J382" s="3749"/>
    </row>
    <row r="383" spans="2:10" ht="18" hidden="1" customHeight="1" outlineLevel="3" x14ac:dyDescent="0.2">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
      <c r="B388" s="2829" t="s">
        <v>200</v>
      </c>
      <c r="C388" s="2833"/>
      <c r="D388" s="3728"/>
      <c r="E388" s="2766"/>
      <c r="F388" s="2766"/>
      <c r="G388" s="3736"/>
      <c r="H388" s="2766"/>
      <c r="I388" s="2766"/>
      <c r="J388" s="3749"/>
    </row>
    <row r="389" spans="2:10" ht="18" hidden="1" customHeight="1" outlineLevel="3" x14ac:dyDescent="0.2">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
      <c r="B392" s="2842" t="s">
        <v>1197</v>
      </c>
      <c r="C392" s="2828"/>
      <c r="D392" s="3731"/>
      <c r="E392" s="2809"/>
      <c r="F392" s="2810"/>
      <c r="G392" s="3738"/>
      <c r="H392" s="2819" t="s">
        <v>2146</v>
      </c>
      <c r="I392" s="2815" t="s">
        <v>2146</v>
      </c>
      <c r="J392" s="3741" t="s">
        <v>2146</v>
      </c>
    </row>
    <row r="393" spans="2:10" ht="18" hidden="1" customHeight="1" outlineLevel="3" x14ac:dyDescent="0.2">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
      <c r="B394" s="2829" t="s">
        <v>200</v>
      </c>
      <c r="C394" s="2833"/>
      <c r="D394" s="3728"/>
      <c r="E394" s="2766"/>
      <c r="F394" s="2766"/>
      <c r="G394" s="3736"/>
      <c r="H394" s="2766"/>
      <c r="I394" s="2766"/>
      <c r="J394" s="3749"/>
    </row>
    <row r="395" spans="2:10" ht="18" hidden="1" customHeight="1" outlineLevel="3" x14ac:dyDescent="0.2">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
      <c r="B400" s="2829" t="s">
        <v>200</v>
      </c>
      <c r="C400" s="2833"/>
      <c r="D400" s="3728"/>
      <c r="E400" s="2766"/>
      <c r="F400" s="2766"/>
      <c r="G400" s="3736"/>
      <c r="H400" s="2766"/>
      <c r="I400" s="2766"/>
      <c r="J400" s="3749"/>
    </row>
    <row r="401" spans="2:10" ht="18" hidden="1" customHeight="1" outlineLevel="3" x14ac:dyDescent="0.2">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
      <c r="B404" s="2573" t="s">
        <v>1198</v>
      </c>
      <c r="C404" s="2828"/>
      <c r="D404" s="3731"/>
      <c r="E404" s="2809"/>
      <c r="F404" s="2810"/>
      <c r="G404" s="3738"/>
      <c r="H404" s="2819" t="str">
        <f>H411</f>
        <v>IE</v>
      </c>
      <c r="I404" s="2815" t="s">
        <v>2154</v>
      </c>
      <c r="J404" s="3741">
        <f>J411</f>
        <v>0.98309614350529584</v>
      </c>
    </row>
    <row r="405" spans="2:10" ht="18" customHeight="1" outlineLevel="2" x14ac:dyDescent="0.2">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
      <c r="B406" s="2829" t="s">
        <v>200</v>
      </c>
      <c r="C406" s="2833"/>
      <c r="D406" s="3728"/>
      <c r="E406" s="2766"/>
      <c r="F406" s="2766"/>
      <c r="G406" s="3736"/>
      <c r="H406" s="2766"/>
      <c r="I406" s="2766"/>
      <c r="J406" s="3749"/>
    </row>
    <row r="407" spans="2:10" ht="18" customHeight="1" outlineLevel="2" x14ac:dyDescent="0.2">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
      <c r="B411" s="2827" t="s">
        <v>1162</v>
      </c>
      <c r="C411" s="2841"/>
      <c r="D411" s="3727">
        <f>D415</f>
        <v>4.2736954202956987</v>
      </c>
      <c r="E411" s="2776" t="str">
        <f t="shared" ref="E411:J411" si="10">E415</f>
        <v>NA</v>
      </c>
      <c r="F411" s="2777" t="str">
        <f t="shared" si="10"/>
        <v>NA</v>
      </c>
      <c r="G411" s="3737">
        <f t="shared" si="10"/>
        <v>230.03420852983365</v>
      </c>
      <c r="H411" s="2778" t="str">
        <f t="shared" si="10"/>
        <v>IE</v>
      </c>
      <c r="I411" s="2777" t="str">
        <f t="shared" si="10"/>
        <v>NA</v>
      </c>
      <c r="J411" s="3734">
        <f t="shared" si="10"/>
        <v>0.98309614350529584</v>
      </c>
    </row>
    <row r="412" spans="2:10" ht="18" customHeight="1" outlineLevel="2" x14ac:dyDescent="0.2">
      <c r="B412" s="2829" t="s">
        <v>200</v>
      </c>
      <c r="C412" s="2833"/>
      <c r="D412" s="3728"/>
      <c r="E412" s="2766"/>
      <c r="F412" s="2766"/>
      <c r="G412" s="3736"/>
      <c r="H412" s="2766"/>
      <c r="I412" s="2766"/>
      <c r="J412" s="3749"/>
    </row>
    <row r="413" spans="2:10" ht="18" customHeight="1" outlineLevel="2" x14ac:dyDescent="0.2">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
      <c r="B415" s="2844" t="str">
        <f>B427</f>
        <v>Reservoirs</v>
      </c>
      <c r="C415" s="2835" t="str">
        <f>C427</f>
        <v>New Reservoirs</v>
      </c>
      <c r="D415" s="3729">
        <f>D427</f>
        <v>4.2736954202956987</v>
      </c>
      <c r="E415" s="2755" t="str">
        <f>E427</f>
        <v>NA</v>
      </c>
      <c r="F415" s="2753" t="str">
        <f>F427</f>
        <v>NA</v>
      </c>
      <c r="G415" s="3735">
        <f t="shared" ref="G415:J415" si="11">G427</f>
        <v>230.03420852983365</v>
      </c>
      <c r="H415" s="2780" t="str">
        <f t="shared" si="11"/>
        <v>IE</v>
      </c>
      <c r="I415" s="2758" t="str">
        <f t="shared" si="11"/>
        <v>NA</v>
      </c>
      <c r="J415" s="3744">
        <f t="shared" si="11"/>
        <v>0.98309614350529584</v>
      </c>
    </row>
    <row r="416" spans="2:10" ht="18" customHeight="1" outlineLevel="2" x14ac:dyDescent="0.2">
      <c r="B416" s="2842" t="s">
        <v>1199</v>
      </c>
      <c r="C416" s="2828"/>
      <c r="D416" s="3731"/>
      <c r="E416" s="2809"/>
      <c r="F416" s="2810"/>
      <c r="G416" s="3738"/>
      <c r="H416" s="2819" t="s">
        <v>2154</v>
      </c>
      <c r="I416" s="2815" t="s">
        <v>2154</v>
      </c>
      <c r="J416" s="3741">
        <f>J423</f>
        <v>0.98309614350529584</v>
      </c>
    </row>
    <row r="417" spans="2:10" ht="18" customHeight="1" outlineLevel="3" x14ac:dyDescent="0.2">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
      <c r="B418" s="2829" t="s">
        <v>200</v>
      </c>
      <c r="C418" s="2833"/>
      <c r="D418" s="3728"/>
      <c r="E418" s="2766"/>
      <c r="F418" s="2766"/>
      <c r="G418" s="3736"/>
      <c r="H418" s="2766"/>
      <c r="I418" s="2766"/>
      <c r="J418" s="3749"/>
    </row>
    <row r="419" spans="2:10" ht="18" customHeight="1" outlineLevel="3" x14ac:dyDescent="0.2">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
      <c r="B423" s="2830" t="s">
        <v>1162</v>
      </c>
      <c r="C423" s="2841"/>
      <c r="D423" s="3727">
        <f>D427</f>
        <v>4.2736954202956987</v>
      </c>
      <c r="E423" s="2776" t="str">
        <f t="shared" ref="E423:J423" si="12">E427</f>
        <v>NA</v>
      </c>
      <c r="F423" s="2777" t="str">
        <f t="shared" si="12"/>
        <v>NA</v>
      </c>
      <c r="G423" s="3737">
        <f t="shared" si="12"/>
        <v>230.03420852983365</v>
      </c>
      <c r="H423" s="2778" t="str">
        <f t="shared" si="12"/>
        <v>IE</v>
      </c>
      <c r="I423" s="2777" t="str">
        <f t="shared" si="12"/>
        <v>NA</v>
      </c>
      <c r="J423" s="3734">
        <f t="shared" si="12"/>
        <v>0.98309614350529584</v>
      </c>
    </row>
    <row r="424" spans="2:10" ht="18" customHeight="1" outlineLevel="3" x14ac:dyDescent="0.2">
      <c r="B424" s="2829" t="s">
        <v>200</v>
      </c>
      <c r="C424" s="2833"/>
      <c r="D424" s="3728"/>
      <c r="E424" s="2766"/>
      <c r="F424" s="2766"/>
      <c r="G424" s="3736"/>
      <c r="H424" s="2766"/>
      <c r="I424" s="2766"/>
      <c r="J424" s="3749"/>
    </row>
    <row r="425" spans="2:10" ht="18" customHeight="1" outlineLevel="3" x14ac:dyDescent="0.2">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
      <c r="B427" s="2844" t="s">
        <v>2230</v>
      </c>
      <c r="C427" s="2835" t="s">
        <v>2244</v>
      </c>
      <c r="D427" s="3732">
        <v>4.2736954202956987</v>
      </c>
      <c r="E427" s="2755" t="s">
        <v>2147</v>
      </c>
      <c r="F427" s="2753" t="s">
        <v>2147</v>
      </c>
      <c r="G427" s="3735">
        <f>IF(SUM(D427)=0,"NA",J427*1000/D427)</f>
        <v>230.03420852983365</v>
      </c>
      <c r="H427" s="2780" t="s">
        <v>2153</v>
      </c>
      <c r="I427" s="2758" t="s">
        <v>2147</v>
      </c>
      <c r="J427" s="3744">
        <v>0.98309614350529584</v>
      </c>
    </row>
    <row r="428" spans="2:10" ht="18" customHeight="1" outlineLevel="2" collapsed="1" x14ac:dyDescent="0.2">
      <c r="B428" s="2842" t="s">
        <v>1200</v>
      </c>
      <c r="C428" s="2828"/>
      <c r="D428" s="2808"/>
      <c r="E428" s="2809"/>
      <c r="F428" s="2810"/>
      <c r="G428" s="2811"/>
      <c r="H428" s="2819" t="s">
        <v>2146</v>
      </c>
      <c r="I428" s="2815" t="s">
        <v>2146</v>
      </c>
      <c r="J428" s="2816" t="s">
        <v>2146</v>
      </c>
    </row>
    <row r="429" spans="2:10" ht="18" hidden="1" customHeight="1" outlineLevel="3" x14ac:dyDescent="0.2">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
      <c r="B430" s="2829" t="s">
        <v>200</v>
      </c>
      <c r="C430" s="2833"/>
      <c r="D430" s="2766"/>
      <c r="E430" s="2766"/>
      <c r="F430" s="2766"/>
      <c r="G430" s="2766"/>
      <c r="H430" s="2766"/>
      <c r="I430" s="2766"/>
      <c r="J430" s="2779"/>
    </row>
    <row r="431" spans="2:10" ht="18" hidden="1" customHeight="1" outlineLevel="3" x14ac:dyDescent="0.2">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
      <c r="B436" s="2829" t="s">
        <v>200</v>
      </c>
      <c r="C436" s="2833"/>
      <c r="D436" s="2766"/>
      <c r="E436" s="2766"/>
      <c r="F436" s="2766"/>
      <c r="G436" s="2766"/>
      <c r="H436" s="2766"/>
      <c r="I436" s="2766"/>
      <c r="J436" s="2779"/>
    </row>
    <row r="437" spans="2:10" ht="18" hidden="1" customHeight="1" outlineLevel="3" x14ac:dyDescent="0.2">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
      <c r="B440" s="2842" t="s">
        <v>1201</v>
      </c>
      <c r="C440" s="2828"/>
      <c r="D440" s="2808"/>
      <c r="E440" s="2809"/>
      <c r="F440" s="2810"/>
      <c r="G440" s="2811"/>
      <c r="H440" s="2819" t="s">
        <v>2146</v>
      </c>
      <c r="I440" s="2815" t="s">
        <v>2146</v>
      </c>
      <c r="J440" s="2816" t="s">
        <v>2146</v>
      </c>
    </row>
    <row r="441" spans="2:10" ht="18" hidden="1" customHeight="1" outlineLevel="3" x14ac:dyDescent="0.2">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
      <c r="B442" s="2829" t="s">
        <v>200</v>
      </c>
      <c r="C442" s="2833"/>
      <c r="D442" s="2766"/>
      <c r="E442" s="2766"/>
      <c r="F442" s="2766"/>
      <c r="G442" s="2766"/>
      <c r="H442" s="2766"/>
      <c r="I442" s="2766"/>
      <c r="J442" s="2779"/>
    </row>
    <row r="443" spans="2:10" ht="18" hidden="1" customHeight="1" outlineLevel="3" x14ac:dyDescent="0.2">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
      <c r="B448" s="2829" t="s">
        <v>200</v>
      </c>
      <c r="C448" s="2833"/>
      <c r="D448" s="2766"/>
      <c r="E448" s="2766"/>
      <c r="F448" s="2766"/>
      <c r="G448" s="2766"/>
      <c r="H448" s="2766"/>
      <c r="I448" s="2766"/>
      <c r="J448" s="2779"/>
    </row>
    <row r="449" spans="2:10" ht="18" hidden="1" customHeight="1" outlineLevel="3" x14ac:dyDescent="0.2">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
      <c r="B452" s="2842" t="s">
        <v>1202</v>
      </c>
      <c r="C452" s="2828"/>
      <c r="D452" s="2808"/>
      <c r="E452" s="2809"/>
      <c r="F452" s="2810"/>
      <c r="G452" s="2811"/>
      <c r="H452" s="2819" t="s">
        <v>2146</v>
      </c>
      <c r="I452" s="2815" t="s">
        <v>2146</v>
      </c>
      <c r="J452" s="2816" t="s">
        <v>2146</v>
      </c>
    </row>
    <row r="453" spans="2:10" ht="18" hidden="1" customHeight="1" outlineLevel="3" x14ac:dyDescent="0.2">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
      <c r="B454" s="2829" t="s">
        <v>200</v>
      </c>
      <c r="C454" s="2833"/>
      <c r="D454" s="2766"/>
      <c r="E454" s="2766"/>
      <c r="F454" s="2766"/>
      <c r="G454" s="2766"/>
      <c r="H454" s="2766"/>
      <c r="I454" s="2766"/>
      <c r="J454" s="2779"/>
    </row>
    <row r="455" spans="2:10" ht="18" hidden="1" customHeight="1" outlineLevel="3" x14ac:dyDescent="0.2">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
      <c r="B460" s="2829" t="s">
        <v>200</v>
      </c>
      <c r="C460" s="2833"/>
      <c r="D460" s="2766"/>
      <c r="E460" s="2766"/>
      <c r="F460" s="2766"/>
      <c r="G460" s="2766"/>
      <c r="H460" s="2766"/>
      <c r="I460" s="2766"/>
      <c r="J460" s="2779"/>
    </row>
    <row r="461" spans="2:10" ht="18" hidden="1" customHeight="1" outlineLevel="3" x14ac:dyDescent="0.2">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
      <c r="B464" s="2842" t="s">
        <v>1203</v>
      </c>
      <c r="C464" s="2828"/>
      <c r="D464" s="2808"/>
      <c r="E464" s="2809"/>
      <c r="F464" s="2810"/>
      <c r="G464" s="2811"/>
      <c r="H464" s="2819" t="s">
        <v>2146</v>
      </c>
      <c r="I464" s="2815" t="s">
        <v>2146</v>
      </c>
      <c r="J464" s="2816" t="s">
        <v>2146</v>
      </c>
    </row>
    <row r="465" spans="2:10" ht="18" hidden="1" customHeight="1" outlineLevel="3" x14ac:dyDescent="0.2">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
      <c r="B466" s="2829" t="s">
        <v>200</v>
      </c>
      <c r="C466" s="2833"/>
      <c r="D466" s="2766"/>
      <c r="E466" s="2766"/>
      <c r="F466" s="2766"/>
      <c r="G466" s="2766"/>
      <c r="H466" s="2766"/>
      <c r="I466" s="2766"/>
      <c r="J466" s="2779"/>
    </row>
    <row r="467" spans="2:10" ht="18" hidden="1" customHeight="1" outlineLevel="3" x14ac:dyDescent="0.2">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
      <c r="B472" s="2829" t="s">
        <v>200</v>
      </c>
      <c r="C472" s="2833"/>
      <c r="D472" s="2766"/>
      <c r="E472" s="2766"/>
      <c r="F472" s="2766"/>
      <c r="G472" s="2766"/>
      <c r="H472" s="2766"/>
      <c r="I472" s="2766"/>
      <c r="J472" s="2779"/>
    </row>
    <row r="473" spans="2:10" ht="18" hidden="1" customHeight="1" outlineLevel="3" x14ac:dyDescent="0.2">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25">
      <c r="B476" s="2573" t="s">
        <v>1204</v>
      </c>
      <c r="C476" s="2828"/>
      <c r="D476" s="2808"/>
      <c r="E476" s="2809"/>
      <c r="F476" s="2810"/>
      <c r="G476" s="2811"/>
      <c r="H476" s="2819" t="s">
        <v>2146</v>
      </c>
      <c r="I476" s="2815" t="s">
        <v>2146</v>
      </c>
      <c r="J476" s="2816" t="s">
        <v>2146</v>
      </c>
    </row>
    <row r="477" spans="2:10" ht="18" hidden="1" customHeight="1" outlineLevel="2" x14ac:dyDescent="0.2">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
      <c r="B478" s="2829" t="s">
        <v>200</v>
      </c>
      <c r="C478" s="2833"/>
      <c r="D478" s="2766"/>
      <c r="E478" s="2766"/>
      <c r="F478" s="2766"/>
      <c r="G478" s="2766"/>
      <c r="H478" s="2766"/>
      <c r="I478" s="2766"/>
      <c r="J478" s="2779"/>
    </row>
    <row r="479" spans="2:10" ht="18" hidden="1" customHeight="1" outlineLevel="2" x14ac:dyDescent="0.2">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
      <c r="B484" s="2829" t="s">
        <v>200</v>
      </c>
      <c r="C484" s="2833"/>
      <c r="D484" s="2766"/>
      <c r="E484" s="2766"/>
      <c r="F484" s="2766"/>
      <c r="G484" s="2766"/>
      <c r="H484" s="2766"/>
      <c r="I484" s="2766"/>
      <c r="J484" s="2779"/>
    </row>
    <row r="485" spans="2:10" ht="18" hidden="1" customHeight="1" outlineLevel="2" x14ac:dyDescent="0.2">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
      <c r="B488" s="2842" t="s">
        <v>1205</v>
      </c>
      <c r="C488" s="2828"/>
      <c r="D488" s="2808"/>
      <c r="E488" s="2809"/>
      <c r="F488" s="2810"/>
      <c r="G488" s="2811"/>
      <c r="H488" s="2819" t="s">
        <v>2154</v>
      </c>
      <c r="I488" s="2815" t="s">
        <v>2154</v>
      </c>
      <c r="J488" s="2816" t="s">
        <v>2154</v>
      </c>
    </row>
    <row r="489" spans="2:10" ht="18" hidden="1" customHeight="1" outlineLevel="3" x14ac:dyDescent="0.2">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
      <c r="B490" s="2829" t="s">
        <v>200</v>
      </c>
      <c r="C490" s="2833"/>
      <c r="D490" s="2766"/>
      <c r="E490" s="2766"/>
      <c r="F490" s="2766"/>
      <c r="G490" s="2766"/>
      <c r="H490" s="2766"/>
      <c r="I490" s="2766"/>
      <c r="J490" s="2779"/>
    </row>
    <row r="491" spans="2:10" ht="18" hidden="1" customHeight="1" outlineLevel="3" x14ac:dyDescent="0.2">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
      <c r="B496" s="2829" t="s">
        <v>200</v>
      </c>
      <c r="C496" s="2833"/>
      <c r="D496" s="2766"/>
      <c r="E496" s="2766"/>
      <c r="F496" s="2766"/>
      <c r="G496" s="2766"/>
      <c r="H496" s="2766"/>
      <c r="I496" s="2766"/>
      <c r="J496" s="2779"/>
    </row>
    <row r="497" spans="2:10" ht="18" hidden="1" customHeight="1" outlineLevel="3" x14ac:dyDescent="0.2">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
      <c r="B500" s="2842" t="s">
        <v>1206</v>
      </c>
      <c r="C500" s="2828"/>
      <c r="D500" s="2808"/>
      <c r="E500" s="2809"/>
      <c r="F500" s="2810"/>
      <c r="G500" s="2811"/>
      <c r="H500" s="2819" t="s">
        <v>2146</v>
      </c>
      <c r="I500" s="2815" t="s">
        <v>2146</v>
      </c>
      <c r="J500" s="2816" t="s">
        <v>2146</v>
      </c>
    </row>
    <row r="501" spans="2:10" ht="18" hidden="1" customHeight="1" outlineLevel="3" x14ac:dyDescent="0.2">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
      <c r="B502" s="2829" t="s">
        <v>200</v>
      </c>
      <c r="C502" s="2833"/>
      <c r="D502" s="2766"/>
      <c r="E502" s="2766"/>
      <c r="F502" s="2766"/>
      <c r="G502" s="2766"/>
      <c r="H502" s="2766"/>
      <c r="I502" s="2766"/>
      <c r="J502" s="2779"/>
    </row>
    <row r="503" spans="2:10" ht="18" hidden="1" customHeight="1" outlineLevel="3" x14ac:dyDescent="0.2">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
      <c r="B508" s="2829" t="s">
        <v>200</v>
      </c>
      <c r="C508" s="2833"/>
      <c r="D508" s="2766"/>
      <c r="E508" s="2766"/>
      <c r="F508" s="2766"/>
      <c r="G508" s="2766"/>
      <c r="H508" s="2766"/>
      <c r="I508" s="2766"/>
      <c r="J508" s="2779"/>
    </row>
    <row r="509" spans="2:10" ht="18" hidden="1" customHeight="1" outlineLevel="3" x14ac:dyDescent="0.2">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
      <c r="B512" s="2842" t="s">
        <v>1207</v>
      </c>
      <c r="C512" s="2828"/>
      <c r="D512" s="2808"/>
      <c r="E512" s="2809"/>
      <c r="F512" s="2810"/>
      <c r="G512" s="2811"/>
      <c r="H512" s="2819" t="s">
        <v>2146</v>
      </c>
      <c r="I512" s="2815" t="s">
        <v>2146</v>
      </c>
      <c r="J512" s="2816" t="s">
        <v>2146</v>
      </c>
    </row>
    <row r="513" spans="2:10" ht="18" hidden="1" customHeight="1" outlineLevel="3" x14ac:dyDescent="0.2">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
      <c r="B514" s="2829" t="s">
        <v>200</v>
      </c>
      <c r="C514" s="2833"/>
      <c r="D514" s="2766"/>
      <c r="E514" s="2766"/>
      <c r="F514" s="2766"/>
      <c r="G514" s="2766"/>
      <c r="H514" s="2766"/>
      <c r="I514" s="2766"/>
      <c r="J514" s="2779"/>
    </row>
    <row r="515" spans="2:10" ht="18" hidden="1" customHeight="1" outlineLevel="3" x14ac:dyDescent="0.2">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
      <c r="B520" s="2829" t="s">
        <v>200</v>
      </c>
      <c r="C520" s="2833"/>
      <c r="D520" s="2766"/>
      <c r="E520" s="2766"/>
      <c r="F520" s="2766"/>
      <c r="G520" s="2766"/>
      <c r="H520" s="2766"/>
      <c r="I520" s="2766"/>
      <c r="J520" s="2779"/>
    </row>
    <row r="521" spans="2:10" ht="18" hidden="1" customHeight="1" outlineLevel="3" x14ac:dyDescent="0.2">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
      <c r="B524" s="2842" t="s">
        <v>1208</v>
      </c>
      <c r="C524" s="2828"/>
      <c r="D524" s="2808"/>
      <c r="E524" s="2809"/>
      <c r="F524" s="2810"/>
      <c r="G524" s="2811"/>
      <c r="H524" s="2819" t="s">
        <v>2146</v>
      </c>
      <c r="I524" s="2815" t="s">
        <v>2146</v>
      </c>
      <c r="J524" s="2816" t="s">
        <v>2146</v>
      </c>
    </row>
    <row r="525" spans="2:10" ht="18" hidden="1" customHeight="1" outlineLevel="3" x14ac:dyDescent="0.2">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
      <c r="B526" s="2829" t="s">
        <v>200</v>
      </c>
      <c r="C526" s="2833"/>
      <c r="D526" s="2766"/>
      <c r="E526" s="2766"/>
      <c r="F526" s="2766"/>
      <c r="G526" s="2766"/>
      <c r="H526" s="2766"/>
      <c r="I526" s="2766"/>
      <c r="J526" s="2779"/>
    </row>
    <row r="527" spans="2:10" ht="18" hidden="1" customHeight="1" outlineLevel="3" x14ac:dyDescent="0.2">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
      <c r="B532" s="2829" t="s">
        <v>200</v>
      </c>
      <c r="C532" s="2833"/>
      <c r="D532" s="2766"/>
      <c r="E532" s="2766"/>
      <c r="F532" s="2766"/>
      <c r="G532" s="2766"/>
      <c r="H532" s="2766"/>
      <c r="I532" s="2766"/>
      <c r="J532" s="2779"/>
    </row>
    <row r="533" spans="2:10" ht="18" hidden="1" customHeight="1" outlineLevel="3" x14ac:dyDescent="0.2">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25">
      <c r="B536" s="2842" t="s">
        <v>1209</v>
      </c>
      <c r="C536" s="2828"/>
      <c r="D536" s="2808"/>
      <c r="E536" s="2809"/>
      <c r="F536" s="2810"/>
      <c r="G536" s="2811"/>
      <c r="H536" s="2819" t="s">
        <v>2146</v>
      </c>
      <c r="I536" s="2815" t="s">
        <v>2146</v>
      </c>
      <c r="J536" s="2816" t="s">
        <v>2146</v>
      </c>
    </row>
    <row r="537" spans="2:10" ht="18" hidden="1" customHeight="1" outlineLevel="3" x14ac:dyDescent="0.2">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
      <c r="B538" s="2829" t="s">
        <v>200</v>
      </c>
      <c r="C538" s="2833"/>
      <c r="D538" s="2766"/>
      <c r="E538" s="2766"/>
      <c r="F538" s="2766"/>
      <c r="G538" s="2766"/>
      <c r="H538" s="2766"/>
      <c r="I538" s="2766"/>
      <c r="J538" s="2779"/>
    </row>
    <row r="539" spans="2:10" ht="18" hidden="1" customHeight="1" outlineLevel="3" x14ac:dyDescent="0.2">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
      <c r="B544" s="2829" t="s">
        <v>200</v>
      </c>
      <c r="C544" s="2833"/>
      <c r="D544" s="2766"/>
      <c r="E544" s="2766"/>
      <c r="F544" s="2766"/>
      <c r="G544" s="2766"/>
      <c r="H544" s="2766"/>
      <c r="I544" s="2766"/>
      <c r="J544" s="2779"/>
    </row>
    <row r="545" spans="2:10" ht="18" hidden="1" customHeight="1" outlineLevel="3" x14ac:dyDescent="0.2">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25">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
      <c r="B548" s="1440" t="s">
        <v>1900</v>
      </c>
      <c r="C548" s="2839"/>
      <c r="D548" s="2802"/>
      <c r="E548" s="2803"/>
      <c r="F548" s="2773"/>
      <c r="G548" s="2769"/>
      <c r="H548" s="2818" t="s">
        <v>2154</v>
      </c>
      <c r="I548" s="2813" t="s">
        <v>2154</v>
      </c>
      <c r="J548" s="2774" t="s">
        <v>2154</v>
      </c>
    </row>
    <row r="549" spans="2:10" ht="18" customHeight="1" collapsed="1" x14ac:dyDescent="0.2">
      <c r="B549" s="909" t="s">
        <v>1210</v>
      </c>
      <c r="C549" s="2826"/>
      <c r="D549" s="2808"/>
      <c r="E549" s="2809"/>
      <c r="F549" s="2810"/>
      <c r="G549" s="2811"/>
      <c r="H549" s="2819" t="s">
        <v>2154</v>
      </c>
      <c r="I549" s="2815" t="s">
        <v>2154</v>
      </c>
      <c r="J549" s="2816" t="s">
        <v>2154</v>
      </c>
    </row>
    <row r="550" spans="2:10" ht="18" hidden="1" customHeight="1" outlineLevel="1" x14ac:dyDescent="0.2">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
      <c r="B551" s="2829" t="s">
        <v>200</v>
      </c>
      <c r="C551" s="2833"/>
      <c r="D551" s="2766"/>
      <c r="E551" s="2766"/>
      <c r="F551" s="2766"/>
      <c r="G551" s="2766"/>
      <c r="H551" s="2766"/>
      <c r="I551" s="2766"/>
      <c r="J551" s="2779"/>
    </row>
    <row r="552" spans="2:10" ht="18" hidden="1" customHeight="1" outlineLevel="1" x14ac:dyDescent="0.2">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
      <c r="B557" s="2829" t="s">
        <v>200</v>
      </c>
      <c r="C557" s="2833"/>
      <c r="D557" s="2766"/>
      <c r="E557" s="2766"/>
      <c r="F557" s="2766"/>
      <c r="G557" s="2766"/>
      <c r="H557" s="2766"/>
      <c r="I557" s="2766"/>
      <c r="J557" s="2779"/>
    </row>
    <row r="558" spans="2:10" ht="18" hidden="1" customHeight="1" outlineLevel="1" x14ac:dyDescent="0.2">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25">
      <c r="B561" s="909" t="s">
        <v>1211</v>
      </c>
      <c r="C561" s="2826"/>
      <c r="D561" s="2808"/>
      <c r="E561" s="2809"/>
      <c r="F561" s="2810"/>
      <c r="G561" s="2811"/>
      <c r="H561" s="2819" t="s">
        <v>2154</v>
      </c>
      <c r="I561" s="2815" t="s">
        <v>2154</v>
      </c>
      <c r="J561" s="2816" t="s">
        <v>2154</v>
      </c>
    </row>
    <row r="562" spans="2:10" ht="18" hidden="1" customHeight="1" outlineLevel="1" x14ac:dyDescent="0.2">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
      <c r="B563" s="2829" t="s">
        <v>200</v>
      </c>
      <c r="C563" s="2833"/>
      <c r="D563" s="2766"/>
      <c r="E563" s="2766"/>
      <c r="F563" s="2766"/>
      <c r="G563" s="2766"/>
      <c r="H563" s="2766"/>
      <c r="I563" s="2766"/>
      <c r="J563" s="2779"/>
    </row>
    <row r="564" spans="2:10" ht="18" hidden="1" customHeight="1" outlineLevel="1" x14ac:dyDescent="0.2">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
      <c r="B569" s="2829" t="s">
        <v>200</v>
      </c>
      <c r="C569" s="2833"/>
      <c r="D569" s="2766"/>
      <c r="E569" s="2766"/>
      <c r="F569" s="2766"/>
      <c r="G569" s="2766"/>
      <c r="H569" s="2766"/>
      <c r="I569" s="2766"/>
      <c r="J569" s="2779"/>
    </row>
    <row r="570" spans="2:10" ht="18" hidden="1" customHeight="1" outlineLevel="1" x14ac:dyDescent="0.2">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
      <c r="B573" s="2829" t="s">
        <v>200</v>
      </c>
      <c r="C573" s="2833"/>
      <c r="D573" s="2766"/>
      <c r="E573" s="2766"/>
      <c r="F573" s="2766"/>
      <c r="G573" s="2766"/>
      <c r="H573" s="2766"/>
      <c r="I573" s="2766"/>
      <c r="J573" s="2779"/>
    </row>
    <row r="574" spans="2:10" ht="18" hidden="1" customHeight="1" outlineLevel="1" collapsed="1" x14ac:dyDescent="0.2">
      <c r="B574" s="2827" t="s">
        <v>1212</v>
      </c>
      <c r="C574" s="2828"/>
      <c r="D574" s="2808"/>
      <c r="E574" s="2809"/>
      <c r="F574" s="2810"/>
      <c r="G574" s="2811"/>
      <c r="H574" s="2819" t="s">
        <v>2154</v>
      </c>
      <c r="I574" s="2815" t="s">
        <v>2154</v>
      </c>
      <c r="J574" s="2816" t="s">
        <v>2154</v>
      </c>
    </row>
    <row r="575" spans="2:10" ht="18" hidden="1" customHeight="1" outlineLevel="2" x14ac:dyDescent="0.2">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
      <c r="B576" s="2829" t="s">
        <v>200</v>
      </c>
      <c r="C576" s="2833"/>
      <c r="D576" s="2766"/>
      <c r="E576" s="2766"/>
      <c r="F576" s="2766"/>
      <c r="G576" s="2766"/>
      <c r="H576" s="2766"/>
      <c r="I576" s="2766"/>
      <c r="J576" s="2779"/>
    </row>
    <row r="577" spans="2:10" ht="18" hidden="1" customHeight="1" outlineLevel="2" x14ac:dyDescent="0.2">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
      <c r="B582" s="2829" t="s">
        <v>200</v>
      </c>
      <c r="C582" s="2833"/>
      <c r="D582" s="2766"/>
      <c r="E582" s="2766"/>
      <c r="F582" s="2766"/>
      <c r="G582" s="2766"/>
      <c r="H582" s="2766"/>
      <c r="I582" s="2766"/>
      <c r="J582" s="2779"/>
    </row>
    <row r="583" spans="2:10" ht="18" hidden="1" customHeight="1" outlineLevel="2" x14ac:dyDescent="0.2">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
      <c r="B586" s="2836" t="s">
        <v>1213</v>
      </c>
      <c r="C586" s="2837"/>
      <c r="D586" s="2808"/>
      <c r="E586" s="2809"/>
      <c r="F586" s="2810"/>
      <c r="G586" s="2811"/>
      <c r="H586" s="2819" t="s">
        <v>2154</v>
      </c>
      <c r="I586" s="2815" t="s">
        <v>2154</v>
      </c>
      <c r="J586" s="2816" t="s">
        <v>2154</v>
      </c>
    </row>
    <row r="587" spans="2:10" ht="18" hidden="1" customHeight="1" outlineLevel="2" x14ac:dyDescent="0.2">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
      <c r="B588" s="2829" t="s">
        <v>200</v>
      </c>
      <c r="C588" s="2833"/>
      <c r="D588" s="2766"/>
      <c r="E588" s="2766"/>
      <c r="F588" s="2766"/>
      <c r="G588" s="2766"/>
      <c r="H588" s="2766"/>
      <c r="I588" s="2766"/>
      <c r="J588" s="2779"/>
    </row>
    <row r="589" spans="2:10" ht="18" hidden="1" customHeight="1" outlineLevel="2" x14ac:dyDescent="0.2">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
      <c r="B594" s="2829" t="s">
        <v>200</v>
      </c>
      <c r="C594" s="2833"/>
      <c r="D594" s="2766"/>
      <c r="E594" s="2766"/>
      <c r="F594" s="2766"/>
      <c r="G594" s="2766"/>
      <c r="H594" s="2766"/>
      <c r="I594" s="2766"/>
      <c r="J594" s="2779"/>
    </row>
    <row r="595" spans="2:10" ht="18" hidden="1" customHeight="1" outlineLevel="2" x14ac:dyDescent="0.2">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
      <c r="B598" s="2836" t="s">
        <v>2239</v>
      </c>
      <c r="C598" s="2837"/>
      <c r="D598" s="2808"/>
      <c r="E598" s="2809"/>
      <c r="F598" s="2810"/>
      <c r="G598" s="2811"/>
      <c r="H598" s="2819" t="s">
        <v>2154</v>
      </c>
      <c r="I598" s="2815" t="s">
        <v>2154</v>
      </c>
      <c r="J598" s="2816" t="s">
        <v>2154</v>
      </c>
    </row>
    <row r="599" spans="2:10" ht="18" hidden="1" customHeight="1" outlineLevel="2" x14ac:dyDescent="0.2">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
      <c r="B600" s="2829" t="s">
        <v>200</v>
      </c>
      <c r="C600" s="2833"/>
      <c r="D600" s="2766"/>
      <c r="E600" s="2766"/>
      <c r="F600" s="2766"/>
      <c r="G600" s="2766"/>
      <c r="H600" s="2766"/>
      <c r="I600" s="2766"/>
      <c r="J600" s="2779"/>
    </row>
    <row r="601" spans="2:10" ht="18" hidden="1" customHeight="1" outlineLevel="2" x14ac:dyDescent="0.2">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
      <c r="B606" s="2829" t="s">
        <v>200</v>
      </c>
      <c r="C606" s="2833"/>
      <c r="D606" s="2766"/>
      <c r="E606" s="2766"/>
      <c r="F606" s="2766"/>
      <c r="G606" s="2766"/>
      <c r="H606" s="2766"/>
      <c r="I606" s="2766"/>
      <c r="J606" s="2779"/>
    </row>
    <row r="607" spans="2:10" ht="18" hidden="1" customHeight="1" outlineLevel="2" x14ac:dyDescent="0.2">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
      <c r="B610" s="2836" t="s">
        <v>2240</v>
      </c>
      <c r="C610" s="2837"/>
      <c r="D610" s="2808"/>
      <c r="E610" s="2809"/>
      <c r="F610" s="2810"/>
      <c r="G610" s="2811"/>
      <c r="H610" s="2819" t="s">
        <v>2154</v>
      </c>
      <c r="I610" s="2815" t="s">
        <v>2154</v>
      </c>
      <c r="J610" s="2816" t="s">
        <v>2154</v>
      </c>
    </row>
    <row r="611" spans="2:10" ht="18" hidden="1" customHeight="1" outlineLevel="2" x14ac:dyDescent="0.2">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
      <c r="B612" s="2829" t="s">
        <v>200</v>
      </c>
      <c r="C612" s="2833"/>
      <c r="D612" s="2766"/>
      <c r="E612" s="2766"/>
      <c r="F612" s="2766"/>
      <c r="G612" s="2766"/>
      <c r="H612" s="2766"/>
      <c r="I612" s="2766"/>
      <c r="J612" s="2779"/>
    </row>
    <row r="613" spans="2:10" ht="18" hidden="1" customHeight="1" outlineLevel="2" x14ac:dyDescent="0.2">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
      <c r="B618" s="2829" t="s">
        <v>200</v>
      </c>
      <c r="C618" s="2833"/>
      <c r="D618" s="2766"/>
      <c r="E618" s="2766"/>
      <c r="F618" s="2766"/>
      <c r="G618" s="2766"/>
      <c r="H618" s="2766"/>
      <c r="I618" s="2766"/>
      <c r="J618" s="2779"/>
    </row>
    <row r="619" spans="2:10" ht="18" hidden="1" customHeight="1" outlineLevel="2" x14ac:dyDescent="0.2">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25">
      <c r="B622" s="2836" t="s">
        <v>1214</v>
      </c>
      <c r="C622" s="2837"/>
      <c r="D622" s="2808"/>
      <c r="E622" s="2809"/>
      <c r="F622" s="2810"/>
      <c r="G622" s="2811"/>
      <c r="H622" s="2819" t="s">
        <v>2146</v>
      </c>
      <c r="I622" s="2815" t="s">
        <v>2146</v>
      </c>
      <c r="J622" s="2816" t="s">
        <v>2146</v>
      </c>
    </row>
    <row r="623" spans="2:10" ht="18" hidden="1" customHeight="1" outlineLevel="2" x14ac:dyDescent="0.2">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
      <c r="B624" s="2829" t="s">
        <v>200</v>
      </c>
      <c r="C624" s="2833"/>
      <c r="D624" s="2766"/>
      <c r="E624" s="2766"/>
      <c r="F624" s="2766"/>
      <c r="G624" s="2766"/>
      <c r="H624" s="2766"/>
      <c r="I624" s="2766"/>
      <c r="J624" s="2779"/>
    </row>
    <row r="625" spans="2:10" ht="18" hidden="1" customHeight="1" outlineLevel="2" x14ac:dyDescent="0.2">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
      <c r="B630" s="2829" t="s">
        <v>200</v>
      </c>
      <c r="C630" s="2833"/>
      <c r="D630" s="2766"/>
      <c r="E630" s="2766"/>
      <c r="F630" s="2766"/>
      <c r="G630" s="2766"/>
      <c r="H630" s="2766"/>
      <c r="I630" s="2766"/>
      <c r="J630" s="2779"/>
    </row>
    <row r="631" spans="2:10" ht="18" hidden="1" customHeight="1" outlineLevel="2" x14ac:dyDescent="0.2">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25">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
      <c r="B634" s="1440" t="s">
        <v>1980</v>
      </c>
      <c r="C634" s="2839"/>
      <c r="D634" s="2802"/>
      <c r="E634" s="2803"/>
      <c r="F634" s="2773"/>
      <c r="G634" s="2769"/>
      <c r="H634" s="2818" t="s">
        <v>2146</v>
      </c>
      <c r="I634" s="2813" t="s">
        <v>2146</v>
      </c>
      <c r="J634" s="2774" t="s">
        <v>2146</v>
      </c>
    </row>
    <row r="635" spans="2:10" ht="18" customHeight="1" collapsed="1" thickBot="1" x14ac:dyDescent="0.25">
      <c r="B635" s="909" t="s">
        <v>1215</v>
      </c>
      <c r="C635" s="2826"/>
      <c r="D635" s="2808"/>
      <c r="E635" s="2809"/>
      <c r="F635" s="2810"/>
      <c r="G635" s="2811"/>
      <c r="H635" s="2819" t="s">
        <v>2146</v>
      </c>
      <c r="I635" s="2815" t="s">
        <v>2146</v>
      </c>
      <c r="J635" s="2816" t="s">
        <v>2146</v>
      </c>
    </row>
    <row r="636" spans="2:10" ht="18" hidden="1" customHeight="1" outlineLevel="1" x14ac:dyDescent="0.2">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
      <c r="B637" s="2829" t="s">
        <v>200</v>
      </c>
      <c r="C637" s="2833"/>
      <c r="D637" s="2766"/>
      <c r="E637" s="2766"/>
      <c r="F637" s="2766"/>
      <c r="G637" s="2766"/>
      <c r="H637" s="2766"/>
      <c r="I637" s="2766"/>
      <c r="J637" s="2779"/>
    </row>
    <row r="638" spans="2:10" ht="18" hidden="1" customHeight="1" outlineLevel="1" x14ac:dyDescent="0.2">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
      <c r="B643" s="2829" t="s">
        <v>200</v>
      </c>
      <c r="C643" s="2833"/>
      <c r="D643" s="2766"/>
      <c r="E643" s="2766"/>
      <c r="F643" s="2766"/>
      <c r="G643" s="2766"/>
      <c r="H643" s="2766"/>
      <c r="I643" s="2766"/>
      <c r="J643" s="2779"/>
    </row>
    <row r="644" spans="2:10" ht="18" hidden="1" customHeight="1" outlineLevel="1" x14ac:dyDescent="0.2">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
      <c r="B647" s="2829" t="s">
        <v>200</v>
      </c>
      <c r="C647" s="2833"/>
      <c r="D647" s="2766"/>
      <c r="E647" s="2766"/>
      <c r="F647" s="2766"/>
      <c r="G647" s="2766"/>
      <c r="H647" s="2766"/>
      <c r="I647" s="2766"/>
      <c r="J647" s="2779"/>
    </row>
    <row r="648" spans="2:10" ht="18" hidden="1" customHeight="1" outlineLevel="1" collapsed="1" x14ac:dyDescent="0.2">
      <c r="B648" s="2827" t="s">
        <v>1216</v>
      </c>
      <c r="C648" s="2828"/>
      <c r="D648" s="2808"/>
      <c r="E648" s="2809"/>
      <c r="F648" s="2810"/>
      <c r="G648" s="2811"/>
      <c r="H648" s="2819" t="s">
        <v>2146</v>
      </c>
      <c r="I648" s="2815" t="s">
        <v>2146</v>
      </c>
      <c r="J648" s="2816" t="s">
        <v>2146</v>
      </c>
    </row>
    <row r="649" spans="2:10" ht="18" hidden="1" customHeight="1" outlineLevel="2" x14ac:dyDescent="0.2">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
      <c r="B650" s="2829" t="s">
        <v>200</v>
      </c>
      <c r="C650" s="2833"/>
      <c r="D650" s="2766"/>
      <c r="E650" s="2766"/>
      <c r="F650" s="2766"/>
      <c r="G650" s="2766"/>
      <c r="H650" s="2766"/>
      <c r="I650" s="2766"/>
      <c r="J650" s="2779"/>
    </row>
    <row r="651" spans="2:10" ht="18" hidden="1" customHeight="1" outlineLevel="2" x14ac:dyDescent="0.2">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
      <c r="B656" s="2829" t="s">
        <v>200</v>
      </c>
      <c r="C656" s="2833"/>
      <c r="D656" s="2766"/>
      <c r="E656" s="2766"/>
      <c r="F656" s="2766"/>
      <c r="G656" s="2766"/>
      <c r="H656" s="2766"/>
      <c r="I656" s="2766"/>
      <c r="J656" s="2779"/>
    </row>
    <row r="657" spans="2:10" ht="18" hidden="1" customHeight="1" outlineLevel="2" x14ac:dyDescent="0.2">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
      <c r="B660" s="2836" t="s">
        <v>1217</v>
      </c>
      <c r="C660" s="2837"/>
      <c r="D660" s="2808"/>
      <c r="E660" s="2809"/>
      <c r="F660" s="2810"/>
      <c r="G660" s="2811"/>
      <c r="H660" s="2819" t="s">
        <v>2146</v>
      </c>
      <c r="I660" s="2815" t="s">
        <v>2146</v>
      </c>
      <c r="J660" s="2816" t="s">
        <v>2146</v>
      </c>
    </row>
    <row r="661" spans="2:10" ht="18" hidden="1" customHeight="1" outlineLevel="2" x14ac:dyDescent="0.2">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
      <c r="B662" s="2829" t="s">
        <v>200</v>
      </c>
      <c r="C662" s="2833"/>
      <c r="D662" s="2766"/>
      <c r="E662" s="2766"/>
      <c r="F662" s="2766"/>
      <c r="G662" s="2766"/>
      <c r="H662" s="2766"/>
      <c r="I662" s="2766"/>
      <c r="J662" s="2779"/>
    </row>
    <row r="663" spans="2:10" ht="18" hidden="1" customHeight="1" outlineLevel="2" x14ac:dyDescent="0.2">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
      <c r="B668" s="2829" t="s">
        <v>200</v>
      </c>
      <c r="C668" s="2833"/>
      <c r="D668" s="2766"/>
      <c r="E668" s="2766"/>
      <c r="F668" s="2766"/>
      <c r="G668" s="2766"/>
      <c r="H668" s="2766"/>
      <c r="I668" s="2766"/>
      <c r="J668" s="2779"/>
    </row>
    <row r="669" spans="2:10" ht="18" hidden="1" customHeight="1" outlineLevel="2" x14ac:dyDescent="0.2">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
      <c r="B672" s="2836" t="s">
        <v>2241</v>
      </c>
      <c r="C672" s="2837"/>
      <c r="D672" s="2808"/>
      <c r="E672" s="2809"/>
      <c r="F672" s="2810"/>
      <c r="G672" s="2811"/>
      <c r="H672" s="2819" t="s">
        <v>2146</v>
      </c>
      <c r="I672" s="2815" t="s">
        <v>2146</v>
      </c>
      <c r="J672" s="2816" t="s">
        <v>2146</v>
      </c>
    </row>
    <row r="673" spans="2:10" ht="18" hidden="1" customHeight="1" outlineLevel="2" x14ac:dyDescent="0.2">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
      <c r="B674" s="2829" t="s">
        <v>200</v>
      </c>
      <c r="C674" s="2833"/>
      <c r="D674" s="2766"/>
      <c r="E674" s="2766"/>
      <c r="F674" s="2766"/>
      <c r="G674" s="2766"/>
      <c r="H674" s="2766"/>
      <c r="I674" s="2766"/>
      <c r="J674" s="2779"/>
    </row>
    <row r="675" spans="2:10" ht="18" hidden="1" customHeight="1" outlineLevel="2" x14ac:dyDescent="0.2">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
      <c r="B680" s="2829" t="s">
        <v>200</v>
      </c>
      <c r="C680" s="2833"/>
      <c r="D680" s="2766"/>
      <c r="E680" s="2766"/>
      <c r="F680" s="2766"/>
      <c r="G680" s="2766"/>
      <c r="H680" s="2766"/>
      <c r="I680" s="2766"/>
      <c r="J680" s="2779"/>
    </row>
    <row r="681" spans="2:10" ht="18" hidden="1" customHeight="1" outlineLevel="2" x14ac:dyDescent="0.2">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
      <c r="B684" s="2836" t="s">
        <v>2242</v>
      </c>
      <c r="C684" s="2837"/>
      <c r="D684" s="2808"/>
      <c r="E684" s="2809"/>
      <c r="F684" s="2810"/>
      <c r="G684" s="2811"/>
      <c r="H684" s="2819" t="s">
        <v>2146</v>
      </c>
      <c r="I684" s="2815" t="s">
        <v>2146</v>
      </c>
      <c r="J684" s="2816" t="s">
        <v>2146</v>
      </c>
    </row>
    <row r="685" spans="2:10" ht="18" hidden="1" customHeight="1" outlineLevel="2" x14ac:dyDescent="0.2">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
      <c r="B686" s="2829" t="s">
        <v>200</v>
      </c>
      <c r="C686" s="2833"/>
      <c r="D686" s="2766"/>
      <c r="E686" s="2766"/>
      <c r="F686" s="2766"/>
      <c r="G686" s="2766"/>
      <c r="H686" s="2766"/>
      <c r="I686" s="2766"/>
      <c r="J686" s="2779"/>
    </row>
    <row r="687" spans="2:10" ht="18" hidden="1" customHeight="1" outlineLevel="2" x14ac:dyDescent="0.2">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
      <c r="B692" s="2829" t="s">
        <v>200</v>
      </c>
      <c r="C692" s="2833"/>
      <c r="D692" s="2766"/>
      <c r="E692" s="2766"/>
      <c r="F692" s="2766"/>
      <c r="G692" s="2766"/>
      <c r="H692" s="2766"/>
      <c r="I692" s="2766"/>
      <c r="J692" s="2779"/>
    </row>
    <row r="693" spans="2:10" ht="18" hidden="1" customHeight="1" outlineLevel="2" x14ac:dyDescent="0.2">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25">
      <c r="B696" s="2836" t="s">
        <v>2243</v>
      </c>
      <c r="C696" s="2837"/>
      <c r="D696" s="2808"/>
      <c r="E696" s="2809"/>
      <c r="F696" s="2810"/>
      <c r="G696" s="2811"/>
      <c r="H696" s="2819" t="s">
        <v>2146</v>
      </c>
      <c r="I696" s="2815" t="s">
        <v>2146</v>
      </c>
      <c r="J696" s="2816" t="s">
        <v>2146</v>
      </c>
    </row>
    <row r="697" spans="2:10" ht="18" hidden="1" customHeight="1" outlineLevel="2" x14ac:dyDescent="0.2">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
      <c r="B698" s="2829" t="s">
        <v>200</v>
      </c>
      <c r="C698" s="2833"/>
      <c r="D698" s="2766"/>
      <c r="E698" s="2766"/>
      <c r="F698" s="2766"/>
      <c r="G698" s="2766"/>
      <c r="H698" s="2766"/>
      <c r="I698" s="2766"/>
      <c r="J698" s="2779"/>
    </row>
    <row r="699" spans="2:10" ht="18" hidden="1" customHeight="1" outlineLevel="2" x14ac:dyDescent="0.2">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
      <c r="B704" s="2829" t="s">
        <v>200</v>
      </c>
      <c r="C704" s="2833"/>
      <c r="D704" s="2766"/>
      <c r="E704" s="2766"/>
      <c r="F704" s="2766"/>
      <c r="G704" s="2766"/>
      <c r="H704" s="2766"/>
      <c r="I704" s="2766"/>
      <c r="J704" s="2779"/>
    </row>
    <row r="705" spans="2:10" ht="18" hidden="1" customHeight="1" outlineLevel="2" x14ac:dyDescent="0.2">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25">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25">
      <c r="B708" s="1440" t="s">
        <v>1981</v>
      </c>
      <c r="C708" s="2840"/>
      <c r="D708" s="2804"/>
      <c r="E708" s="2805"/>
      <c r="F708" s="2812"/>
      <c r="G708" s="2804"/>
      <c r="H708" s="2818" t="s">
        <v>2146</v>
      </c>
      <c r="I708" s="2813" t="s">
        <v>2146</v>
      </c>
      <c r="J708" s="2814" t="s">
        <v>2146</v>
      </c>
    </row>
    <row r="709" spans="2:10" ht="18" hidden="1" customHeight="1" outlineLevel="1" x14ac:dyDescent="0.2">
      <c r="B709" s="2834" t="s">
        <v>2147</v>
      </c>
      <c r="C709" s="2826"/>
      <c r="D709" s="2787"/>
      <c r="E709" s="2788"/>
      <c r="F709" s="2789"/>
      <c r="G709" s="2787"/>
      <c r="H709" s="2819" t="s">
        <v>2146</v>
      </c>
      <c r="I709" s="2815" t="s">
        <v>2146</v>
      </c>
      <c r="J709" s="2816" t="s">
        <v>2146</v>
      </c>
    </row>
    <row r="710" spans="2:10" ht="18" hidden="1" customHeight="1" outlineLevel="1" x14ac:dyDescent="0.2">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
      <c r="B711" s="2829" t="s">
        <v>200</v>
      </c>
      <c r="C711" s="2833"/>
      <c r="D711" s="2766"/>
      <c r="E711" s="2766"/>
      <c r="F711" s="2766"/>
      <c r="G711" s="2766"/>
      <c r="H711" s="2766"/>
      <c r="I711" s="2766"/>
      <c r="J711" s="2779"/>
    </row>
    <row r="712" spans="2:10" ht="18" hidden="1" customHeight="1" outlineLevel="1" x14ac:dyDescent="0.2">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
      <c r="B717" s="2829" t="s">
        <v>200</v>
      </c>
      <c r="C717" s="2833"/>
      <c r="D717" s="2766"/>
      <c r="E717" s="2766"/>
      <c r="F717" s="2766"/>
      <c r="G717" s="2766"/>
      <c r="H717" s="2766"/>
      <c r="I717" s="2766"/>
      <c r="J717" s="2779"/>
    </row>
    <row r="718" spans="2:10" ht="18" hidden="1" customHeight="1" outlineLevel="1" x14ac:dyDescent="0.2">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25">
      <c r="B720" s="2834" t="s">
        <v>2147</v>
      </c>
      <c r="C720" s="2835" t="s">
        <v>2147</v>
      </c>
      <c r="D720" s="2757" t="s">
        <v>2147</v>
      </c>
      <c r="E720" s="2755" t="s">
        <v>2147</v>
      </c>
      <c r="F720" s="2753" t="s">
        <v>2147</v>
      </c>
      <c r="G720" s="2754" t="s">
        <v>2147</v>
      </c>
      <c r="H720" s="2780" t="s">
        <v>2147</v>
      </c>
      <c r="I720" s="2758" t="s">
        <v>2147</v>
      </c>
      <c r="J720" s="2759"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77" t="s">
        <v>2293</v>
      </c>
      <c r="C736" s="4478"/>
      <c r="D736" s="4478"/>
      <c r="E736" s="4478"/>
      <c r="F736" s="4478"/>
      <c r="G736" s="4478"/>
      <c r="H736" s="4478"/>
      <c r="I736" s="4478"/>
      <c r="J736" s="4479"/>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4"/>
      <c r="H5" s="226"/>
      <c r="I5" s="226"/>
      <c r="J5" s="2"/>
    </row>
    <row r="6" spans="2:10" ht="13.5" thickBot="1" x14ac:dyDescent="0.25">
      <c r="B6" s="2446"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8" t="s">
        <v>2084</v>
      </c>
      <c r="C10" s="4331">
        <f>IF(SUM(C11,C20,C28,C37,C46,C55)=0,"NO",SUM(C11,C20,C28,C37,C46,C55))</f>
        <v>657151.53449057287</v>
      </c>
      <c r="D10" s="4332">
        <f>IF(SUM(D11,D20,D28,D37,D46,D55)=0,"NO",SUM(D11,D20,D28,D37,D46,D55))</f>
        <v>54955.656062156828</v>
      </c>
      <c r="E10" s="4333">
        <f t="shared" ref="E10:E12" si="0">IF(SUM(C10)=0,"NA",G10/C10*1000/(44/28))</f>
        <v>1.8364761173999963E-3</v>
      </c>
      <c r="F10" s="4332">
        <f t="shared" ref="F10:F11" si="1">IF(SUM(D10)=0,"NA",H10/D10*1000/(44/28))</f>
        <v>7.4999999999999971E-3</v>
      </c>
      <c r="G10" s="4331">
        <f>IF(SUM(G11,G20,G28,G37,G46,G55)=0,"NO",SUM(G11,G20,G28,G37,G46,G55))</f>
        <v>1.8964677263788094</v>
      </c>
      <c r="H10" s="4334">
        <f>IF(SUM(H11,H20,H28,H37,H46,H55)=0,"NO",SUM(H11,H20,H28,H37,H46,H55))</f>
        <v>0.64769166073256235</v>
      </c>
      <c r="I10" s="4335">
        <f t="shared" ref="I10:I11" si="2">IF(SUM(G10:H10)=0,"NO",SUM(G10:H10))</f>
        <v>2.5441593871113719</v>
      </c>
    </row>
    <row r="11" spans="2:10" ht="18" customHeight="1" x14ac:dyDescent="0.2">
      <c r="B11" s="2848" t="s">
        <v>1901</v>
      </c>
      <c r="C11" s="4336">
        <f>IF(SUM(C12:C13)=0,"NO",SUM(C12:C13))</f>
        <v>133086.45550064865</v>
      </c>
      <c r="D11" s="4337">
        <f>IF(SUM(D12:D13)=0,"NO",SUM(D12:D13))</f>
        <v>24190.384640546035</v>
      </c>
      <c r="E11" s="4336">
        <f t="shared" si="0"/>
        <v>3.0479196154917826E-3</v>
      </c>
      <c r="F11" s="4337">
        <f t="shared" si="1"/>
        <v>7.4999999999999997E-3</v>
      </c>
      <c r="G11" s="4336">
        <f>IF(SUM(G12:G13)=0,"NO",SUM(G12:G13))</f>
        <v>0.63742928586338765</v>
      </c>
      <c r="H11" s="4338">
        <f>IF(SUM(H12:H13)=0,"NO",SUM(H12:H13))</f>
        <v>0.28510096183500683</v>
      </c>
      <c r="I11" s="4337">
        <f t="shared" si="2"/>
        <v>0.92253024769839453</v>
      </c>
    </row>
    <row r="12" spans="2:10" ht="18" customHeight="1" x14ac:dyDescent="0.2">
      <c r="B12" s="914" t="s">
        <v>1228</v>
      </c>
      <c r="C12" s="4339">
        <f>Table4.A!E11</f>
        <v>119721.883561496</v>
      </c>
      <c r="D12" s="4340">
        <f>H12/F12*1000/(44/28)</f>
        <v>5426.2905426292145</v>
      </c>
      <c r="E12" s="4341">
        <f t="shared" si="0"/>
        <v>4.1311870995414216E-4</v>
      </c>
      <c r="F12" s="4342">
        <v>7.4999999999999997E-3</v>
      </c>
      <c r="G12" s="4339">
        <v>7.7721835856036814E-2</v>
      </c>
      <c r="H12" s="4343">
        <v>6.3952709966701451E-2</v>
      </c>
      <c r="I12" s="4344">
        <f>IF(SUM(G12:H12)=0,"NO",SUM(G12:H12))</f>
        <v>0.14167454582273825</v>
      </c>
    </row>
    <row r="13" spans="2:10" ht="18" customHeight="1" x14ac:dyDescent="0.2">
      <c r="B13" s="914" t="s">
        <v>1902</v>
      </c>
      <c r="C13" s="4345">
        <f>IF(SUM(C15:C19)=0,"NO",SUM(C15:C19))</f>
        <v>13364.57193915264</v>
      </c>
      <c r="D13" s="4344">
        <f>IF(SUM(D15:D19)=0,"NO",SUM(D15:D19))</f>
        <v>18764.094097916823</v>
      </c>
      <c r="E13" s="4345">
        <f>IF(SUM(C13)=0,"NA",G13/C13*1000/(44/28))</f>
        <v>2.6650869912491854E-2</v>
      </c>
      <c r="F13" s="4344">
        <f>IF(SUM(D13)=0,"NA",H13/D13*1000/(44/28))</f>
        <v>7.4999999999999997E-3</v>
      </c>
      <c r="G13" s="4345">
        <f>IF(SUM(G15:G19)=0,"NO",SUM(G15:G19))</f>
        <v>0.55970745000735089</v>
      </c>
      <c r="H13" s="4346">
        <f>IF(SUM(H15:H19)=0,"NO",SUM(H15:H19))</f>
        <v>0.22114825186830536</v>
      </c>
      <c r="I13" s="4344">
        <f>IF(SUM(G13:H13)=0,"NO",SUM(G13:H13))</f>
        <v>0.78085570187565623</v>
      </c>
    </row>
    <row r="14" spans="2:10" ht="18" customHeight="1" x14ac:dyDescent="0.2">
      <c r="B14" s="1488" t="s">
        <v>345</v>
      </c>
      <c r="C14" s="4347"/>
      <c r="D14" s="4348"/>
      <c r="E14" s="4348"/>
      <c r="F14" s="4348"/>
      <c r="G14" s="4348"/>
      <c r="H14" s="4348"/>
      <c r="I14" s="4349"/>
    </row>
    <row r="15" spans="2:10" ht="18" customHeight="1" x14ac:dyDescent="0.2">
      <c r="B15" s="528" t="s">
        <v>1229</v>
      </c>
      <c r="C15" s="4350">
        <f>Table4.A!E17</f>
        <v>93.019000000000005</v>
      </c>
      <c r="D15" s="4340">
        <f>H15/F15*1000/(44/28)</f>
        <v>175.78143782455857</v>
      </c>
      <c r="E15" s="4345">
        <f>IF(SUM(C15)=0,"NA",G15/C15*1000/(44/28))</f>
        <v>3.8618812644011791E-2</v>
      </c>
      <c r="F15" s="4342">
        <v>7.4999999999999997E-3</v>
      </c>
      <c r="G15" s="4350">
        <v>5.6450166666666664E-3</v>
      </c>
      <c r="H15" s="4351">
        <v>2.0717098029322972E-3</v>
      </c>
      <c r="I15" s="4344">
        <f>IF(SUM(G15:H15)=0,"NO",SUM(G15:H15))</f>
        <v>7.716726469598964E-3</v>
      </c>
    </row>
    <row r="16" spans="2:10" ht="18" customHeight="1" x14ac:dyDescent="0.2">
      <c r="B16" s="528" t="s">
        <v>1230</v>
      </c>
      <c r="C16" s="4350">
        <f>Table4.A!E19</f>
        <v>13198.67693915264</v>
      </c>
      <c r="D16" s="4340">
        <f>H16/F16*1000/(44/28)</f>
        <v>18426.57804165786</v>
      </c>
      <c r="E16" s="4345">
        <f t="shared" ref="E16:E21" si="3">IF(SUM(C16)=0,"NA",G16/C16*1000/(44/28))</f>
        <v>2.6448984479973278E-2</v>
      </c>
      <c r="F16" s="4342">
        <v>7.4999999999999997E-3</v>
      </c>
      <c r="G16" s="4350">
        <v>0.54857251667401763</v>
      </c>
      <c r="H16" s="4351">
        <v>0.21717038406239619</v>
      </c>
      <c r="I16" s="4344">
        <f t="shared" ref="I16:I21" si="4">IF(SUM(G16:H16)=0,"NO",SUM(G16:H16))</f>
        <v>0.76574290073641382</v>
      </c>
    </row>
    <row r="17" spans="2:9" ht="18" customHeight="1" x14ac:dyDescent="0.2">
      <c r="B17" s="528" t="s">
        <v>1231</v>
      </c>
      <c r="C17" s="4350" t="s">
        <v>2146</v>
      </c>
      <c r="D17" s="4352" t="s">
        <v>2146</v>
      </c>
      <c r="E17" s="4345" t="str">
        <f t="shared" si="3"/>
        <v>NA</v>
      </c>
      <c r="F17" s="4344" t="str">
        <f t="shared" ref="F17:F21" si="5">IF(SUM(D17)=0,"NA",H17/D17*1000/(44/28))</f>
        <v>NA</v>
      </c>
      <c r="G17" s="4350" t="s">
        <v>2146</v>
      </c>
      <c r="H17" s="4351" t="s">
        <v>2146</v>
      </c>
      <c r="I17" s="4344" t="str">
        <f t="shared" si="4"/>
        <v>NO</v>
      </c>
    </row>
    <row r="18" spans="2:9" ht="18" customHeight="1" x14ac:dyDescent="0.2">
      <c r="B18" s="528" t="s">
        <v>1232</v>
      </c>
      <c r="C18" s="4350">
        <f>Table4.A!E25</f>
        <v>72.876000000000005</v>
      </c>
      <c r="D18" s="4340">
        <f>H18/F18*1000/(44/28)</f>
        <v>161.73461843440089</v>
      </c>
      <c r="E18" s="4345">
        <f t="shared" si="3"/>
        <v>4.7938736117972079E-2</v>
      </c>
      <c r="F18" s="4342">
        <v>7.4999999999999997E-3</v>
      </c>
      <c r="G18" s="4350">
        <v>5.4899166666666672E-3</v>
      </c>
      <c r="H18" s="4351">
        <v>1.9061580029768673E-3</v>
      </c>
      <c r="I18" s="4344">
        <f t="shared" si="4"/>
        <v>7.3960746696435341E-3</v>
      </c>
    </row>
    <row r="19" spans="2:9" ht="18" customHeight="1" thickBot="1" x14ac:dyDescent="0.25">
      <c r="B19" s="529" t="s">
        <v>1233</v>
      </c>
      <c r="C19" s="4353" t="s">
        <v>2146</v>
      </c>
      <c r="D19" s="4354" t="s">
        <v>2146</v>
      </c>
      <c r="E19" s="4355" t="str">
        <f t="shared" si="3"/>
        <v>NA</v>
      </c>
      <c r="F19" s="4356" t="str">
        <f t="shared" si="5"/>
        <v>NA</v>
      </c>
      <c r="G19" s="4353" t="s">
        <v>2146</v>
      </c>
      <c r="H19" s="4357" t="s">
        <v>2146</v>
      </c>
      <c r="I19" s="4358" t="str">
        <f t="shared" si="4"/>
        <v>NO</v>
      </c>
    </row>
    <row r="20" spans="2:9" ht="18" customHeight="1" x14ac:dyDescent="0.2">
      <c r="B20" s="544" t="s">
        <v>1903</v>
      </c>
      <c r="C20" s="4359">
        <f>C21</f>
        <v>2286.7040000000002</v>
      </c>
      <c r="D20" s="4360">
        <f>D21</f>
        <v>2867.9963194196557</v>
      </c>
      <c r="E20" s="4359">
        <f t="shared" si="3"/>
        <v>2.4814288746306177E-2</v>
      </c>
      <c r="F20" s="4360">
        <f t="shared" si="5"/>
        <v>7.4999999999999997E-3</v>
      </c>
      <c r="G20" s="4359">
        <f>G21</f>
        <v>8.9167466666666667E-2</v>
      </c>
      <c r="H20" s="4361">
        <f>H21</f>
        <v>3.3801385193160227E-2</v>
      </c>
      <c r="I20" s="4360">
        <f t="shared" si="4"/>
        <v>0.12296885185982689</v>
      </c>
    </row>
    <row r="21" spans="2:9" ht="18" customHeight="1" x14ac:dyDescent="0.2">
      <c r="B21" s="914" t="s">
        <v>1904</v>
      </c>
      <c r="C21" s="4345">
        <f>IF(SUM(C23:C27)=0,"NO",SUM(C23:C27))</f>
        <v>2286.7040000000002</v>
      </c>
      <c r="D21" s="4344">
        <f>IF(SUM(D23:D27)=0,"NO",SUM(D23:D27))</f>
        <v>2867.9963194196557</v>
      </c>
      <c r="E21" s="4345">
        <f t="shared" si="3"/>
        <v>2.4814288746306177E-2</v>
      </c>
      <c r="F21" s="4344">
        <f t="shared" si="5"/>
        <v>7.4999999999999997E-3</v>
      </c>
      <c r="G21" s="4345">
        <f>IF(SUM(G23:G27)=0,"NO",SUM(G23:G27))</f>
        <v>8.9167466666666667E-2</v>
      </c>
      <c r="H21" s="4346">
        <f>IF(SUM(H23:H27)=0,"NO",SUM(H23:H27))</f>
        <v>3.3801385193160227E-2</v>
      </c>
      <c r="I21" s="4344">
        <f t="shared" si="4"/>
        <v>0.12296885185982689</v>
      </c>
    </row>
    <row r="22" spans="2:9" ht="18" customHeight="1" x14ac:dyDescent="0.2">
      <c r="B22" s="1488" t="s">
        <v>345</v>
      </c>
      <c r="C22" s="4347"/>
      <c r="D22" s="4348"/>
      <c r="E22" s="4348"/>
      <c r="F22" s="4348"/>
      <c r="G22" s="4348"/>
      <c r="H22" s="4348"/>
      <c r="I22" s="4349"/>
    </row>
    <row r="23" spans="2:9" ht="18" customHeight="1" x14ac:dyDescent="0.2">
      <c r="B23" s="528" t="s">
        <v>1234</v>
      </c>
      <c r="C23" s="4350">
        <f>Table4.B!E14</f>
        <v>2286.7040000000002</v>
      </c>
      <c r="D23" s="4340">
        <f>H23/F23*1000/(44/28)</f>
        <v>2867.9963194196557</v>
      </c>
      <c r="E23" s="4345">
        <f>IF(SUM(C23)=0,"NA",G23/C23*1000/(44/28))</f>
        <v>2.4814288746306177E-2</v>
      </c>
      <c r="F23" s="4342">
        <v>7.4999999999999997E-3</v>
      </c>
      <c r="G23" s="4350">
        <v>8.9167466666666667E-2</v>
      </c>
      <c r="H23" s="4351">
        <v>3.3801385193160227E-2</v>
      </c>
      <c r="I23" s="4344">
        <f>IF(SUM(G23:H23)=0,"NO",SUM(G23:H23))</f>
        <v>0.12296885185982689</v>
      </c>
    </row>
    <row r="24" spans="2:9" ht="18" customHeight="1" x14ac:dyDescent="0.2">
      <c r="B24" s="528" t="s">
        <v>1235</v>
      </c>
      <c r="C24" s="4350" t="s">
        <v>2153</v>
      </c>
      <c r="D24" s="4352" t="s">
        <v>2153</v>
      </c>
      <c r="E24" s="4345" t="str">
        <f t="shared" ref="E24:E29" si="6">IF(SUM(C24)=0,"NA",G24/C24*1000/(44/28))</f>
        <v>NA</v>
      </c>
      <c r="F24" s="4344" t="str">
        <f t="shared" ref="F24:F28" si="7">IF(SUM(D24)=0,"NA",H24/D24*1000/(44/28))</f>
        <v>NA</v>
      </c>
      <c r="G24" s="4350" t="s">
        <v>2153</v>
      </c>
      <c r="H24" s="4351" t="s">
        <v>2153</v>
      </c>
      <c r="I24" s="4344" t="str">
        <f t="shared" ref="I24:I62" si="8">IF(SUM(G24:H24)=0,"NO",SUM(G24:H24))</f>
        <v>NO</v>
      </c>
    </row>
    <row r="25" spans="2:9" ht="18" customHeight="1" x14ac:dyDescent="0.2">
      <c r="B25" s="528" t="s">
        <v>1236</v>
      </c>
      <c r="C25" s="4350" t="s">
        <v>2146</v>
      </c>
      <c r="D25" s="4352" t="s">
        <v>2146</v>
      </c>
      <c r="E25" s="4345" t="str">
        <f t="shared" si="6"/>
        <v>NA</v>
      </c>
      <c r="F25" s="4344" t="str">
        <f t="shared" si="7"/>
        <v>NA</v>
      </c>
      <c r="G25" s="4350" t="s">
        <v>2146</v>
      </c>
      <c r="H25" s="4351" t="s">
        <v>2146</v>
      </c>
      <c r="I25" s="4344" t="str">
        <f t="shared" si="8"/>
        <v>NO</v>
      </c>
    </row>
    <row r="26" spans="2:9" ht="18" customHeight="1" x14ac:dyDescent="0.2">
      <c r="B26" s="528" t="s">
        <v>1237</v>
      </c>
      <c r="C26" s="4350" t="s">
        <v>2146</v>
      </c>
      <c r="D26" s="4352" t="s">
        <v>2146</v>
      </c>
      <c r="E26" s="4345" t="str">
        <f t="shared" si="6"/>
        <v>NA</v>
      </c>
      <c r="F26" s="4344" t="str">
        <f t="shared" si="7"/>
        <v>NA</v>
      </c>
      <c r="G26" s="4350" t="s">
        <v>2146</v>
      </c>
      <c r="H26" s="4351" t="s">
        <v>2146</v>
      </c>
      <c r="I26" s="4344" t="str">
        <f t="shared" si="8"/>
        <v>NO</v>
      </c>
    </row>
    <row r="27" spans="2:9" ht="18" customHeight="1" thickBot="1" x14ac:dyDescent="0.25">
      <c r="B27" s="529" t="s">
        <v>1238</v>
      </c>
      <c r="C27" s="4353" t="s">
        <v>2146</v>
      </c>
      <c r="D27" s="4354" t="s">
        <v>2146</v>
      </c>
      <c r="E27" s="4355" t="str">
        <f t="shared" si="6"/>
        <v>NA</v>
      </c>
      <c r="F27" s="4356" t="str">
        <f t="shared" si="7"/>
        <v>NA</v>
      </c>
      <c r="G27" s="4353" t="s">
        <v>2146</v>
      </c>
      <c r="H27" s="4357" t="s">
        <v>2146</v>
      </c>
      <c r="I27" s="4358" t="str">
        <f t="shared" si="8"/>
        <v>NO</v>
      </c>
    </row>
    <row r="28" spans="2:9" ht="18" customHeight="1" x14ac:dyDescent="0.2">
      <c r="B28" s="544" t="s">
        <v>1905</v>
      </c>
      <c r="C28" s="4336">
        <f>IF(SUM(C29:C30)=0,"NO",SUM(C29:C30))</f>
        <v>520334.68960866623</v>
      </c>
      <c r="D28" s="4337">
        <f>IF(SUM(D29:D30)=0,"NO",SUM(D29:D30))</f>
        <v>27353.553609749608</v>
      </c>
      <c r="E28" s="4336">
        <f t="shared" si="6"/>
        <v>1.4081912391589865E-3</v>
      </c>
      <c r="F28" s="4337">
        <f t="shared" si="7"/>
        <v>7.4999999999999997E-3</v>
      </c>
      <c r="G28" s="4336">
        <f>IF(SUM(G29:G30)=0,"NO",SUM(G29:G30))</f>
        <v>1.1514340378159682</v>
      </c>
      <c r="H28" s="4338">
        <f>IF(SUM(H29:H30)=0,"NO",SUM(H29:H30))</f>
        <v>0.32238116754347745</v>
      </c>
      <c r="I28" s="4360">
        <f t="shared" si="8"/>
        <v>1.4738152053594455</v>
      </c>
    </row>
    <row r="29" spans="2:9" ht="18" customHeight="1" x14ac:dyDescent="0.2">
      <c r="B29" s="914" t="s">
        <v>1239</v>
      </c>
      <c r="C29" s="4339">
        <f>Table4.C!E11</f>
        <v>507010.71875823103</v>
      </c>
      <c r="D29" s="4340">
        <f>H29/F29*1000/(44/28)</f>
        <v>18533.223418880236</v>
      </c>
      <c r="E29" s="4341">
        <f t="shared" si="6"/>
        <v>8.0610273173088623E-4</v>
      </c>
      <c r="F29" s="4342">
        <v>7.4999999999999997E-3</v>
      </c>
      <c r="G29" s="4339">
        <v>0.64224713992662164</v>
      </c>
      <c r="H29" s="4343">
        <v>0.21842727600823134</v>
      </c>
      <c r="I29" s="4344">
        <f t="shared" si="8"/>
        <v>0.86067441593485294</v>
      </c>
    </row>
    <row r="30" spans="2:9" ht="18" customHeight="1" x14ac:dyDescent="0.2">
      <c r="B30" s="914" t="s">
        <v>1906</v>
      </c>
      <c r="C30" s="4345">
        <f>IF(SUM(C32:C36)=0,"NO",SUM(C32:C36))</f>
        <v>13323.970850435231</v>
      </c>
      <c r="D30" s="4344">
        <f>IF(SUM(D32:D36)=0,"NO",SUM(D32:D36))</f>
        <v>8820.3301908693702</v>
      </c>
      <c r="E30" s="4345">
        <f>IF(SUM(C30)=0,"NA",G30/C30*1000/(44/28))</f>
        <v>2.431917853670475E-2</v>
      </c>
      <c r="F30" s="4344">
        <f>IF(SUM(D30)=0,"NA",H30/D30*1000/(44/28))</f>
        <v>7.4999999999999997E-3</v>
      </c>
      <c r="G30" s="4345">
        <f>IF(SUM(G32:G36)=0,"NO",SUM(G32:G36))</f>
        <v>0.50918689788934657</v>
      </c>
      <c r="H30" s="4346">
        <f>IF(SUM(H32:H36)=0,"NO",SUM(H32:H36))</f>
        <v>0.10395389153524615</v>
      </c>
      <c r="I30" s="4344">
        <f t="shared" si="8"/>
        <v>0.61314078942459271</v>
      </c>
    </row>
    <row r="31" spans="2:9" ht="18" customHeight="1" x14ac:dyDescent="0.2">
      <c r="B31" s="1488" t="s">
        <v>345</v>
      </c>
      <c r="C31" s="4347"/>
      <c r="D31" s="4348"/>
      <c r="E31" s="4348"/>
      <c r="F31" s="4348"/>
      <c r="G31" s="4348"/>
      <c r="H31" s="4348"/>
      <c r="I31" s="4349"/>
    </row>
    <row r="32" spans="2:9" ht="18" customHeight="1" x14ac:dyDescent="0.2">
      <c r="B32" s="528" t="s">
        <v>1240</v>
      </c>
      <c r="C32" s="4350">
        <f>Table4.C!E16</f>
        <v>13323.970850435231</v>
      </c>
      <c r="D32" s="4340">
        <f>H32/F32*1000/(44/28)</f>
        <v>8820.3301908693702</v>
      </c>
      <c r="E32" s="4345">
        <f>IF(SUM(C32)=0,"NA",G32/C32*1000/(44/28))</f>
        <v>2.431917853670475E-2</v>
      </c>
      <c r="F32" s="4342">
        <v>7.4999999999999997E-3</v>
      </c>
      <c r="G32" s="4350">
        <v>0.50918689788934657</v>
      </c>
      <c r="H32" s="4351">
        <v>0.10395389153524615</v>
      </c>
      <c r="I32" s="4344">
        <f t="shared" si="8"/>
        <v>0.61314078942459271</v>
      </c>
    </row>
    <row r="33" spans="2:9" ht="18" customHeight="1" x14ac:dyDescent="0.2">
      <c r="B33" s="528" t="s">
        <v>1241</v>
      </c>
      <c r="C33" s="4350" t="s">
        <v>2153</v>
      </c>
      <c r="D33" s="4352" t="s">
        <v>2153</v>
      </c>
      <c r="E33" s="4345" t="str">
        <f t="shared" ref="E33:E38" si="9">IF(SUM(C33)=0,"NA",G33/C33*1000/(44/28))</f>
        <v>NA</v>
      </c>
      <c r="F33" s="4344" t="str">
        <f t="shared" ref="F33:F38" si="10">IF(SUM(D33)=0,"NA",H33/D33*1000/(44/28))</f>
        <v>NA</v>
      </c>
      <c r="G33" s="4350" t="s">
        <v>2153</v>
      </c>
      <c r="H33" s="4351" t="s">
        <v>2153</v>
      </c>
      <c r="I33" s="4344" t="str">
        <f t="shared" si="8"/>
        <v>NO</v>
      </c>
    </row>
    <row r="34" spans="2:9" ht="18" customHeight="1" x14ac:dyDescent="0.2">
      <c r="B34" s="528" t="s">
        <v>1242</v>
      </c>
      <c r="C34" s="4350" t="s">
        <v>2146</v>
      </c>
      <c r="D34" s="4352" t="s">
        <v>2146</v>
      </c>
      <c r="E34" s="4345" t="str">
        <f t="shared" si="9"/>
        <v>NA</v>
      </c>
      <c r="F34" s="4344" t="str">
        <f t="shared" si="10"/>
        <v>NA</v>
      </c>
      <c r="G34" s="4350" t="s">
        <v>2146</v>
      </c>
      <c r="H34" s="4351" t="s">
        <v>2146</v>
      </c>
      <c r="I34" s="4344" t="str">
        <f t="shared" si="8"/>
        <v>NO</v>
      </c>
    </row>
    <row r="35" spans="2:9" ht="18" customHeight="1" x14ac:dyDescent="0.2">
      <c r="B35" s="528" t="s">
        <v>1243</v>
      </c>
      <c r="C35" s="4350" t="s">
        <v>2146</v>
      </c>
      <c r="D35" s="4352" t="s">
        <v>2146</v>
      </c>
      <c r="E35" s="4345" t="str">
        <f t="shared" si="9"/>
        <v>NA</v>
      </c>
      <c r="F35" s="4344" t="str">
        <f t="shared" si="10"/>
        <v>NA</v>
      </c>
      <c r="G35" s="4350" t="s">
        <v>2146</v>
      </c>
      <c r="H35" s="4351" t="s">
        <v>2146</v>
      </c>
      <c r="I35" s="4344" t="str">
        <f t="shared" si="8"/>
        <v>NO</v>
      </c>
    </row>
    <row r="36" spans="2:9" ht="18" customHeight="1" thickBot="1" x14ac:dyDescent="0.25">
      <c r="B36" s="529" t="s">
        <v>1244</v>
      </c>
      <c r="C36" s="4353" t="s">
        <v>2146</v>
      </c>
      <c r="D36" s="4354" t="s">
        <v>2146</v>
      </c>
      <c r="E36" s="4355" t="str">
        <f t="shared" si="9"/>
        <v>NA</v>
      </c>
      <c r="F36" s="4356" t="str">
        <f t="shared" si="10"/>
        <v>NA</v>
      </c>
      <c r="G36" s="4353" t="s">
        <v>2146</v>
      </c>
      <c r="H36" s="4357" t="s">
        <v>2146</v>
      </c>
      <c r="I36" s="4358" t="str">
        <f t="shared" si="8"/>
        <v>NO</v>
      </c>
    </row>
    <row r="37" spans="2:9" ht="18" customHeight="1" x14ac:dyDescent="0.2">
      <c r="B37" s="544" t="s">
        <v>1907</v>
      </c>
      <c r="C37" s="4336" t="str">
        <f>IF(SUM(C38:C39)=0,"NO",SUM(C38:C39))</f>
        <v>NO</v>
      </c>
      <c r="D37" s="4337" t="str">
        <f>IF(SUM(D38:D39)=0,"NO",SUM(D38:D39))</f>
        <v>NO</v>
      </c>
      <c r="E37" s="4336" t="str">
        <f t="shared" si="9"/>
        <v>NA</v>
      </c>
      <c r="F37" s="4337" t="str">
        <f t="shared" si="10"/>
        <v>NA</v>
      </c>
      <c r="G37" s="4336" t="str">
        <f>IF(SUM(G38:G39)=0,"NO",SUM(G38:G39))</f>
        <v>NO</v>
      </c>
      <c r="H37" s="4338" t="str">
        <f>IF(SUM(H38:H39)=0,"NO",SUM(H38:H39))</f>
        <v>NO</v>
      </c>
      <c r="I37" s="4337" t="str">
        <f t="shared" si="8"/>
        <v>NO</v>
      </c>
    </row>
    <row r="38" spans="2:9" ht="18" customHeight="1" x14ac:dyDescent="0.2">
      <c r="B38" s="914" t="s">
        <v>1245</v>
      </c>
      <c r="C38" s="4339" t="s">
        <v>2146</v>
      </c>
      <c r="D38" s="4340" t="s">
        <v>2146</v>
      </c>
      <c r="E38" s="4341" t="str">
        <f t="shared" si="9"/>
        <v>NA</v>
      </c>
      <c r="F38" s="4342" t="str">
        <f t="shared" si="10"/>
        <v>NA</v>
      </c>
      <c r="G38" s="4339" t="s">
        <v>2146</v>
      </c>
      <c r="H38" s="4343" t="s">
        <v>2146</v>
      </c>
      <c r="I38" s="4344" t="str">
        <f t="shared" si="8"/>
        <v>NO</v>
      </c>
    </row>
    <row r="39" spans="2:9" ht="18" customHeight="1" x14ac:dyDescent="0.2">
      <c r="B39" s="914" t="s">
        <v>1908</v>
      </c>
      <c r="C39" s="4345" t="str">
        <f>IF(SUM(C41:C45)=0,"NO",SUM(C41:C45))</f>
        <v>NO</v>
      </c>
      <c r="D39" s="4344" t="str">
        <f>IF(SUM(D41:D45)=0,"NO",SUM(D41:D45))</f>
        <v>NO</v>
      </c>
      <c r="E39" s="4345" t="str">
        <f>IF(SUM(C39)=0,"NA",G39/C39*1000/(44/28))</f>
        <v>NA</v>
      </c>
      <c r="F39" s="4344" t="str">
        <f>IF(SUM(D39)=0,"NA",H39/D39*1000/(44/28))</f>
        <v>NA</v>
      </c>
      <c r="G39" s="4345" t="str">
        <f>IF(SUM(G41:G45)=0,"NO",SUM(G41:G45))</f>
        <v>NO</v>
      </c>
      <c r="H39" s="4346" t="str">
        <f>IF(SUM(H41:H45)=0,"NO",SUM(H41:H45))</f>
        <v>NO</v>
      </c>
      <c r="I39" s="4344" t="str">
        <f t="shared" si="8"/>
        <v>NO</v>
      </c>
    </row>
    <row r="40" spans="2:9" ht="18" customHeight="1" x14ac:dyDescent="0.2">
      <c r="B40" s="1488" t="s">
        <v>345</v>
      </c>
      <c r="C40" s="4347"/>
      <c r="D40" s="4348"/>
      <c r="E40" s="4348"/>
      <c r="F40" s="4348"/>
      <c r="G40" s="4348"/>
      <c r="H40" s="4348"/>
      <c r="I40" s="4349"/>
    </row>
    <row r="41" spans="2:9" ht="18" customHeight="1" x14ac:dyDescent="0.2">
      <c r="B41" s="528" t="s">
        <v>1246</v>
      </c>
      <c r="C41" s="4350" t="s">
        <v>2146</v>
      </c>
      <c r="D41" s="4352" t="s">
        <v>2146</v>
      </c>
      <c r="E41" s="4345" t="str">
        <f>IF(SUM(C41)=0,"NA",G41/C41*1000/(44/28))</f>
        <v>NA</v>
      </c>
      <c r="F41" s="4344" t="str">
        <f>IF(SUM(D41)=0,"NA",H41/D41*1000/(44/28))</f>
        <v>NA</v>
      </c>
      <c r="G41" s="4350" t="s">
        <v>2146</v>
      </c>
      <c r="H41" s="4351" t="s">
        <v>2146</v>
      </c>
      <c r="I41" s="4344" t="str">
        <f t="shared" si="8"/>
        <v>NO</v>
      </c>
    </row>
    <row r="42" spans="2:9" ht="18" customHeight="1" x14ac:dyDescent="0.2">
      <c r="B42" s="528" t="s">
        <v>1247</v>
      </c>
      <c r="C42" s="4350" t="s">
        <v>2146</v>
      </c>
      <c r="D42" s="4352" t="s">
        <v>2146</v>
      </c>
      <c r="E42" s="4345" t="str">
        <f t="shared" ref="E42:E47" si="11">IF(SUM(C42)=0,"NA",G42/C42*1000/(44/28))</f>
        <v>NA</v>
      </c>
      <c r="F42" s="4344" t="str">
        <f t="shared" ref="F42:F46" si="12">IF(SUM(D42)=0,"NA",H42/D42*1000/(44/28))</f>
        <v>NA</v>
      </c>
      <c r="G42" s="4350" t="s">
        <v>2146</v>
      </c>
      <c r="H42" s="4351" t="s">
        <v>2146</v>
      </c>
      <c r="I42" s="4344" t="str">
        <f t="shared" si="8"/>
        <v>NO</v>
      </c>
    </row>
    <row r="43" spans="2:9" ht="18" customHeight="1" x14ac:dyDescent="0.2">
      <c r="B43" s="528" t="s">
        <v>1248</v>
      </c>
      <c r="C43" s="4350" t="s">
        <v>2146</v>
      </c>
      <c r="D43" s="4352" t="s">
        <v>2146</v>
      </c>
      <c r="E43" s="4345" t="str">
        <f t="shared" si="11"/>
        <v>NA</v>
      </c>
      <c r="F43" s="4344" t="str">
        <f t="shared" si="12"/>
        <v>NA</v>
      </c>
      <c r="G43" s="4350" t="s">
        <v>2146</v>
      </c>
      <c r="H43" s="4351" t="s">
        <v>2146</v>
      </c>
      <c r="I43" s="4344" t="str">
        <f t="shared" si="8"/>
        <v>NO</v>
      </c>
    </row>
    <row r="44" spans="2:9" ht="18" customHeight="1" x14ac:dyDescent="0.2">
      <c r="B44" s="528" t="s">
        <v>1249</v>
      </c>
      <c r="C44" s="4350" t="s">
        <v>2146</v>
      </c>
      <c r="D44" s="4352" t="s">
        <v>2146</v>
      </c>
      <c r="E44" s="4345" t="str">
        <f t="shared" si="11"/>
        <v>NA</v>
      </c>
      <c r="F44" s="4344" t="str">
        <f t="shared" si="12"/>
        <v>NA</v>
      </c>
      <c r="G44" s="4350" t="s">
        <v>2146</v>
      </c>
      <c r="H44" s="4351" t="s">
        <v>2146</v>
      </c>
      <c r="I44" s="4344" t="str">
        <f t="shared" si="8"/>
        <v>NO</v>
      </c>
    </row>
    <row r="45" spans="2:9" ht="18" customHeight="1" thickBot="1" x14ac:dyDescent="0.25">
      <c r="B45" s="529" t="s">
        <v>1250</v>
      </c>
      <c r="C45" s="4353" t="s">
        <v>2146</v>
      </c>
      <c r="D45" s="4354" t="s">
        <v>2146</v>
      </c>
      <c r="E45" s="4355" t="str">
        <f t="shared" si="11"/>
        <v>NA</v>
      </c>
      <c r="F45" s="4356" t="str">
        <f t="shared" si="12"/>
        <v>NA</v>
      </c>
      <c r="G45" s="4353" t="s">
        <v>2146</v>
      </c>
      <c r="H45" s="4357" t="s">
        <v>2146</v>
      </c>
      <c r="I45" s="4358" t="str">
        <f t="shared" si="8"/>
        <v>NO</v>
      </c>
    </row>
    <row r="46" spans="2:9" ht="18" customHeight="1" x14ac:dyDescent="0.2">
      <c r="B46" s="915" t="s">
        <v>1909</v>
      </c>
      <c r="C46" s="4336">
        <f>IF(SUM(C47:C48)=0,"NO",SUM(C47:C48))</f>
        <v>1443.685381258</v>
      </c>
      <c r="D46" s="4337">
        <f>IF(SUM(D47:D48)=0,"NO",SUM(D47:D48))</f>
        <v>543.72149244152047</v>
      </c>
      <c r="E46" s="4336">
        <f t="shared" si="11"/>
        <v>8.1268369199696874E-3</v>
      </c>
      <c r="F46" s="4337">
        <f t="shared" si="12"/>
        <v>7.4999999999999997E-3</v>
      </c>
      <c r="G46" s="4336">
        <f>IF(SUM(G47:G48)=0,"NO",SUM(G47:G48))</f>
        <v>1.8436936032786899E-2</v>
      </c>
      <c r="H46" s="4338">
        <f>IF(SUM(H47:H48)=0,"NO",SUM(H47:H48))</f>
        <v>6.4081461609179196E-3</v>
      </c>
      <c r="I46" s="4337">
        <f t="shared" si="8"/>
        <v>2.4845082193704821E-2</v>
      </c>
    </row>
    <row r="47" spans="2:9" ht="18" customHeight="1" x14ac:dyDescent="0.2">
      <c r="B47" s="914" t="s">
        <v>1251</v>
      </c>
      <c r="C47" s="4339">
        <f>Table4.E!E11</f>
        <v>1032.3373812580001</v>
      </c>
      <c r="D47" s="4340">
        <f>H47/F47*1000/(44/28)</f>
        <v>3.1669481874895626</v>
      </c>
      <c r="E47" s="4341">
        <f t="shared" si="11"/>
        <v>4.9285235122803666E-5</v>
      </c>
      <c r="F47" s="4342">
        <v>7.4999999999999997E-3</v>
      </c>
      <c r="G47" s="4339">
        <v>7.995269945356562E-5</v>
      </c>
      <c r="H47" s="4343">
        <v>3.7324746495412702E-5</v>
      </c>
      <c r="I47" s="4344">
        <f t="shared" si="8"/>
        <v>1.1727744594897832E-4</v>
      </c>
    </row>
    <row r="48" spans="2:9" ht="18" customHeight="1" x14ac:dyDescent="0.2">
      <c r="B48" s="914" t="s">
        <v>1910</v>
      </c>
      <c r="C48" s="4345">
        <f>IF(SUM(C50:C54)=0,"NO",SUM(C50:C54))</f>
        <v>411.34800000000001</v>
      </c>
      <c r="D48" s="4344">
        <f>IF(SUM(D50:D54)=0,"NO",SUM(D50:D54))</f>
        <v>540.55454425403093</v>
      </c>
      <c r="E48" s="4345">
        <f>IF(SUM(C48)=0,"NA",G48/C48*1000/(44/28))</f>
        <v>2.8398622739545753E-2</v>
      </c>
      <c r="F48" s="4344">
        <f>IF(SUM(D48)=0,"NA",H48/D48*1000/(44/28))</f>
        <v>7.4999999999999997E-3</v>
      </c>
      <c r="G48" s="4345">
        <f>IF(SUM(G50:G54)=0,"NO",SUM(G50:G54))</f>
        <v>1.8356983333333333E-2</v>
      </c>
      <c r="H48" s="4346">
        <f>IF(SUM(H50:H54)=0,"NO",SUM(H50:H54))</f>
        <v>6.3708214144225072E-3</v>
      </c>
      <c r="I48" s="4344">
        <f t="shared" si="8"/>
        <v>2.4727804747755842E-2</v>
      </c>
    </row>
    <row r="49" spans="2:9" ht="18" customHeight="1" x14ac:dyDescent="0.2">
      <c r="B49" s="1488" t="s">
        <v>345</v>
      </c>
      <c r="C49" s="4347"/>
      <c r="D49" s="4348"/>
      <c r="E49" s="4348"/>
      <c r="F49" s="4348"/>
      <c r="G49" s="4348"/>
      <c r="H49" s="4348"/>
      <c r="I49" s="4349"/>
    </row>
    <row r="50" spans="2:9" ht="18" customHeight="1" x14ac:dyDescent="0.2">
      <c r="B50" s="528" t="s">
        <v>1252</v>
      </c>
      <c r="C50" s="4350">
        <f>Table4.E!E14</f>
        <v>411.34800000000001</v>
      </c>
      <c r="D50" s="4340">
        <f>H50/F50*1000/(44/28)</f>
        <v>540.55454425403093</v>
      </c>
      <c r="E50" s="4345">
        <f>IF(SUM(C50)=0,"NA",G50/C50*1000/(44/28))</f>
        <v>2.8398622739545753E-2</v>
      </c>
      <c r="F50" s="4342">
        <v>7.4999999999999997E-3</v>
      </c>
      <c r="G50" s="4350">
        <v>1.8356983333333333E-2</v>
      </c>
      <c r="H50" s="4351">
        <v>6.3708214144225072E-3</v>
      </c>
      <c r="I50" s="4344">
        <f t="shared" si="8"/>
        <v>2.4727804747755842E-2</v>
      </c>
    </row>
    <row r="51" spans="2:9" ht="18" customHeight="1" x14ac:dyDescent="0.2">
      <c r="B51" s="528" t="s">
        <v>1253</v>
      </c>
      <c r="C51" s="4350" t="s">
        <v>2153</v>
      </c>
      <c r="D51" s="4352" t="s">
        <v>2153</v>
      </c>
      <c r="E51" s="4345" t="str">
        <f t="shared" ref="E51:E56" si="13">IF(SUM(C51)=0,"NA",G51/C51*1000/(44/28))</f>
        <v>NA</v>
      </c>
      <c r="F51" s="4344" t="str">
        <f t="shared" ref="F51:F56" si="14">IF(SUM(D51)=0,"NA",H51/D51*1000/(44/28))</f>
        <v>NA</v>
      </c>
      <c r="G51" s="4350" t="s">
        <v>2153</v>
      </c>
      <c r="H51" s="4351" t="s">
        <v>2153</v>
      </c>
      <c r="I51" s="4344" t="s">
        <v>2153</v>
      </c>
    </row>
    <row r="52" spans="2:9" ht="18" customHeight="1" x14ac:dyDescent="0.2">
      <c r="B52" s="528" t="s">
        <v>1254</v>
      </c>
      <c r="C52" s="4350" t="s">
        <v>2153</v>
      </c>
      <c r="D52" s="4352" t="s">
        <v>2153</v>
      </c>
      <c r="E52" s="4345" t="str">
        <f t="shared" si="13"/>
        <v>NA</v>
      </c>
      <c r="F52" s="4344" t="str">
        <f t="shared" si="14"/>
        <v>NA</v>
      </c>
      <c r="G52" s="4350" t="s">
        <v>2153</v>
      </c>
      <c r="H52" s="4351" t="s">
        <v>2153</v>
      </c>
      <c r="I52" s="4344" t="s">
        <v>2153</v>
      </c>
    </row>
    <row r="53" spans="2:9" ht="18" customHeight="1" x14ac:dyDescent="0.2">
      <c r="B53" s="528" t="s">
        <v>1255</v>
      </c>
      <c r="C53" s="4350" t="s">
        <v>2146</v>
      </c>
      <c r="D53" s="4352" t="s">
        <v>2146</v>
      </c>
      <c r="E53" s="4345" t="str">
        <f t="shared" si="13"/>
        <v>NA</v>
      </c>
      <c r="F53" s="4344" t="str">
        <f t="shared" si="14"/>
        <v>NA</v>
      </c>
      <c r="G53" s="4350" t="s">
        <v>2146</v>
      </c>
      <c r="H53" s="4351" t="s">
        <v>2146</v>
      </c>
      <c r="I53" s="4344" t="str">
        <f t="shared" si="8"/>
        <v>NO</v>
      </c>
    </row>
    <row r="54" spans="2:9" ht="18" customHeight="1" thickBot="1" x14ac:dyDescent="0.25">
      <c r="B54" s="529" t="s">
        <v>1256</v>
      </c>
      <c r="C54" s="4353" t="s">
        <v>2146</v>
      </c>
      <c r="D54" s="4354" t="s">
        <v>2146</v>
      </c>
      <c r="E54" s="4355" t="str">
        <f t="shared" si="13"/>
        <v>NA</v>
      </c>
      <c r="F54" s="4356" t="str">
        <f t="shared" si="14"/>
        <v>NA</v>
      </c>
      <c r="G54" s="4353" t="s">
        <v>2146</v>
      </c>
      <c r="H54" s="4357" t="s">
        <v>2146</v>
      </c>
      <c r="I54" s="4358" t="str">
        <f t="shared" si="8"/>
        <v>NO</v>
      </c>
    </row>
    <row r="55" spans="2:9" ht="18" customHeight="1" x14ac:dyDescent="0.2">
      <c r="B55" s="916" t="s">
        <v>1983</v>
      </c>
      <c r="C55" s="4359" t="str">
        <f>C56</f>
        <v>NO</v>
      </c>
      <c r="D55" s="4360" t="str">
        <f>D56</f>
        <v>NO</v>
      </c>
      <c r="E55" s="4359" t="str">
        <f t="shared" si="13"/>
        <v>NA</v>
      </c>
      <c r="F55" s="4360" t="str">
        <f t="shared" si="14"/>
        <v>NA</v>
      </c>
      <c r="G55" s="4359" t="str">
        <f>G56</f>
        <v>NO</v>
      </c>
      <c r="H55" s="4361" t="str">
        <f>H56</f>
        <v>NO</v>
      </c>
      <c r="I55" s="4337" t="str">
        <f t="shared" si="8"/>
        <v>NO</v>
      </c>
    </row>
    <row r="56" spans="2:9" ht="18" customHeight="1" x14ac:dyDescent="0.2">
      <c r="B56" s="914" t="s">
        <v>1911</v>
      </c>
      <c r="C56" s="4345" t="str">
        <f>IF(SUM(C58:C62)=0,"NO",SUM(C58:C62))</f>
        <v>NO</v>
      </c>
      <c r="D56" s="4344" t="str">
        <f>IF(SUM(D58:D62)=0,"NO",SUM(D58:D62))</f>
        <v>NO</v>
      </c>
      <c r="E56" s="4345" t="str">
        <f t="shared" si="13"/>
        <v>NA</v>
      </c>
      <c r="F56" s="4344" t="str">
        <f t="shared" si="14"/>
        <v>NA</v>
      </c>
      <c r="G56" s="4345" t="str">
        <f>IF(SUM(G58:G62)=0,"NO",SUM(G58:G62))</f>
        <v>NO</v>
      </c>
      <c r="H56" s="4346" t="str">
        <f>IF(SUM(H58:H62)=0,"NO",SUM(H58:H62))</f>
        <v>NO</v>
      </c>
      <c r="I56" s="4344" t="str">
        <f t="shared" si="8"/>
        <v>NO</v>
      </c>
    </row>
    <row r="57" spans="2:9" ht="18" customHeight="1" x14ac:dyDescent="0.2">
      <c r="B57" s="1488" t="s">
        <v>345</v>
      </c>
      <c r="C57" s="4347"/>
      <c r="D57" s="4348"/>
      <c r="E57" s="4348"/>
      <c r="F57" s="4348"/>
      <c r="G57" s="4348"/>
      <c r="H57" s="4348"/>
      <c r="I57" s="4349"/>
    </row>
    <row r="58" spans="2:9" ht="18" customHeight="1" x14ac:dyDescent="0.2">
      <c r="B58" s="528" t="s">
        <v>1257</v>
      </c>
      <c r="C58" s="4350" t="s">
        <v>2146</v>
      </c>
      <c r="D58" s="4352" t="s">
        <v>2146</v>
      </c>
      <c r="E58" s="4345" t="str">
        <f>IF(SUM(C58)=0,"NA",G58/C58*1000/(44/28))</f>
        <v>NA</v>
      </c>
      <c r="F58" s="4344" t="str">
        <f>IF(SUM(D58)=0,"NA",H58/D58*1000/(44/28))</f>
        <v>NA</v>
      </c>
      <c r="G58" s="4350" t="s">
        <v>2146</v>
      </c>
      <c r="H58" s="4351" t="s">
        <v>2146</v>
      </c>
      <c r="I58" s="4344" t="str">
        <f t="shared" si="8"/>
        <v>NO</v>
      </c>
    </row>
    <row r="59" spans="2:9" ht="18" customHeight="1" x14ac:dyDescent="0.2">
      <c r="B59" s="528" t="s">
        <v>1258</v>
      </c>
      <c r="C59" s="4350" t="s">
        <v>2146</v>
      </c>
      <c r="D59" s="4352" t="s">
        <v>2146</v>
      </c>
      <c r="E59" s="4345" t="str">
        <f t="shared" ref="E59:E62" si="15">IF(SUM(C59)=0,"NA",G59/C59*1000/(44/28))</f>
        <v>NA</v>
      </c>
      <c r="F59" s="4344" t="str">
        <f t="shared" ref="F59:F62" si="16">IF(SUM(D59)=0,"NA",H59/D59*1000/(44/28))</f>
        <v>NA</v>
      </c>
      <c r="G59" s="4350" t="s">
        <v>2146</v>
      </c>
      <c r="H59" s="4351" t="s">
        <v>2146</v>
      </c>
      <c r="I59" s="4344" t="str">
        <f t="shared" si="8"/>
        <v>NO</v>
      </c>
    </row>
    <row r="60" spans="2:9" ht="18" customHeight="1" x14ac:dyDescent="0.2">
      <c r="B60" s="528" t="s">
        <v>1259</v>
      </c>
      <c r="C60" s="4350" t="s">
        <v>2146</v>
      </c>
      <c r="D60" s="4352" t="s">
        <v>2146</v>
      </c>
      <c r="E60" s="4345" t="str">
        <f t="shared" si="15"/>
        <v>NA</v>
      </c>
      <c r="F60" s="4344" t="str">
        <f t="shared" si="16"/>
        <v>NA</v>
      </c>
      <c r="G60" s="4350" t="s">
        <v>2146</v>
      </c>
      <c r="H60" s="4351" t="s">
        <v>2146</v>
      </c>
      <c r="I60" s="4344" t="str">
        <f t="shared" si="8"/>
        <v>NO</v>
      </c>
    </row>
    <row r="61" spans="2:9" ht="18" customHeight="1" x14ac:dyDescent="0.2">
      <c r="B61" s="528" t="s">
        <v>1260</v>
      </c>
      <c r="C61" s="4350" t="s">
        <v>2146</v>
      </c>
      <c r="D61" s="4352" t="s">
        <v>2146</v>
      </c>
      <c r="E61" s="4345" t="str">
        <f t="shared" si="15"/>
        <v>NA</v>
      </c>
      <c r="F61" s="4344" t="str">
        <f t="shared" si="16"/>
        <v>NA</v>
      </c>
      <c r="G61" s="4350" t="s">
        <v>2146</v>
      </c>
      <c r="H61" s="4351" t="s">
        <v>2146</v>
      </c>
      <c r="I61" s="4344" t="str">
        <f t="shared" si="8"/>
        <v>NO</v>
      </c>
    </row>
    <row r="62" spans="2:9" ht="18" customHeight="1" thickBot="1" x14ac:dyDescent="0.25">
      <c r="B62" s="529" t="s">
        <v>1261</v>
      </c>
      <c r="C62" s="4362" t="s">
        <v>2146</v>
      </c>
      <c r="D62" s="4363" t="s">
        <v>2146</v>
      </c>
      <c r="E62" s="4364" t="str">
        <f t="shared" si="15"/>
        <v>NA</v>
      </c>
      <c r="F62" s="4365" t="str">
        <f t="shared" si="16"/>
        <v>NA</v>
      </c>
      <c r="G62" s="4362" t="s">
        <v>2146</v>
      </c>
      <c r="H62" s="4366" t="s">
        <v>2146</v>
      </c>
      <c r="I62" s="4358"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468"/>
      <c r="C83" s="4469"/>
      <c r="D83" s="4469"/>
      <c r="E83" s="4469"/>
      <c r="F83" s="4469"/>
      <c r="G83" s="4469"/>
      <c r="H83" s="4469"/>
      <c r="I83" s="4470"/>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3"/>
      <c r="K1" s="14" t="s">
        <v>2521</v>
      </c>
    </row>
    <row r="2" spans="2:11" ht="16.350000000000001" customHeight="1" x14ac:dyDescent="0.25">
      <c r="B2" s="1021" t="s">
        <v>120</v>
      </c>
      <c r="J2" s="2183"/>
      <c r="K2" s="14" t="s">
        <v>2522</v>
      </c>
    </row>
    <row r="3" spans="2:11" ht="16.350000000000001" customHeight="1" x14ac:dyDescent="0.25">
      <c r="B3" s="1022" t="s">
        <v>121</v>
      </c>
      <c r="I3" s="2183"/>
      <c r="J3" s="2183"/>
      <c r="K3" s="14" t="s">
        <v>2144</v>
      </c>
    </row>
    <row r="4" spans="2:11" ht="12" customHeight="1" x14ac:dyDescent="0.2">
      <c r="B4" s="2235"/>
      <c r="I4" s="2183"/>
      <c r="J4" s="2183"/>
    </row>
    <row r="5" spans="2:11" ht="12" customHeight="1" x14ac:dyDescent="0.2">
      <c r="B5" s="2551"/>
      <c r="I5" s="2183"/>
      <c r="J5" s="2183"/>
    </row>
    <row r="6" spans="2:11" ht="12" customHeight="1" thickBot="1" x14ac:dyDescent="0.25">
      <c r="B6" s="2448" t="s">
        <v>64</v>
      </c>
      <c r="I6" s="2183"/>
      <c r="J6" s="2183"/>
    </row>
    <row r="7" spans="2:11" ht="12" customHeight="1" x14ac:dyDescent="0.2">
      <c r="B7" s="1860" t="s">
        <v>65</v>
      </c>
      <c r="C7" s="177" t="s">
        <v>122</v>
      </c>
      <c r="D7" s="179"/>
      <c r="E7" s="177" t="s">
        <v>123</v>
      </c>
      <c r="F7" s="178"/>
      <c r="G7" s="179"/>
      <c r="H7" s="177" t="s">
        <v>124</v>
      </c>
      <c r="I7" s="178"/>
      <c r="J7" s="178"/>
      <c r="K7" s="2157"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1" t="s">
        <v>131</v>
      </c>
      <c r="C10" s="1913">
        <f>IF(SUM(C11:C16)=0,"NO",SUM(C11:C16))</f>
        <v>5442219.293074795</v>
      </c>
      <c r="D10" s="3076" t="s">
        <v>1814</v>
      </c>
      <c r="E10" s="628"/>
      <c r="F10" s="628"/>
      <c r="G10" s="628"/>
      <c r="H10" s="1913">
        <f>IF(SUM(H11:H15)=0,"NO",SUM(H11:H15))</f>
        <v>375939.22900890419</v>
      </c>
      <c r="I10" s="1913">
        <f t="shared" ref="I10:K10" si="0">IF(SUM(I11:I16)=0,"NO",SUM(I11:I16))</f>
        <v>90.758636839887146</v>
      </c>
      <c r="J10" s="1913">
        <f t="shared" si="0"/>
        <v>10.687458755213237</v>
      </c>
      <c r="K10" s="3085" t="str">
        <f t="shared" si="0"/>
        <v>NO</v>
      </c>
    </row>
    <row r="11" spans="2:11" ht="18" customHeight="1" x14ac:dyDescent="0.2">
      <c r="B11" s="282" t="s">
        <v>132</v>
      </c>
      <c r="C11" s="3086">
        <f>IF(SUM(C18,'Table1.A(a)s2'!C11,'Table1.A(a)s3'!C11,'Table1.A(a)s4'!C11,'Table1.A(a)s4'!C94)=0,"NO",SUM(C18,'Table1.A(a)s2'!C11,'Table1.A(a)s3'!C11,'Table1.A(a)s4'!C11,'Table1.A(a)s4'!C94))</f>
        <v>1971116.3273776555</v>
      </c>
      <c r="D11" s="3077" t="s">
        <v>2145</v>
      </c>
      <c r="E11" s="1913">
        <f>IFERROR(H11*1000/$C11,"NA")</f>
        <v>68.433981229371128</v>
      </c>
      <c r="F11" s="1913">
        <f t="shared" ref="F11:G16" si="1">IFERROR(I11*1000000/$C11,"NA")</f>
        <v>8.6988889872383766</v>
      </c>
      <c r="G11" s="1913">
        <f t="shared" si="1"/>
        <v>3.360189819835218</v>
      </c>
      <c r="H11" s="1913">
        <f>IF(SUM(H18,'Table1.A(a)s2'!H11,'Table1.A(a)s3'!H11,'Table1.A(a)s4'!H11,'Table1.A(a)s4'!H94)=0,"NO",SUM(H18,'Table1.A(a)s2'!H11,'Table1.A(a)s3'!H11,'Table1.A(a)s4'!H11,'Table1.A(a)s4'!H94))</f>
        <v>134891.33774866944</v>
      </c>
      <c r="I11" s="1913">
        <f>IF(SUM(I18,'Table1.A(a)s2'!I11,'Table1.A(a)s3'!I11,'Table1.A(a)s4'!I11,'Table1.A(a)s4'!I94)=0,"NO",SUM(I18,'Table1.A(a)s2'!I11,'Table1.A(a)s3'!I11,'Table1.A(a)s4'!I11,'Table1.A(a)s4'!I94))</f>
        <v>17.146522112791242</v>
      </c>
      <c r="J11" s="1913">
        <f>IF(SUM(J18,'Table1.A(a)s2'!J11,'Table1.A(a)s3'!J11,'Table1.A(a)s4'!J11,'Table1.A(a)s4'!J94)=0,"NO",SUM(J18,'Table1.A(a)s2'!J11,'Table1.A(a)s3'!J11,'Table1.A(a)s4'!J11,'Table1.A(a)s4'!J94))</f>
        <v>6.6233250169653806</v>
      </c>
      <c r="K11" s="3065" t="str">
        <f>IF(SUM(K18,'Table1.A(a)s2'!K11,'Table1.A(a)s3'!K11,'Table1.A(a)s4'!K11,'Table1.A(a)s4'!K94)=0,"NO",SUM(K18,'Table1.A(a)s2'!K11,'Table1.A(a)s3'!K11,'Table1.A(a)s4'!K11,'Table1.A(a)s4'!K94))</f>
        <v>NO</v>
      </c>
    </row>
    <row r="12" spans="2:11" ht="18" customHeight="1" x14ac:dyDescent="0.2">
      <c r="B12" s="282" t="s">
        <v>133</v>
      </c>
      <c r="C12" s="3086">
        <f>IF(SUM(C19,'Table1.A(a)s2'!C12,'Table1.A(a)s3'!C12,'Table1.A(a)s4'!C12,'Table1.A(a)s4'!C95)=0,"NO",SUM(C19,'Table1.A(a)s2'!C12,'Table1.A(a)s3'!C12,'Table1.A(a)s4'!C12,'Table1.A(a)s4'!C95))</f>
        <v>1885915.8075886548</v>
      </c>
      <c r="D12" s="3077" t="s">
        <v>1814</v>
      </c>
      <c r="E12" s="1913">
        <f t="shared" ref="E12:E16" si="2">IFERROR(H12*1000/$C12,"NA")</f>
        <v>90.760664417573338</v>
      </c>
      <c r="F12" s="1913">
        <f t="shared" si="1"/>
        <v>0.68263820063144565</v>
      </c>
      <c r="G12" s="1913">
        <f t="shared" si="1"/>
        <v>0.91999623022577104</v>
      </c>
      <c r="H12" s="1913">
        <f>IF(SUM(H19,'Table1.A(a)s2'!H12,'Table1.A(a)s3'!H12,'Table1.A(a)s4'!H12,'Table1.A(a)s4'!H95)=0,"NO",SUM(H19,'Table1.A(a)s2'!H12,'Table1.A(a)s3'!H12,'Table1.A(a)s4'!H12,'Table1.A(a)s4'!H95))</f>
        <v>171166.97173235071</v>
      </c>
      <c r="I12" s="1913">
        <f>IF(SUM(I19,'Table1.A(a)s2'!I12,'Table1.A(a)s3'!I12,'Table1.A(a)s4'!I12,'Table1.A(a)s4'!I95)=0,"NO",SUM(I19,'Table1.A(a)s2'!I12,'Table1.A(a)s3'!I12,'Table1.A(a)s4'!I12,'Table1.A(a)s4'!I95))</f>
        <v>1.2873981734347191</v>
      </c>
      <c r="J12" s="1913">
        <f>IF(SUM(J19,'Table1.A(a)s2'!J12,'Table1.A(a)s3'!J12,'Table1.A(a)s4'!J12,'Table1.A(a)s4'!J95)=0,"NO",SUM(J19,'Table1.A(a)s2'!J12,'Table1.A(a)s3'!J12,'Table1.A(a)s4'!J12,'Table1.A(a)s4'!J95))</f>
        <v>1.7350354335047531</v>
      </c>
      <c r="K12" s="3065" t="str">
        <f>IF(SUM(K19,'Table1.A(a)s2'!K12,'Table1.A(a)s3'!K12,'Table1.A(a)s4'!K12,'Table1.A(a)s4'!K95)=0,"NO",SUM(K19,'Table1.A(a)s2'!K12,'Table1.A(a)s3'!K12,'Table1.A(a)s4'!K12,'Table1.A(a)s4'!K95))</f>
        <v>NO</v>
      </c>
    </row>
    <row r="13" spans="2:11" ht="18" customHeight="1" x14ac:dyDescent="0.2">
      <c r="B13" s="282" t="s">
        <v>134</v>
      </c>
      <c r="C13" s="3086">
        <f>IF(SUM(C20,'Table1.A(a)s2'!C13,'Table1.A(a)s3'!C13,'Table1.A(a)s4'!C13,'Table1.A(a)s4'!C96)=0,"NO",SUM(C20,'Table1.A(a)s2'!C13,'Table1.A(a)s3'!C13,'Table1.A(a)s4'!C13,'Table1.A(a)s4'!C96))</f>
        <v>1361387.3935952918</v>
      </c>
      <c r="D13" s="3077" t="s">
        <v>2145</v>
      </c>
      <c r="E13" s="1913">
        <f t="shared" si="2"/>
        <v>51.213878924452949</v>
      </c>
      <c r="F13" s="1913">
        <f t="shared" si="1"/>
        <v>23.658850674089138</v>
      </c>
      <c r="G13" s="1913">
        <f t="shared" si="1"/>
        <v>0.94602057116277882</v>
      </c>
      <c r="H13" s="1913">
        <f>IF(SUM(H20,'Table1.A(a)s2'!H13,'Table1.A(a)s3'!H13,'Table1.A(a)s4'!H13,'Table1.A(a)s4'!H96)=0,"NO",SUM(H20,'Table1.A(a)s2'!H13,'Table1.A(a)s3'!H13,'Table1.A(a)s4'!H13,'Table1.A(a)s4'!H96))</f>
        <v>69721.929144865848</v>
      </c>
      <c r="I13" s="1913">
        <f>IF(SUM(I20,'Table1.A(a)s2'!I13,'Table1.A(a)s3'!I13,'Table1.A(a)s4'!I13,'Table1.A(a)s4'!I96)=0,"NO",SUM(I20,'Table1.A(a)s2'!I13,'Table1.A(a)s3'!I13,'Table1.A(a)s4'!I13,'Table1.A(a)s4'!I96))</f>
        <v>32.208861054658421</v>
      </c>
      <c r="J13" s="1913">
        <f>IF(SUM(J20,'Table1.A(a)s2'!J13,'Table1.A(a)s3'!J13,'Table1.A(a)s4'!J13,'Table1.A(a)s4'!J96)=0,"NO",SUM(J20,'Table1.A(a)s2'!J13,'Table1.A(a)s3'!J13,'Table1.A(a)s4'!J13,'Table1.A(a)s4'!J96))</f>
        <v>1.2879004796628246</v>
      </c>
      <c r="K13" s="3065" t="str">
        <f>IF(SUM(K20,'Table1.A(a)s2'!K13,'Table1.A(a)s3'!K13,'Table1.A(a)s4'!K13,'Table1.A(a)s4'!K96)=0,"NO",SUM(K20,'Table1.A(a)s2'!K13,'Table1.A(a)s3'!K13,'Table1.A(a)s4'!K13,'Table1.A(a)s4'!K96))</f>
        <v>NO</v>
      </c>
    </row>
    <row r="14" spans="2:11" ht="18" customHeight="1" x14ac:dyDescent="0.2">
      <c r="B14" s="282" t="s">
        <v>135</v>
      </c>
      <c r="C14" s="3086">
        <f>IF(SUM(C21,'Table1.A(a)s2'!C14,'Table1.A(a)s3'!C14,'Table1.A(a)s4'!C14,'Table1.A(a)s4'!C97)=0,"NO",SUM(C21,'Table1.A(a)s2'!C14,'Table1.A(a)s3'!C14,'Table1.A(a)s4'!C14,'Table1.A(a)s4'!C97))</f>
        <v>3854.6382049813396</v>
      </c>
      <c r="D14" s="3077" t="s">
        <v>2145</v>
      </c>
      <c r="E14" s="1913">
        <f t="shared" si="2"/>
        <v>41.246512529444232</v>
      </c>
      <c r="F14" s="1913">
        <f t="shared" si="1"/>
        <v>1.0237798160349982</v>
      </c>
      <c r="G14" s="1913">
        <f t="shared" si="1"/>
        <v>0.42281834842612537</v>
      </c>
      <c r="H14" s="1913">
        <f>IF(SUM(H21,'Table1.A(a)s2'!H14,'Table1.A(a)s3'!H14,'Table1.A(a)s4'!H14,'Table1.A(a)s4'!H97)=0,"NO",SUM(H21,'Table1.A(a)s2'!H14,'Table1.A(a)s3'!H14,'Table1.A(a)s4'!H14,'Table1.A(a)s4'!H97))</f>
        <v>158.99038301823725</v>
      </c>
      <c r="I14" s="1913">
        <f>IF(SUM(I21,'Table1.A(a)s2'!I14,'Table1.A(a)s3'!I14,'Table1.A(a)s4'!I14,'Table1.A(a)s4'!I97)=0,"NO",SUM(I21,'Table1.A(a)s2'!I14,'Table1.A(a)s3'!I14,'Table1.A(a)s4'!I14,'Table1.A(a)s4'!I97))</f>
        <v>3.9463007923772721E-3</v>
      </c>
      <c r="J14" s="1913">
        <f>IF(SUM(J21,'Table1.A(a)s2'!J14,'Table1.A(a)s3'!J14,'Table1.A(a)s4'!J14,'Table1.A(a)s4'!J97)=0,"NO",SUM(J21,'Table1.A(a)s2'!J14,'Table1.A(a)s3'!J14,'Table1.A(a)s4'!J14,'Table1.A(a)s4'!J97))</f>
        <v>1.6298117596104545E-3</v>
      </c>
      <c r="K14" s="3065" t="str">
        <f>IF(SUM(K21,'Table1.A(a)s2'!K14,'Table1.A(a)s3'!K14,'Table1.A(a)s4'!K14,'Table1.A(a)s4'!K97)=0,"NO",SUM(K21,'Table1.A(a)s2'!K14,'Table1.A(a)s3'!K14,'Table1.A(a)s4'!K14,'Table1.A(a)s4'!K97))</f>
        <v>NO</v>
      </c>
    </row>
    <row r="15" spans="2:11" ht="18" customHeight="1" x14ac:dyDescent="0.2">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25">
      <c r="B16" s="282" t="s">
        <v>137</v>
      </c>
      <c r="C16" s="3086">
        <f>IF(SUM(C23,'Table1.A(a)s2'!C16,'Table1.A(a)s3'!C15,'Table1.A(a)s4'!C16,'Table1.A(a)s4'!C99)=0,"NO",SUM(C23,'Table1.A(a)s2'!C16,'Table1.A(a)s3'!C15,'Table1.A(a)s4'!C16,'Table1.A(a)s4'!C99))</f>
        <v>219945.12630821168</v>
      </c>
      <c r="D16" s="3079" t="s">
        <v>2145</v>
      </c>
      <c r="E16" s="2880">
        <f t="shared" si="2"/>
        <v>86.825468022502349</v>
      </c>
      <c r="F16" s="1913">
        <f t="shared" si="1"/>
        <v>182.37234837384432</v>
      </c>
      <c r="G16" s="1913">
        <f t="shared" si="1"/>
        <v>4.7264880598623114</v>
      </c>
      <c r="H16" s="2880">
        <f>IF(SUM(H23,'Table1.A(a)s2'!H16,'Table1.A(a)s3'!H15,'Table1.A(a)s4'!H16,'Table1.A(a)s4'!H99)=0,"NO",SUM(H23,'Table1.A(a)s2'!H16,'Table1.A(a)s3'!H15,'Table1.A(a)s4'!H16,'Table1.A(a)s4'!H99))</f>
        <v>19096.838530978872</v>
      </c>
      <c r="I16" s="2880">
        <f>IF(SUM(I23,'Table1.A(a)s2'!I16,'Table1.A(a)s3'!I15,'Table1.A(a)s4'!I16,'Table1.A(a)s4'!I99)=0,"NO",SUM(I23,'Table1.A(a)s2'!I16,'Table1.A(a)s3'!I15,'Table1.A(a)s4'!I16,'Table1.A(a)s4'!I99))</f>
        <v>40.111909198210377</v>
      </c>
      <c r="J16" s="2880">
        <f>IF(SUM(J23,'Table1.A(a)s2'!J16,'Table1.A(a)s3'!J15,'Table1.A(a)s4'!J16,'Table1.A(a)s4'!J99)=0,"NO",SUM(J23,'Table1.A(a)s2'!J16,'Table1.A(a)s3'!J15,'Table1.A(a)s4'!J16,'Table1.A(a)s4'!J99))</f>
        <v>1.0395680133206704</v>
      </c>
      <c r="K16" s="3066" t="str">
        <f>IF(SUM(K23,'Table1.A(a)s2'!K16,'Table1.A(a)s3'!K15,'Table1.A(a)s4'!K16,'Table1.A(a)s4'!K99)=0,"NO",SUM(K23,'Table1.A(a)s2'!K16,'Table1.A(a)s3'!K15,'Table1.A(a)s4'!K16,'Table1.A(a)s4'!K99))</f>
        <v>NO</v>
      </c>
    </row>
    <row r="17" spans="2:12" ht="18" customHeight="1" x14ac:dyDescent="0.2">
      <c r="B17" s="2184" t="s">
        <v>76</v>
      </c>
      <c r="C17" s="3067">
        <f>IF(SUM(C18:C23)=0,"NO",SUM(C18:C23))</f>
        <v>2851427.562661801</v>
      </c>
      <c r="D17" s="3080" t="s">
        <v>1814</v>
      </c>
      <c r="E17" s="3081"/>
      <c r="F17" s="3081"/>
      <c r="G17" s="3081"/>
      <c r="H17" s="3067">
        <f>IF(SUM(H18:H22)=0,"NO",SUM(H18:H22))</f>
        <v>217816.75285319224</v>
      </c>
      <c r="I17" s="3067">
        <f t="shared" ref="I17" si="3">IF(SUM(I18:I23)=0,"NO",SUM(I18:I23))</f>
        <v>36.67766620431474</v>
      </c>
      <c r="J17" s="3067">
        <f t="shared" ref="J17" si="4">IF(SUM(J18:J23)=0,"NO",SUM(J18:J23))</f>
        <v>3.2185072400352954</v>
      </c>
      <c r="K17" s="3068" t="str">
        <f t="shared" ref="K17" si="5">IF(SUM(K18:K23)=0,"NO",SUM(K18:K23))</f>
        <v>NO</v>
      </c>
    </row>
    <row r="18" spans="2:12" ht="18" customHeight="1" x14ac:dyDescent="0.2">
      <c r="B18" s="282" t="s">
        <v>132</v>
      </c>
      <c r="C18" s="3086">
        <f>IF(SUM(C25,C54,C61)=0,"NO",SUM(C25,C54,C61))</f>
        <v>209808.00110081426</v>
      </c>
      <c r="D18" s="3077" t="s">
        <v>1814</v>
      </c>
      <c r="E18" s="1913">
        <f>IFERROR(H18*1000/$C18,"NA")</f>
        <v>67.91053486907478</v>
      </c>
      <c r="F18" s="1913">
        <f t="shared" ref="F18:G23" si="6">IFERROR(I18*1000000/$C18,"NA")</f>
        <v>2.9508420078284394</v>
      </c>
      <c r="G18" s="1913">
        <f t="shared" si="6"/>
        <v>1.9281852982154797</v>
      </c>
      <c r="H18" s="3086">
        <f>IF(SUM(H25,H54,H61)=0,"NO",SUM(H25,H54,H61))</f>
        <v>14248.173574567727</v>
      </c>
      <c r="I18" s="3086">
        <f>IF(SUM(I25,I54,I61)=0,"NO",SUM(I25,I54,I61))</f>
        <v>0.61911026322679819</v>
      </c>
      <c r="J18" s="3086">
        <f>IF(SUM(J25,J54,J61)=0,"NO",SUM(J25,J54,J61))</f>
        <v>0.40454870317056724</v>
      </c>
      <c r="K18" s="3069" t="str">
        <f>IF(SUM(K25,K54,K61)=0,"NO",SUM(K25,K54,K61))</f>
        <v>NO</v>
      </c>
      <c r="L18" s="19"/>
    </row>
    <row r="19" spans="2:12" ht="18" customHeight="1" x14ac:dyDescent="0.2">
      <c r="B19" s="282" t="s">
        <v>133</v>
      </c>
      <c r="C19" s="3086">
        <f t="shared" ref="C19:C23" si="7">IF(SUM(C26,C55,C62)=0,"NO",SUM(C26,C55,C62))</f>
        <v>1766600.8136784583</v>
      </c>
      <c r="D19" s="3077" t="s">
        <v>1814</v>
      </c>
      <c r="E19" s="1913">
        <f t="shared" ref="E19:E23" si="8">IFERROR(H19*1000/$C19,"NA")</f>
        <v>91.342252496455615</v>
      </c>
      <c r="F19" s="1913">
        <f t="shared" si="6"/>
        <v>0.66470636002804973</v>
      </c>
      <c r="G19" s="1913">
        <f t="shared" si="6"/>
        <v>0.93502029493220329</v>
      </c>
      <c r="H19" s="3086">
        <f t="shared" ref="H19:K23" si="9">IF(SUM(H26,H55,H62)=0,"NO",SUM(H26,H55,H62))</f>
        <v>161365.29758346168</v>
      </c>
      <c r="I19" s="3086">
        <f t="shared" si="9"/>
        <v>1.174270796482799</v>
      </c>
      <c r="J19" s="3086">
        <f t="shared" si="9"/>
        <v>1.6518076138331024</v>
      </c>
      <c r="K19" s="3069" t="str">
        <f t="shared" si="9"/>
        <v>NO</v>
      </c>
      <c r="L19" s="19"/>
    </row>
    <row r="20" spans="2:12" ht="18" customHeight="1" x14ac:dyDescent="0.2">
      <c r="B20" s="282" t="s">
        <v>134</v>
      </c>
      <c r="C20" s="3086">
        <f t="shared" si="7"/>
        <v>823066.95403024124</v>
      </c>
      <c r="D20" s="3077" t="s">
        <v>1814</v>
      </c>
      <c r="E20" s="1913">
        <f t="shared" si="8"/>
        <v>51.083937678574827</v>
      </c>
      <c r="F20" s="1913">
        <f t="shared" si="6"/>
        <v>37.808863566385881</v>
      </c>
      <c r="G20" s="1913">
        <f t="shared" si="6"/>
        <v>1.1226711092112125</v>
      </c>
      <c r="H20" s="3086">
        <f t="shared" si="9"/>
        <v>42045.500984975253</v>
      </c>
      <c r="I20" s="3086">
        <f t="shared" si="9"/>
        <v>31.11922617093019</v>
      </c>
      <c r="J20" s="3086">
        <f t="shared" si="9"/>
        <v>0.92403349023622494</v>
      </c>
      <c r="K20" s="3069" t="str">
        <f t="shared" si="9"/>
        <v>NO</v>
      </c>
      <c r="L20" s="19"/>
    </row>
    <row r="21" spans="2:12" ht="18" customHeight="1" x14ac:dyDescent="0.2">
      <c r="B21" s="282" t="s">
        <v>135</v>
      </c>
      <c r="C21" s="3086">
        <f t="shared" si="7"/>
        <v>3838.1351649999997</v>
      </c>
      <c r="D21" s="3077" t="s">
        <v>1814</v>
      </c>
      <c r="E21" s="1913">
        <f t="shared" si="8"/>
        <v>41.108690393816566</v>
      </c>
      <c r="F21" s="1913">
        <f t="shared" si="6"/>
        <v>1.0281818181818181</v>
      </c>
      <c r="G21" s="1913">
        <f t="shared" si="6"/>
        <v>0.4246363636363637</v>
      </c>
      <c r="H21" s="3086">
        <f t="shared" si="9"/>
        <v>157.78071018760505</v>
      </c>
      <c r="I21" s="3086">
        <f t="shared" si="9"/>
        <v>3.9463007923772721E-3</v>
      </c>
      <c r="J21" s="3086">
        <f t="shared" si="9"/>
        <v>1.6298117596104545E-3</v>
      </c>
      <c r="K21" s="3069" t="str">
        <f t="shared" si="9"/>
        <v>NO</v>
      </c>
      <c r="L21" s="19"/>
    </row>
    <row r="22" spans="2:12" ht="18" customHeight="1" x14ac:dyDescent="0.2">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
      <c r="B23" s="282" t="s">
        <v>137</v>
      </c>
      <c r="C23" s="3086">
        <f t="shared" si="7"/>
        <v>48113.658687287323</v>
      </c>
      <c r="D23" s="3077" t="s">
        <v>1814</v>
      </c>
      <c r="E23" s="1913">
        <f t="shared" si="8"/>
        <v>80.838399865507753</v>
      </c>
      <c r="F23" s="1913">
        <f t="shared" si="6"/>
        <v>78.171412765089542</v>
      </c>
      <c r="G23" s="1913">
        <f t="shared" si="6"/>
        <v>4.9151868198764825</v>
      </c>
      <c r="H23" s="3086">
        <f t="shared" si="9"/>
        <v>3889.4311799554935</v>
      </c>
      <c r="I23" s="3086">
        <f t="shared" si="9"/>
        <v>3.7611126728825734</v>
      </c>
      <c r="J23" s="3086">
        <f t="shared" si="9"/>
        <v>0.23648762103579027</v>
      </c>
      <c r="K23" s="3069" t="str">
        <f t="shared" si="9"/>
        <v>NO</v>
      </c>
      <c r="L23" s="19"/>
    </row>
    <row r="24" spans="2:12" ht="18" customHeight="1" x14ac:dyDescent="0.2">
      <c r="B24" s="1237" t="s">
        <v>138</v>
      </c>
      <c r="C24" s="3086">
        <f>IF(SUM(C25:C30)=0,"NO",SUM(C25:C30))</f>
        <v>2429276.5017558029</v>
      </c>
      <c r="D24" s="3077" t="s">
        <v>1814</v>
      </c>
      <c r="E24" s="628"/>
      <c r="F24" s="628"/>
      <c r="G24" s="628"/>
      <c r="H24" s="3086">
        <f>IF(SUM(H25:H29)=0,"NO",SUM(H25:H29))</f>
        <v>193307.15955074469</v>
      </c>
      <c r="I24" s="3086">
        <f t="shared" ref="I24" si="10">IF(SUM(I25:I30)=0,"NO",SUM(I25:I30))</f>
        <v>26.40887658216009</v>
      </c>
      <c r="J24" s="3086">
        <f t="shared" ref="J24" si="11">IF(SUM(J25:J30)=0,"NO",SUM(J25:J30))</f>
        <v>2.6019402059509642</v>
      </c>
      <c r="K24" s="3069" t="str">
        <f t="shared" ref="K24" si="12">IF(SUM(K25:K30)=0,"NO",SUM(K25:K30))</f>
        <v>NO</v>
      </c>
      <c r="L24" s="19"/>
    </row>
    <row r="25" spans="2:12" ht="18" customHeight="1" x14ac:dyDescent="0.2">
      <c r="B25" s="160" t="s">
        <v>132</v>
      </c>
      <c r="C25" s="3074">
        <f>IF(SUM(C33,C40,C47)=0,"NO",SUM(C33,C40,C47))</f>
        <v>55338.402044552458</v>
      </c>
      <c r="D25" s="3082" t="s">
        <v>1814</v>
      </c>
      <c r="E25" s="3086">
        <f>IFERROR(H25*1000/$C25,"NA")</f>
        <v>69.14244494404538</v>
      </c>
      <c r="F25" s="1913">
        <f t="shared" ref="F25:G30" si="13">IFERROR(I25*1000000/$C25,"NA")</f>
        <v>3.4064531278079269</v>
      </c>
      <c r="G25" s="1913">
        <f t="shared" si="13"/>
        <v>0.37147692673599331</v>
      </c>
      <c r="H25" s="3086">
        <f>IF(SUM(H33,H40,H47)=0,"NO",SUM(H33,H40,H47))</f>
        <v>3826.2324166569165</v>
      </c>
      <c r="I25" s="3086">
        <f>IF(SUM(I33,I40,I47)=0,"NO",SUM(I33,I40,I47))</f>
        <v>0.18850767273255831</v>
      </c>
      <c r="J25" s="3086">
        <f>IF(SUM(J33,J40,J47)=0,"NO",SUM(J33,J40,J47))</f>
        <v>2.0556939521991155E-2</v>
      </c>
      <c r="K25" s="3069" t="str">
        <f>IF(SUM(K33,K40,K47)=0,"NO",SUM(K33,K40,K47))</f>
        <v>NO</v>
      </c>
      <c r="L25" s="19"/>
    </row>
    <row r="26" spans="2:12" ht="18" customHeight="1" x14ac:dyDescent="0.2">
      <c r="B26" s="160" t="s">
        <v>133</v>
      </c>
      <c r="C26" s="3086">
        <f t="shared" ref="C26:C30" si="14">IF(SUM(C34,C41,C48)=0,"NO",SUM(C34,C41,C48))</f>
        <v>1753786.6085482677</v>
      </c>
      <c r="D26" s="3082" t="s">
        <v>1814</v>
      </c>
      <c r="E26" s="3086">
        <f t="shared" ref="E26:E30" si="15">IFERROR(H26*1000/$C26,"NA")</f>
        <v>91.420079102867064</v>
      </c>
      <c r="F26" s="1913">
        <f t="shared" si="13"/>
        <v>0.66254562478826828</v>
      </c>
      <c r="G26" s="1913">
        <f t="shared" si="13"/>
        <v>0.93621556506478676</v>
      </c>
      <c r="H26" s="3086">
        <f t="shared" ref="H26:K30" si="16">IF(SUM(H34,H41,H48)=0,"NO",SUM(H34,H41,H48))</f>
        <v>160331.31048303159</v>
      </c>
      <c r="I26" s="3086">
        <f t="shared" si="16"/>
        <v>1.1619636443059103</v>
      </c>
      <c r="J26" s="3086">
        <f t="shared" si="16"/>
        <v>1.6419223207250724</v>
      </c>
      <c r="K26" s="3069" t="str">
        <f t="shared" si="16"/>
        <v>NO</v>
      </c>
      <c r="L26" s="19"/>
    </row>
    <row r="27" spans="2:12" ht="18" customHeight="1" x14ac:dyDescent="0.2">
      <c r="B27" s="160" t="s">
        <v>134</v>
      </c>
      <c r="C27" s="3086">
        <f t="shared" si="14"/>
        <v>572215.43547569541</v>
      </c>
      <c r="D27" s="3082" t="s">
        <v>1814</v>
      </c>
      <c r="E27" s="3086">
        <f t="shared" si="15"/>
        <v>50.941681827970037</v>
      </c>
      <c r="F27" s="1913">
        <f t="shared" si="13"/>
        <v>37.220127618054761</v>
      </c>
      <c r="G27" s="1913">
        <f t="shared" si="13"/>
        <v>1.2296253398685293</v>
      </c>
      <c r="H27" s="3086">
        <f t="shared" si="16"/>
        <v>29149.616651056192</v>
      </c>
      <c r="I27" s="3086">
        <f t="shared" si="16"/>
        <v>21.297931533426162</v>
      </c>
      <c r="J27" s="3086">
        <f t="shared" si="16"/>
        <v>0.7036105993248204</v>
      </c>
      <c r="K27" s="3069" t="str">
        <f t="shared" si="16"/>
        <v>NO</v>
      </c>
      <c r="L27" s="19"/>
    </row>
    <row r="28" spans="2:12" ht="18" customHeight="1" x14ac:dyDescent="0.2">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
      <c r="B30" s="282" t="s">
        <v>137</v>
      </c>
      <c r="C30" s="3086">
        <f t="shared" si="14"/>
        <v>47936.05568728732</v>
      </c>
      <c r="D30" s="3082" t="s">
        <v>1814</v>
      </c>
      <c r="E30" s="3086">
        <f t="shared" si="15"/>
        <v>80.885559793741734</v>
      </c>
      <c r="F30" s="1913">
        <f t="shared" si="13"/>
        <v>78.447708677306508</v>
      </c>
      <c r="G30" s="1913">
        <f t="shared" si="13"/>
        <v>4.9201033125808014</v>
      </c>
      <c r="H30" s="3086">
        <f t="shared" si="16"/>
        <v>3877.3346985702119</v>
      </c>
      <c r="I30" s="3086">
        <f t="shared" si="16"/>
        <v>3.7604737316954573</v>
      </c>
      <c r="J30" s="3086">
        <f t="shared" si="16"/>
        <v>0.23585034637908012</v>
      </c>
      <c r="K30" s="3069" t="str">
        <f t="shared" si="16"/>
        <v>NO</v>
      </c>
      <c r="L30" s="19"/>
    </row>
    <row r="31" spans="2:12" ht="18" customHeight="1" x14ac:dyDescent="0.2">
      <c r="B31" s="1243" t="s">
        <v>139</v>
      </c>
      <c r="C31" s="3083"/>
      <c r="D31" s="3070"/>
      <c r="E31" s="3070"/>
      <c r="F31" s="3070"/>
      <c r="G31" s="3070"/>
      <c r="H31" s="3070"/>
      <c r="I31" s="3070"/>
      <c r="J31" s="3070"/>
      <c r="K31" s="3071"/>
      <c r="L31" s="19"/>
    </row>
    <row r="32" spans="2:12" ht="18" customHeight="1" x14ac:dyDescent="0.2">
      <c r="B32" s="1238" t="s">
        <v>140</v>
      </c>
      <c r="C32" s="3086">
        <f>IF(SUM(C33:C38)=0,"NO",SUM(C33:C38))</f>
        <v>2429276.5017558029</v>
      </c>
      <c r="D32" s="3077" t="s">
        <v>1814</v>
      </c>
      <c r="E32" s="1914"/>
      <c r="F32" s="1914"/>
      <c r="G32" s="1914"/>
      <c r="H32" s="3086">
        <f>IF(SUM(H33:H37)=0,"NO",SUM(H33:H37))</f>
        <v>193307.15955074469</v>
      </c>
      <c r="I32" s="3086">
        <f t="shared" ref="I32" si="17">IF(SUM(I33:I38)=0,"NO",SUM(I33:I38))</f>
        <v>26.40887658216009</v>
      </c>
      <c r="J32" s="3086">
        <f t="shared" ref="J32" si="18">IF(SUM(J33:J38)=0,"NO",SUM(J33:J38))</f>
        <v>2.6019402059509642</v>
      </c>
      <c r="K32" s="3069" t="str">
        <f t="shared" ref="K32" si="19">IF(SUM(K33:K38)=0,"NO",SUM(K33:K38))</f>
        <v>NO</v>
      </c>
      <c r="L32" s="19"/>
    </row>
    <row r="33" spans="2:12" ht="18" customHeight="1" x14ac:dyDescent="0.2">
      <c r="B33" s="160" t="s">
        <v>132</v>
      </c>
      <c r="C33" s="3033">
        <v>55338.402044552458</v>
      </c>
      <c r="D33" s="3077" t="s">
        <v>1814</v>
      </c>
      <c r="E33" s="1913">
        <f>IFERROR(H33*1000/$C33,"NA")</f>
        <v>69.14244494404538</v>
      </c>
      <c r="F33" s="1913">
        <f t="shared" ref="F33:G38" si="20">IFERROR(I33*1000000/$C33,"NA")</f>
        <v>3.4064531278079269</v>
      </c>
      <c r="G33" s="1913">
        <f t="shared" si="20"/>
        <v>0.37147692673599331</v>
      </c>
      <c r="H33" s="3033">
        <v>3826.2324166569165</v>
      </c>
      <c r="I33" s="3033">
        <v>0.18850767273255831</v>
      </c>
      <c r="J33" s="3033">
        <v>2.0556939521991155E-2</v>
      </c>
      <c r="K33" s="3072" t="s">
        <v>2146</v>
      </c>
      <c r="L33" s="19"/>
    </row>
    <row r="34" spans="2:12" ht="18" customHeight="1" x14ac:dyDescent="0.2">
      <c r="B34" s="160" t="s">
        <v>133</v>
      </c>
      <c r="C34" s="3033">
        <v>1753786.6085482677</v>
      </c>
      <c r="D34" s="3077" t="s">
        <v>1814</v>
      </c>
      <c r="E34" s="1913">
        <f t="shared" ref="E34:E38" si="21">IFERROR(H34*1000/$C34,"NA")</f>
        <v>91.420079102867064</v>
      </c>
      <c r="F34" s="1913">
        <f t="shared" si="20"/>
        <v>0.66254562478826828</v>
      </c>
      <c r="G34" s="1913">
        <f t="shared" si="20"/>
        <v>0.93621556506478676</v>
      </c>
      <c r="H34" s="3033">
        <v>160331.31048303159</v>
      </c>
      <c r="I34" s="3033">
        <v>1.1619636443059103</v>
      </c>
      <c r="J34" s="3033">
        <v>1.6419223207250724</v>
      </c>
      <c r="K34" s="3072" t="s">
        <v>2146</v>
      </c>
      <c r="L34" s="19"/>
    </row>
    <row r="35" spans="2:12" ht="18" customHeight="1" x14ac:dyDescent="0.2">
      <c r="B35" s="160" t="s">
        <v>134</v>
      </c>
      <c r="C35" s="3033">
        <v>572215.43547569541</v>
      </c>
      <c r="D35" s="3077" t="s">
        <v>1814</v>
      </c>
      <c r="E35" s="1913">
        <f t="shared" si="21"/>
        <v>50.941681827970037</v>
      </c>
      <c r="F35" s="1913">
        <f t="shared" si="20"/>
        <v>37.220127618054761</v>
      </c>
      <c r="G35" s="1913">
        <f t="shared" si="20"/>
        <v>1.2296253398685293</v>
      </c>
      <c r="H35" s="3033">
        <v>29149.616651056192</v>
      </c>
      <c r="I35" s="3033">
        <v>21.297931533426162</v>
      </c>
      <c r="J35" s="3033">
        <v>0.7036105993248204</v>
      </c>
      <c r="K35" s="3072" t="s">
        <v>2146</v>
      </c>
      <c r="L35" s="19"/>
    </row>
    <row r="36" spans="2:12" ht="18" customHeight="1" x14ac:dyDescent="0.2">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
      <c r="B38" s="282" t="s">
        <v>137</v>
      </c>
      <c r="C38" s="3033">
        <v>47936.05568728732</v>
      </c>
      <c r="D38" s="3077" t="s">
        <v>1814</v>
      </c>
      <c r="E38" s="1913">
        <f t="shared" si="21"/>
        <v>80.885559793741734</v>
      </c>
      <c r="F38" s="1913">
        <f t="shared" si="20"/>
        <v>78.447708677306508</v>
      </c>
      <c r="G38" s="1913">
        <f t="shared" si="20"/>
        <v>4.9201033125808014</v>
      </c>
      <c r="H38" s="3033">
        <v>3877.3346985702119</v>
      </c>
      <c r="I38" s="3033">
        <v>3.7604737316954573</v>
      </c>
      <c r="J38" s="3033">
        <v>0.23585034637908012</v>
      </c>
      <c r="K38" s="3072" t="s">
        <v>2146</v>
      </c>
      <c r="L38" s="19"/>
    </row>
    <row r="39" spans="2:12" ht="18" customHeight="1" x14ac:dyDescent="0.2">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
      <c r="B53" s="1237" t="s">
        <v>78</v>
      </c>
      <c r="C53" s="3086">
        <f>IF(SUM(C54:C59)=0,"NO",SUM(C54:C59))</f>
        <v>51842.107146952789</v>
      </c>
      <c r="D53" s="3077" t="s">
        <v>1814</v>
      </c>
      <c r="E53" s="628"/>
      <c r="F53" s="628"/>
      <c r="G53" s="628"/>
      <c r="H53" s="3086">
        <f>IF(SUM(H54:H58)=0,"NO",SUM(H54:H58))</f>
        <v>3109.5274690001111</v>
      </c>
      <c r="I53" s="3086">
        <f t="shared" ref="I53:K53" si="28">IF(SUM(I54:I59)=0,"NO",SUM(I54:I59))</f>
        <v>5.0047044580831049E-2</v>
      </c>
      <c r="J53" s="3086">
        <f t="shared" si="28"/>
        <v>7.6033035918007018E-3</v>
      </c>
      <c r="K53" s="3069" t="str">
        <f t="shared" si="28"/>
        <v>NO</v>
      </c>
      <c r="L53" s="19"/>
    </row>
    <row r="54" spans="2:12" ht="18" customHeight="1" x14ac:dyDescent="0.2">
      <c r="B54" s="160" t="s">
        <v>132</v>
      </c>
      <c r="C54" s="3033">
        <v>44040.705056261788</v>
      </c>
      <c r="D54" s="3077" t="s">
        <v>1814</v>
      </c>
      <c r="E54" s="1913">
        <f>IFERROR(H54*1000/$C54,"NA")</f>
        <v>62.416372604579827</v>
      </c>
      <c r="F54" s="1913">
        <f t="shared" ref="F54:G59" si="29">IFERROR(I54*1000000/$C54,"NA")</f>
        <v>0.95424868292115661</v>
      </c>
      <c r="G54" s="1913">
        <f t="shared" si="29"/>
        <v>9.7422249967692401E-2</v>
      </c>
      <c r="H54" s="3033">
        <v>2748.8610565600384</v>
      </c>
      <c r="I54" s="3033">
        <v>4.2025784794856934E-2</v>
      </c>
      <c r="J54" s="3033">
        <v>4.2905445767445509E-3</v>
      </c>
      <c r="K54" s="3072" t="s">
        <v>2146</v>
      </c>
    </row>
    <row r="55" spans="2:12" ht="18" customHeight="1" x14ac:dyDescent="0.2">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
      <c r="B56" s="160" t="s">
        <v>134</v>
      </c>
      <c r="C56" s="3033">
        <v>3963.2669256909994</v>
      </c>
      <c r="D56" s="3077" t="s">
        <v>1814</v>
      </c>
      <c r="E56" s="1913">
        <f t="shared" si="30"/>
        <v>51.191531142478965</v>
      </c>
      <c r="F56" s="1913">
        <f t="shared" si="29"/>
        <v>1.0281818181818183</v>
      </c>
      <c r="G56" s="1913">
        <f t="shared" si="29"/>
        <v>0.4246363636363637</v>
      </c>
      <c r="H56" s="3033">
        <v>202.88570225246767</v>
      </c>
      <c r="I56" s="3033">
        <v>4.0749589935968368E-3</v>
      </c>
      <c r="J56" s="3033">
        <v>1.6829472554456965E-3</v>
      </c>
      <c r="K56" s="3072" t="s">
        <v>2146</v>
      </c>
    </row>
    <row r="57" spans="2:12" ht="18" customHeight="1" x14ac:dyDescent="0.2">
      <c r="B57" s="282" t="s">
        <v>135</v>
      </c>
      <c r="C57" s="3033">
        <v>3838.1351649999997</v>
      </c>
      <c r="D57" s="3077" t="s">
        <v>1814</v>
      </c>
      <c r="E57" s="1913">
        <f t="shared" si="30"/>
        <v>41.108690393816566</v>
      </c>
      <c r="F57" s="1913">
        <f t="shared" si="29"/>
        <v>1.0281818181818181</v>
      </c>
      <c r="G57" s="1913">
        <f t="shared" si="29"/>
        <v>0.4246363636363637</v>
      </c>
      <c r="H57" s="3033">
        <v>157.78071018760505</v>
      </c>
      <c r="I57" s="3033">
        <v>3.9463007923772721E-3</v>
      </c>
      <c r="J57" s="3033">
        <v>1.6298117596104545E-3</v>
      </c>
      <c r="K57" s="3072" t="s">
        <v>2146</v>
      </c>
    </row>
    <row r="58" spans="2:12" ht="18" customHeight="1" x14ac:dyDescent="0.2">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
      <c r="B60" s="1237" t="s">
        <v>143</v>
      </c>
      <c r="C60" s="3086">
        <f>IF(SUM(C61:C66)=0,"NO",SUM(C61:C66))</f>
        <v>370308.95375904546</v>
      </c>
      <c r="D60" s="3077" t="s">
        <v>1814</v>
      </c>
      <c r="E60" s="628"/>
      <c r="F60" s="628"/>
      <c r="G60" s="628"/>
      <c r="H60" s="3086">
        <f>IF(SUM(H61:H65)=0,"NO",SUM(H61:H65))</f>
        <v>21400.065833447443</v>
      </c>
      <c r="I60" s="3086">
        <f t="shared" ref="I60:K60" si="31">IF(SUM(I61:I66)=0,"NO",SUM(I61:I66))</f>
        <v>10.218742577573817</v>
      </c>
      <c r="J60" s="3086">
        <f t="shared" si="31"/>
        <v>0.6089637304925305</v>
      </c>
      <c r="K60" s="3069" t="str">
        <f t="shared" si="31"/>
        <v>NO</v>
      </c>
      <c r="L60" s="19"/>
    </row>
    <row r="61" spans="2:12" ht="18" customHeight="1" x14ac:dyDescent="0.2">
      <c r="B61" s="160" t="s">
        <v>132</v>
      </c>
      <c r="C61" s="3074">
        <f>IF(SUM(C69,C76,C83)=0,"NO",SUM(C69,C76,C83))</f>
        <v>110428.894</v>
      </c>
      <c r="D61" s="3077" t="s">
        <v>1814</v>
      </c>
      <c r="E61" s="1913">
        <f>IFERROR(H61*1000/$C61,"NA")</f>
        <v>69.484351634915143</v>
      </c>
      <c r="F61" s="1913">
        <f t="shared" ref="F61:G66" si="32">IFERROR(I61*1000000/$C61,"NA")</f>
        <v>3.5187964999394357</v>
      </c>
      <c r="G61" s="1913">
        <f t="shared" si="32"/>
        <v>3.4384227290353149</v>
      </c>
      <c r="H61" s="3074">
        <f>IF(SUM(H69,H76,H83)=0,"NO",SUM(H69,H76,H83))</f>
        <v>7673.0801013507717</v>
      </c>
      <c r="I61" s="3074">
        <f>IF(SUM(I69,I76,I83)=0,"NO",SUM(I69,I76,I83))</f>
        <v>0.38857680569938297</v>
      </c>
      <c r="J61" s="3074">
        <f>IF(SUM(J69,J76,J83)=0,"NO",SUM(J69,J76,J83))</f>
        <v>0.37970121907183152</v>
      </c>
      <c r="K61" s="3088" t="str">
        <f>IF(SUM(K69,K76,K83)=0,"NO",SUM(K69,K76,K83))</f>
        <v>NO</v>
      </c>
    </row>
    <row r="62" spans="2:12" ht="18" customHeight="1" x14ac:dyDescent="0.2">
      <c r="B62" s="160" t="s">
        <v>133</v>
      </c>
      <c r="C62" s="3074">
        <f t="shared" ref="C62:C66" si="33">IF(SUM(C70,C77,C84)=0,"NO",SUM(C70,C77,C84))</f>
        <v>12814.205130190687</v>
      </c>
      <c r="D62" s="3077" t="s">
        <v>1814</v>
      </c>
      <c r="E62" s="1913">
        <f t="shared" ref="E62:E66" si="34">IFERROR(H62*1000/$C62,"NA")</f>
        <v>80.690693642321435</v>
      </c>
      <c r="F62" s="1913">
        <f t="shared" si="32"/>
        <v>0.96043040140606539</v>
      </c>
      <c r="G62" s="1913">
        <f t="shared" si="32"/>
        <v>0.7714324070511337</v>
      </c>
      <c r="H62" s="3074">
        <f t="shared" ref="H62:K66" si="35">IF(SUM(H70,H77,H84)=0,"NO",SUM(H70,H77,H84))</f>
        <v>1033.9871004300803</v>
      </c>
      <c r="I62" s="3074">
        <f t="shared" si="35"/>
        <v>1.2307152176888703E-2</v>
      </c>
      <c r="J62" s="3074">
        <f t="shared" si="35"/>
        <v>9.8852931080299876E-3</v>
      </c>
      <c r="K62" s="3088" t="str">
        <f t="shared" si="35"/>
        <v>NO</v>
      </c>
    </row>
    <row r="63" spans="2:12" ht="18" customHeight="1" x14ac:dyDescent="0.2">
      <c r="B63" s="160" t="s">
        <v>134</v>
      </c>
      <c r="C63" s="3074">
        <f t="shared" si="33"/>
        <v>246888.25162885475</v>
      </c>
      <c r="D63" s="3077" t="s">
        <v>1814</v>
      </c>
      <c r="E63" s="1913">
        <f t="shared" si="34"/>
        <v>51.411918339265014</v>
      </c>
      <c r="F63" s="1913">
        <f t="shared" si="32"/>
        <v>39.763818706402368</v>
      </c>
      <c r="G63" s="1913">
        <f t="shared" si="32"/>
        <v>0.88598765722068051</v>
      </c>
      <c r="H63" s="3074">
        <f t="shared" si="35"/>
        <v>12692.998631666593</v>
      </c>
      <c r="I63" s="3074">
        <f t="shared" si="35"/>
        <v>9.8172196785104298</v>
      </c>
      <c r="J63" s="3074">
        <f t="shared" si="35"/>
        <v>0.21873994365595886</v>
      </c>
      <c r="K63" s="3088" t="str">
        <f t="shared" si="35"/>
        <v>NO</v>
      </c>
    </row>
    <row r="64" spans="2:12" ht="18" customHeight="1" x14ac:dyDescent="0.2">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
      <c r="B66" s="282" t="s">
        <v>137</v>
      </c>
      <c r="C66" s="3074">
        <f t="shared" si="33"/>
        <v>177.60299999999995</v>
      </c>
      <c r="D66" s="3077" t="s">
        <v>1814</v>
      </c>
      <c r="E66" s="1913">
        <f t="shared" si="34"/>
        <v>68.109668109668107</v>
      </c>
      <c r="F66" s="1913">
        <f t="shared" si="32"/>
        <v>3.5975810493976881</v>
      </c>
      <c r="G66" s="1913">
        <f t="shared" si="32"/>
        <v>3.5881975907510717</v>
      </c>
      <c r="H66" s="3074">
        <f t="shared" si="35"/>
        <v>12.096481385281381</v>
      </c>
      <c r="I66" s="3074">
        <f t="shared" si="35"/>
        <v>6.3894118711617745E-4</v>
      </c>
      <c r="J66" s="3074">
        <f t="shared" si="35"/>
        <v>6.3727465671016244E-4</v>
      </c>
      <c r="K66" s="3088" t="str">
        <f t="shared" si="35"/>
        <v>NO</v>
      </c>
    </row>
    <row r="67" spans="2:11" ht="18" customHeight="1" x14ac:dyDescent="0.2">
      <c r="B67" s="1243" t="s">
        <v>139</v>
      </c>
      <c r="C67" s="3083"/>
      <c r="D67" s="3070"/>
      <c r="E67" s="3070"/>
      <c r="F67" s="3070"/>
      <c r="G67" s="3070"/>
      <c r="H67" s="3070"/>
      <c r="I67" s="3070"/>
      <c r="J67" s="3070"/>
      <c r="K67" s="3071"/>
    </row>
    <row r="68" spans="2:11" ht="18" customHeight="1" x14ac:dyDescent="0.2">
      <c r="B68" s="1238" t="s">
        <v>144</v>
      </c>
      <c r="C68" s="3086">
        <f>IF(SUM(C69:C74)=0,"NO",SUM(C69:C74))</f>
        <v>12814.205130190687</v>
      </c>
      <c r="D68" s="3077" t="s">
        <v>1814</v>
      </c>
      <c r="E68" s="628"/>
      <c r="F68" s="628"/>
      <c r="G68" s="628"/>
      <c r="H68" s="3086">
        <f>IF(SUM(H69:H73)=0,"NO",SUM(H69:H73))</f>
        <v>1033.9871004300803</v>
      </c>
      <c r="I68" s="3086">
        <f t="shared" ref="I68:K68" si="36">IF(SUM(I69:I74)=0,"NO",SUM(I69:I74))</f>
        <v>1.2307152176888703E-2</v>
      </c>
      <c r="J68" s="3086">
        <f t="shared" si="36"/>
        <v>9.8852931080299876E-3</v>
      </c>
      <c r="K68" s="3069" t="str">
        <f t="shared" si="36"/>
        <v>NO</v>
      </c>
    </row>
    <row r="69" spans="2:11" ht="18" customHeight="1" x14ac:dyDescent="0.2">
      <c r="B69" s="282" t="s">
        <v>132</v>
      </c>
      <c r="C69" s="3033" t="s">
        <v>2146</v>
      </c>
      <c r="D69" s="3076" t="s">
        <v>1814</v>
      </c>
      <c r="E69" s="1913" t="str">
        <f>IFERROR(H69*1000/$C69,"NA")</f>
        <v>NA</v>
      </c>
      <c r="F69" s="1913" t="str">
        <f t="shared" ref="F69:G74" si="37">IFERROR(I69*1000000/$C69,"NA")</f>
        <v>NA</v>
      </c>
      <c r="G69" s="1913" t="str">
        <f t="shared" si="37"/>
        <v>NA</v>
      </c>
      <c r="H69" s="3033" t="s">
        <v>2146</v>
      </c>
      <c r="I69" s="3033" t="s">
        <v>2146</v>
      </c>
      <c r="J69" s="3033" t="s">
        <v>2146</v>
      </c>
      <c r="K69" s="3072" t="s">
        <v>2146</v>
      </c>
    </row>
    <row r="70" spans="2:11" ht="18" customHeight="1" x14ac:dyDescent="0.2">
      <c r="B70" s="282" t="s">
        <v>133</v>
      </c>
      <c r="C70" s="3033">
        <v>12814.205130190687</v>
      </c>
      <c r="D70" s="3076" t="s">
        <v>1814</v>
      </c>
      <c r="E70" s="1913">
        <f t="shared" ref="E70:E74" si="38">IFERROR(H70*1000/$C70,"NA")</f>
        <v>80.690693642321435</v>
      </c>
      <c r="F70" s="1913">
        <f t="shared" si="37"/>
        <v>0.96043040140606539</v>
      </c>
      <c r="G70" s="1913">
        <f t="shared" si="37"/>
        <v>0.7714324070511337</v>
      </c>
      <c r="H70" s="3033">
        <v>1033.9871004300803</v>
      </c>
      <c r="I70" s="3033">
        <v>1.2307152176888703E-2</v>
      </c>
      <c r="J70" s="3033">
        <v>9.8852931080299876E-3</v>
      </c>
      <c r="K70" s="3072" t="s">
        <v>2146</v>
      </c>
    </row>
    <row r="71" spans="2:11" ht="18" customHeight="1" x14ac:dyDescent="0.2">
      <c r="B71" s="160" t="s">
        <v>134</v>
      </c>
      <c r="C71" s="3033" t="s">
        <v>2146</v>
      </c>
      <c r="D71" s="3076" t="s">
        <v>1814</v>
      </c>
      <c r="E71" s="1913" t="str">
        <f t="shared" si="38"/>
        <v>NA</v>
      </c>
      <c r="F71" s="1913" t="str">
        <f t="shared" si="37"/>
        <v>NA</v>
      </c>
      <c r="G71" s="1913" t="str">
        <f t="shared" si="37"/>
        <v>NA</v>
      </c>
      <c r="H71" s="3033" t="s">
        <v>2146</v>
      </c>
      <c r="I71" s="3033" t="s">
        <v>2146</v>
      </c>
      <c r="J71" s="3033" t="s">
        <v>2146</v>
      </c>
      <c r="K71" s="3072" t="s">
        <v>2146</v>
      </c>
    </row>
    <row r="72" spans="2:11" ht="18" customHeight="1" x14ac:dyDescent="0.2">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
      <c r="B75" s="1239" t="s">
        <v>145</v>
      </c>
      <c r="C75" s="3086">
        <f>IF(SUM(C76:C81)=0,"NO",SUM(C76:C81))</f>
        <v>241723.17699999997</v>
      </c>
      <c r="D75" s="3077" t="s">
        <v>1814</v>
      </c>
      <c r="E75" s="628"/>
      <c r="F75" s="628"/>
      <c r="G75" s="628"/>
      <c r="H75" s="3086">
        <f>IF(SUM(H76:H80)=0,"NO",SUM(H76:H80))</f>
        <v>12517.716393838702</v>
      </c>
      <c r="I75" s="3086">
        <f t="shared" ref="I75:K75" si="39">IF(SUM(I76:I81)=0,"NO",SUM(I76:I81))</f>
        <v>9.7922656434839634</v>
      </c>
      <c r="J75" s="3086">
        <f t="shared" si="39"/>
        <v>0.21633545142174887</v>
      </c>
      <c r="K75" s="3069" t="str">
        <f t="shared" si="39"/>
        <v>NO</v>
      </c>
    </row>
    <row r="76" spans="2:11" ht="18" customHeight="1" x14ac:dyDescent="0.2">
      <c r="B76" s="282" t="s">
        <v>132</v>
      </c>
      <c r="C76" s="3033">
        <v>6733.7769999999991</v>
      </c>
      <c r="D76" s="3076" t="s">
        <v>1814</v>
      </c>
      <c r="E76" s="1913">
        <f>IFERROR(H76*1000/$C76,"NA")</f>
        <v>64.81660299202413</v>
      </c>
      <c r="F76" s="1913">
        <f t="shared" ref="F76:G81" si="40">IFERROR(I76*1000000/$C76,"NA")</f>
        <v>2.3334871408019806</v>
      </c>
      <c r="G76" s="1913">
        <f t="shared" si="40"/>
        <v>1.249307449177997</v>
      </c>
      <c r="H76" s="3033">
        <v>436.46055044582317</v>
      </c>
      <c r="I76" s="3033">
        <v>1.5713182038528135E-2</v>
      </c>
      <c r="J76" s="3033">
        <v>8.4125577672034633E-3</v>
      </c>
      <c r="K76" s="3072" t="s">
        <v>2146</v>
      </c>
    </row>
    <row r="77" spans="2:11" ht="18" customHeight="1" x14ac:dyDescent="0.2">
      <c r="B77" s="282" t="s">
        <v>133</v>
      </c>
      <c r="C77" s="3033" t="s">
        <v>2146</v>
      </c>
      <c r="D77" s="3076" t="s">
        <v>1814</v>
      </c>
      <c r="E77" s="1913" t="str">
        <f t="shared" ref="E77:E81" si="41">IFERROR(H77*1000/$C77,"NA")</f>
        <v>NA</v>
      </c>
      <c r="F77" s="1913" t="str">
        <f t="shared" si="40"/>
        <v>NA</v>
      </c>
      <c r="G77" s="1913" t="str">
        <f t="shared" si="40"/>
        <v>NA</v>
      </c>
      <c r="H77" s="3033" t="s">
        <v>2146</v>
      </c>
      <c r="I77" s="3033" t="s">
        <v>2146</v>
      </c>
      <c r="J77" s="3033" t="s">
        <v>2146</v>
      </c>
      <c r="K77" s="3072" t="s">
        <v>2146</v>
      </c>
    </row>
    <row r="78" spans="2:11" ht="18" customHeight="1" x14ac:dyDescent="0.2">
      <c r="B78" s="160" t="s">
        <v>134</v>
      </c>
      <c r="C78" s="3033">
        <v>234989.39999999997</v>
      </c>
      <c r="D78" s="3076" t="s">
        <v>1814</v>
      </c>
      <c r="E78" s="1913">
        <f t="shared" si="41"/>
        <v>51.411918339265007</v>
      </c>
      <c r="F78" s="1913">
        <f t="shared" si="40"/>
        <v>41.604227515987688</v>
      </c>
      <c r="G78" s="1913">
        <f t="shared" si="40"/>
        <v>0.88481818181818184</v>
      </c>
      <c r="H78" s="3033">
        <v>12081.255843392879</v>
      </c>
      <c r="I78" s="3033">
        <v>9.7765524614454353</v>
      </c>
      <c r="J78" s="3033">
        <v>0.20792289365454542</v>
      </c>
      <c r="K78" s="3072" t="s">
        <v>2146</v>
      </c>
    </row>
    <row r="79" spans="2:11" ht="18" customHeight="1" x14ac:dyDescent="0.2">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
      <c r="B82" s="1239" t="s">
        <v>146</v>
      </c>
      <c r="C82" s="3086">
        <f>IF(SUM(C83:C88)=0,"NO",SUM(C83:C88))</f>
        <v>115771.5716288548</v>
      </c>
      <c r="D82" s="3077" t="s">
        <v>1814</v>
      </c>
      <c r="E82" s="628"/>
      <c r="F82" s="628"/>
      <c r="G82" s="628"/>
      <c r="H82" s="3086">
        <f>IF(SUM(H83:H87)=0,"NO",SUM(H83:H87))</f>
        <v>7848.3623391786614</v>
      </c>
      <c r="I82" s="3086">
        <f t="shared" ref="I82:K82" si="42">IF(SUM(I83:I88)=0,"NO",SUM(I83:I88))</f>
        <v>0.41416978191296561</v>
      </c>
      <c r="J82" s="3086">
        <f t="shared" si="42"/>
        <v>0.38274298596275169</v>
      </c>
      <c r="K82" s="3069" t="str">
        <f t="shared" si="42"/>
        <v>NO</v>
      </c>
    </row>
    <row r="83" spans="2:11" ht="18" customHeight="1" x14ac:dyDescent="0.2">
      <c r="B83" s="282" t="s">
        <v>132</v>
      </c>
      <c r="C83" s="3033">
        <v>103695.117</v>
      </c>
      <c r="D83" s="3076" t="s">
        <v>1814</v>
      </c>
      <c r="E83" s="1913">
        <f>IFERROR(H83*1000/$C83,"NA")</f>
        <v>69.7874669537713</v>
      </c>
      <c r="F83" s="1913">
        <f t="shared" ref="F83:G88" si="43">IFERROR(I83*1000000/$C83,"NA")</f>
        <v>3.5957683876363706</v>
      </c>
      <c r="G83" s="1913">
        <f t="shared" si="43"/>
        <v>3.5805799930254003</v>
      </c>
      <c r="H83" s="3033">
        <v>7236.6195509049485</v>
      </c>
      <c r="I83" s="3033">
        <v>0.37286362366085485</v>
      </c>
      <c r="J83" s="3033">
        <v>0.37128866130462806</v>
      </c>
      <c r="K83" s="3072" t="s">
        <v>2146</v>
      </c>
    </row>
    <row r="84" spans="2:11" ht="18" customHeight="1" x14ac:dyDescent="0.2">
      <c r="B84" s="282" t="s">
        <v>133</v>
      </c>
      <c r="C84" s="3033" t="s">
        <v>2146</v>
      </c>
      <c r="D84" s="3076" t="s">
        <v>1814</v>
      </c>
      <c r="E84" s="1913" t="str">
        <f t="shared" ref="E84:E88" si="44">IFERROR(H84*1000/$C84,"NA")</f>
        <v>NA</v>
      </c>
      <c r="F84" s="1913" t="str">
        <f t="shared" si="43"/>
        <v>NA</v>
      </c>
      <c r="G84" s="1913" t="str">
        <f t="shared" si="43"/>
        <v>NA</v>
      </c>
      <c r="H84" s="3033" t="s">
        <v>2146</v>
      </c>
      <c r="I84" s="3033" t="s">
        <v>2146</v>
      </c>
      <c r="J84" s="3033" t="s">
        <v>2146</v>
      </c>
      <c r="K84" s="3072" t="s">
        <v>2146</v>
      </c>
    </row>
    <row r="85" spans="2:11" ht="18" customHeight="1" x14ac:dyDescent="0.2">
      <c r="B85" s="282" t="s">
        <v>134</v>
      </c>
      <c r="C85" s="3033">
        <v>11898.851628854796</v>
      </c>
      <c r="D85" s="3076" t="s">
        <v>1814</v>
      </c>
      <c r="E85" s="1913">
        <f t="shared" si="44"/>
        <v>51.411918339265</v>
      </c>
      <c r="F85" s="1913">
        <f t="shared" si="43"/>
        <v>3.4177430170131968</v>
      </c>
      <c r="G85" s="1913">
        <f t="shared" si="43"/>
        <v>0.909083526613781</v>
      </c>
      <c r="H85" s="3033">
        <v>611.74278827371313</v>
      </c>
      <c r="I85" s="3033">
        <v>4.0667217064994585E-2</v>
      </c>
      <c r="J85" s="3033">
        <v>1.0817050001413451E-2</v>
      </c>
      <c r="K85" s="3072" t="s">
        <v>2146</v>
      </c>
    </row>
    <row r="86" spans="2:11" ht="18" customHeight="1" x14ac:dyDescent="0.2">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25">
      <c r="B88" s="2185" t="s">
        <v>137</v>
      </c>
      <c r="C88" s="3040">
        <v>177.60299999999995</v>
      </c>
      <c r="D88" s="3084" t="s">
        <v>1814</v>
      </c>
      <c r="E88" s="2880">
        <f t="shared" si="44"/>
        <v>68.109668109668107</v>
      </c>
      <c r="F88" s="2880">
        <f t="shared" si="43"/>
        <v>3.5975810493976881</v>
      </c>
      <c r="G88" s="2880">
        <f t="shared" si="43"/>
        <v>3.5881975907510717</v>
      </c>
      <c r="H88" s="3040">
        <v>12.096481385281381</v>
      </c>
      <c r="I88" s="3040">
        <v>6.3894118711617745E-4</v>
      </c>
      <c r="J88" s="3040">
        <v>6.3727465671016244E-4</v>
      </c>
      <c r="K88" s="3075" t="s">
        <v>2146</v>
      </c>
    </row>
    <row r="90" spans="2:11" ht="12" customHeight="1" x14ac:dyDescent="0.2">
      <c r="B90" s="2015"/>
      <c r="C90" s="2015"/>
    </row>
    <row r="92" spans="2:11" ht="12" customHeight="1" x14ac:dyDescent="0.2">
      <c r="B92" s="2186"/>
      <c r="C92" s="2186"/>
      <c r="D92" s="2186"/>
      <c r="E92" s="2186"/>
      <c r="F92" s="2186"/>
      <c r="G92" s="2187"/>
      <c r="H92" s="2187"/>
      <c r="I92" s="2187"/>
      <c r="J92" s="2188"/>
      <c r="K92" s="2188"/>
    </row>
    <row r="93" spans="2:11" ht="12" customHeight="1" x14ac:dyDescent="0.2">
      <c r="B93" s="2189"/>
      <c r="C93" s="2189"/>
      <c r="D93" s="2189"/>
      <c r="E93" s="2189"/>
      <c r="F93" s="2189"/>
      <c r="G93" s="2189"/>
      <c r="H93" s="2189"/>
      <c r="I93" s="2189"/>
      <c r="J93" s="2189"/>
    </row>
    <row r="94" spans="2:11" ht="12" customHeight="1" x14ac:dyDescent="0.2">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6"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9"/>
      <c r="E10" s="2853" t="s">
        <v>2250</v>
      </c>
      <c r="F10" s="3678">
        <f>IF(SUM(F11,F25,F36,F48,F59,F70,F76)=0,"NO",SUM(F11,F25,F36,F48,F59,F70,F76))</f>
        <v>31801023.632952414</v>
      </c>
      <c r="G10" s="3657" t="s">
        <v>2147</v>
      </c>
      <c r="H10" s="3658">
        <f t="shared" ref="H10:H13" si="0">IF(SUM($F10)=0,"NA",K10*1000/$F10)</f>
        <v>1.7102028509270222E-2</v>
      </c>
      <c r="I10" s="3659">
        <f t="shared" ref="I10:I13" si="1">IF(SUM($F10)=0,"NA",L10*1000/$F10)</f>
        <v>3.7122288053375235E-4</v>
      </c>
      <c r="J10" s="3499" t="str">
        <f>IF(SUM(J11,J25,J36,J48,J59,J70,J76)=0,"IE",SUM(J11,J25,J36,J48,J59,J70,J76))</f>
        <v>IE</v>
      </c>
      <c r="K10" s="3500">
        <f>IF(SUM(K11,K25,K36,K48,K59,K70,K76)=0,"NO",SUM(K11,K25,K36,K48,K59,K70,K76))</f>
        <v>543.86201279472823</v>
      </c>
      <c r="L10" s="3501">
        <f>IF(SUM(L11,L25,L36,L48,L59,L70,L76)=0,"NO",SUM(L11,L25,L36,L48,L59,L70,L76))</f>
        <v>11.805267596946528</v>
      </c>
    </row>
    <row r="11" spans="2:13" ht="18" customHeight="1" x14ac:dyDescent="0.2">
      <c r="B11" s="933" t="s">
        <v>1985</v>
      </c>
      <c r="C11" s="934"/>
      <c r="D11" s="2850"/>
      <c r="E11" s="2854" t="s">
        <v>2250</v>
      </c>
      <c r="F11" s="3679">
        <f>IF(SUM(F12,F19)=0,"NO",SUM(F12,F19))</f>
        <v>7510919.688274431</v>
      </c>
      <c r="G11" s="3660" t="s">
        <v>2147</v>
      </c>
      <c r="H11" s="3661">
        <f t="shared" si="0"/>
        <v>3.6683504874502074E-2</v>
      </c>
      <c r="I11" s="3662">
        <f t="shared" si="1"/>
        <v>5.6350102044084823E-4</v>
      </c>
      <c r="J11" s="3502" t="str">
        <f>IF(SUM(J12,J19)=0,"IE",SUM(J12,J19))</f>
        <v>IE</v>
      </c>
      <c r="K11" s="3503">
        <f>IF(SUM(K12,K19)=0,"NO",SUM(K12,K19))</f>
        <v>275.5268589968087</v>
      </c>
      <c r="L11" s="3504">
        <f>IF(SUM(L12,L19)=0,"NO",SUM(L12,L19))</f>
        <v>4.2324109087918993</v>
      </c>
      <c r="M11" s="482"/>
    </row>
    <row r="12" spans="2:13" ht="18" customHeight="1" x14ac:dyDescent="0.2">
      <c r="B12" s="903" t="s">
        <v>1912</v>
      </c>
      <c r="C12" s="476"/>
      <c r="D12" s="298"/>
      <c r="E12" s="2852" t="s">
        <v>2250</v>
      </c>
      <c r="F12" s="3680">
        <f>IF(SUM(F13,F17)=0,"NO",SUM(F13,F17))</f>
        <v>7413749.2720952518</v>
      </c>
      <c r="G12" s="3663" t="str">
        <f>IFERROR(IF(SUM($F12)=0,"NA",J12*1000/$F12),"NA")</f>
        <v>NA</v>
      </c>
      <c r="H12" s="3664">
        <f t="shared" si="0"/>
        <v>3.6542464562347485E-2</v>
      </c>
      <c r="I12" s="3665">
        <f t="shared" si="1"/>
        <v>5.6202675784593431E-4</v>
      </c>
      <c r="J12" s="3505" t="str">
        <f>IF(SUM(J13,J17)=0,"IE",SUM(J13,J17))</f>
        <v>IE</v>
      </c>
      <c r="K12" s="3506">
        <f>IF(SUM(K13,K17)=0,"NO",SUM(K13,K17))</f>
        <v>270.91667004967019</v>
      </c>
      <c r="L12" s="3507">
        <f>IF(SUM(L13,L17)=0,"NO",SUM(L13,L17))</f>
        <v>4.1667254668783498</v>
      </c>
    </row>
    <row r="13" spans="2:13" ht="18" customHeight="1" x14ac:dyDescent="0.2">
      <c r="B13" s="923" t="s">
        <v>1270</v>
      </c>
      <c r="C13" s="476"/>
      <c r="D13" s="298"/>
      <c r="E13" s="2852" t="s">
        <v>2250</v>
      </c>
      <c r="F13" s="3681">
        <f>IF(SUM(F14:F16)=0,"NO",SUM(F14:F16))</f>
        <v>6556769.5525919246</v>
      </c>
      <c r="G13" s="3666" t="str">
        <f t="shared" ref="G13:G76" si="2">IFERROR(IF(SUM($F13)=0,"NA",J13*1000/$F13),"NA")</f>
        <v>NA</v>
      </c>
      <c r="H13" s="3667">
        <f t="shared" si="0"/>
        <v>2.833267935047902E-2</v>
      </c>
      <c r="I13" s="3668">
        <f t="shared" si="1"/>
        <v>5.0885569827011611E-4</v>
      </c>
      <c r="J13" s="3505" t="str">
        <f>IF(SUM(J14:J16)=0,"IE",SUM(J14:J16))</f>
        <v>IE</v>
      </c>
      <c r="K13" s="3505">
        <f>IF(SUM(K14:K16)=0,"NO",SUM(K14:K16))</f>
        <v>185.7708493085708</v>
      </c>
      <c r="L13" s="3508">
        <f>IF(SUM(L14:L16)=0,"NO",SUM(L14:L16))</f>
        <v>3.3364495490804007</v>
      </c>
      <c r="M13" s="482"/>
    </row>
    <row r="14" spans="2:13" ht="24" x14ac:dyDescent="0.2">
      <c r="B14" s="923"/>
      <c r="C14" s="4367" t="s">
        <v>2247</v>
      </c>
      <c r="D14" s="542" t="s">
        <v>940</v>
      </c>
      <c r="E14" s="2851" t="s">
        <v>2250</v>
      </c>
      <c r="F14" s="3654">
        <v>444605.12203825556</v>
      </c>
      <c r="G14" s="3666" t="str">
        <f t="shared" si="2"/>
        <v>NA</v>
      </c>
      <c r="H14" s="3667">
        <f>IF(SUM($F14)=0,"NA",K14*1000/$F14)</f>
        <v>9.7083711529226346E-2</v>
      </c>
      <c r="I14" s="3668">
        <f>IF(SUM($F14)=0,"NA",L14*1000/$F14)</f>
        <v>1.0600343238562949E-3</v>
      </c>
      <c r="J14" s="3509" t="s">
        <v>2153</v>
      </c>
      <c r="K14" s="3510">
        <v>43.163915412378472</v>
      </c>
      <c r="L14" s="3511">
        <v>0.47129668992286777</v>
      </c>
      <c r="M14" s="482"/>
    </row>
    <row r="15" spans="2:13" ht="18" customHeight="1" x14ac:dyDescent="0.2">
      <c r="B15" s="923"/>
      <c r="C15" s="4367" t="s">
        <v>2248</v>
      </c>
      <c r="D15" s="542" t="s">
        <v>940</v>
      </c>
      <c r="E15" s="543" t="s">
        <v>2250</v>
      </c>
      <c r="F15" s="3655">
        <v>170091.95361437544</v>
      </c>
      <c r="G15" s="3666" t="str">
        <f t="shared" si="2"/>
        <v>NA</v>
      </c>
      <c r="H15" s="3667">
        <f t="shared" ref="H15:H77" si="3">IF(SUM($F15)=0,"NA",K15*1000/$F15)</f>
        <v>3.7902812785427654E-2</v>
      </c>
      <c r="I15" s="3668">
        <f t="shared" ref="I15:I77" si="4">IF(SUM($F15)=0,"NA",L15*1000/$F15)</f>
        <v>7.0067560857505829E-4</v>
      </c>
      <c r="J15" s="3509" t="s">
        <v>2153</v>
      </c>
      <c r="K15" s="3510">
        <v>6.4469634741533159</v>
      </c>
      <c r="L15" s="3512">
        <v>0.1191792831124731</v>
      </c>
      <c r="M15" s="482"/>
    </row>
    <row r="16" spans="2:13" ht="18" customHeight="1" x14ac:dyDescent="0.2">
      <c r="B16" s="923"/>
      <c r="C16" s="4367" t="s">
        <v>2263</v>
      </c>
      <c r="D16" s="542" t="s">
        <v>940</v>
      </c>
      <c r="E16" s="543" t="s">
        <v>2250</v>
      </c>
      <c r="F16" s="3655">
        <v>5942072.4769392936</v>
      </c>
      <c r="G16" s="3666" t="str">
        <f t="shared" si="2"/>
        <v>NA</v>
      </c>
      <c r="H16" s="3667">
        <f t="shared" si="3"/>
        <v>2.2914559011264997E-2</v>
      </c>
      <c r="I16" s="3668">
        <f t="shared" si="4"/>
        <v>4.621238779402242E-4</v>
      </c>
      <c r="J16" s="3509" t="s">
        <v>2153</v>
      </c>
      <c r="K16" s="3510">
        <v>136.15997042203901</v>
      </c>
      <c r="L16" s="3512">
        <v>2.7459735760450599</v>
      </c>
      <c r="M16" s="482"/>
    </row>
    <row r="17" spans="2:13" ht="18" customHeight="1" x14ac:dyDescent="0.2">
      <c r="B17" s="923" t="s">
        <v>1271</v>
      </c>
      <c r="C17" s="4368"/>
      <c r="D17" s="298"/>
      <c r="E17" s="5" t="s">
        <v>2250</v>
      </c>
      <c r="F17" s="3681">
        <f>F18</f>
        <v>856979.71950332704</v>
      </c>
      <c r="G17" s="3666" t="str">
        <f t="shared" si="2"/>
        <v>NA</v>
      </c>
      <c r="H17" s="3667">
        <f t="shared" si="3"/>
        <v>9.935570096156611E-2</v>
      </c>
      <c r="I17" s="3668">
        <f t="shared" si="4"/>
        <v>9.6883963401041262E-4</v>
      </c>
      <c r="J17" s="3505" t="str">
        <f>J18</f>
        <v>IE</v>
      </c>
      <c r="K17" s="3505">
        <f>K18</f>
        <v>85.145820741099371</v>
      </c>
      <c r="L17" s="3508">
        <f>L18</f>
        <v>0.8302759177979494</v>
      </c>
      <c r="M17" s="482"/>
    </row>
    <row r="18" spans="2:13" ht="18" customHeight="1" x14ac:dyDescent="0.2">
      <c r="B18" s="923"/>
      <c r="C18" s="4367" t="s">
        <v>2249</v>
      </c>
      <c r="D18" s="542" t="s">
        <v>940</v>
      </c>
      <c r="E18" s="543" t="s">
        <v>2250</v>
      </c>
      <c r="F18" s="3654">
        <v>856979.71950332704</v>
      </c>
      <c r="G18" s="3666" t="str">
        <f t="shared" si="2"/>
        <v>NA</v>
      </c>
      <c r="H18" s="3667">
        <f t="shared" si="3"/>
        <v>9.935570096156611E-2</v>
      </c>
      <c r="I18" s="3668">
        <f t="shared" si="4"/>
        <v>9.6883963401041262E-4</v>
      </c>
      <c r="J18" s="3509" t="s">
        <v>2153</v>
      </c>
      <c r="K18" s="3510">
        <v>85.145820741099371</v>
      </c>
      <c r="L18" s="3511">
        <v>0.8302759177979494</v>
      </c>
      <c r="M18" s="482"/>
    </row>
    <row r="19" spans="2:13" ht="18" customHeight="1" x14ac:dyDescent="0.2">
      <c r="B19" s="903" t="s">
        <v>1272</v>
      </c>
      <c r="C19" s="4368"/>
      <c r="D19" s="298"/>
      <c r="E19" s="5" t="s">
        <v>2250</v>
      </c>
      <c r="F19" s="3682">
        <f>IF(SUM(F20,F23)=0,"NO",SUM(F20,F23))</f>
        <v>97170.41617917952</v>
      </c>
      <c r="G19" s="3663" t="s">
        <v>2147</v>
      </c>
      <c r="H19" s="3664">
        <f t="shared" si="3"/>
        <v>4.7444367621493677E-2</v>
      </c>
      <c r="I19" s="3665">
        <f t="shared" si="4"/>
        <v>6.7598189342348003E-4</v>
      </c>
      <c r="J19" s="3505" t="str">
        <f>IF(SUM(J20,J23)=0,"IE",SUM(J20,J23))</f>
        <v>IE</v>
      </c>
      <c r="K19" s="3506">
        <f>IF(SUM(K20,K23)=0,"NO",SUM(K20,K23))</f>
        <v>4.6101889471385302</v>
      </c>
      <c r="L19" s="3507">
        <f>IF(SUM(L20,L23)=0,"NO",SUM(L20,L23))</f>
        <v>6.5685441913549331E-2</v>
      </c>
    </row>
    <row r="20" spans="2:13" ht="18" customHeight="1" x14ac:dyDescent="0.2">
      <c r="B20" s="923" t="s">
        <v>1273</v>
      </c>
      <c r="C20" s="4368"/>
      <c r="D20" s="298"/>
      <c r="E20" s="5" t="s">
        <v>2250</v>
      </c>
      <c r="F20" s="3681">
        <f>IF(SUM(F21:F22)=0,"NO",SUM(F21:F22))</f>
        <v>83396.843785208155</v>
      </c>
      <c r="G20" s="3666" t="str">
        <f t="shared" si="2"/>
        <v>NA</v>
      </c>
      <c r="H20" s="3667">
        <f t="shared" si="3"/>
        <v>2.8304520810101159E-2</v>
      </c>
      <c r="I20" s="3668">
        <f t="shared" si="4"/>
        <v>5.2552947896788559E-4</v>
      </c>
      <c r="J20" s="3505" t="str">
        <f>IF(SUM(J21:J22)=0,"IE",SUM(J21:J22))</f>
        <v>IE</v>
      </c>
      <c r="K20" s="3505">
        <f>IF(SUM(K21:K22)=0,"NO",SUM(K21:K22))</f>
        <v>2.3605077004151798</v>
      </c>
      <c r="L20" s="3508">
        <f>IF(SUM(L21:L22)=0,"NO",SUM(L21:L22))</f>
        <v>4.382749986200659E-2</v>
      </c>
      <c r="M20" s="482"/>
    </row>
    <row r="21" spans="2:13" ht="18" customHeight="1" x14ac:dyDescent="0.2">
      <c r="B21" s="923"/>
      <c r="C21" s="4367" t="s">
        <v>2248</v>
      </c>
      <c r="D21" s="542" t="s">
        <v>940</v>
      </c>
      <c r="E21" s="543" t="s">
        <v>2250</v>
      </c>
      <c r="F21" s="3654">
        <v>82151.183199101317</v>
      </c>
      <c r="G21" s="3666" t="str">
        <f t="shared" si="2"/>
        <v>NA</v>
      </c>
      <c r="H21" s="3667">
        <f t="shared" si="3"/>
        <v>2.7926354653506378E-2</v>
      </c>
      <c r="I21" s="3668">
        <f t="shared" si="4"/>
        <v>5.1624969505301382E-4</v>
      </c>
      <c r="J21" s="3509" t="s">
        <v>2153</v>
      </c>
      <c r="K21" s="3510">
        <v>2.2941830772232779</v>
      </c>
      <c r="L21" s="3511">
        <v>4.2410523274780322E-2</v>
      </c>
      <c r="M21" s="482"/>
    </row>
    <row r="22" spans="2:13" ht="18" customHeight="1" x14ac:dyDescent="0.2">
      <c r="B22" s="923"/>
      <c r="C22" s="4367" t="s">
        <v>2263</v>
      </c>
      <c r="D22" s="542" t="s">
        <v>940</v>
      </c>
      <c r="E22" s="543" t="s">
        <v>2250</v>
      </c>
      <c r="F22" s="3655">
        <v>1245.6605861068313</v>
      </c>
      <c r="G22" s="3666" t="str">
        <f t="shared" si="2"/>
        <v>NA</v>
      </c>
      <c r="H22" s="3667">
        <f t="shared" si="3"/>
        <v>5.3244538626040783E-2</v>
      </c>
      <c r="I22" s="3668">
        <f t="shared" si="4"/>
        <v>1.1375302414077843E-3</v>
      </c>
      <c r="J22" s="3509" t="s">
        <v>2153</v>
      </c>
      <c r="K22" s="3510">
        <v>6.6324623191901785E-2</v>
      </c>
      <c r="L22" s="3512">
        <v>1.4169765872262658E-3</v>
      </c>
      <c r="M22" s="482"/>
    </row>
    <row r="23" spans="2:13" ht="18" customHeight="1" x14ac:dyDescent="0.2">
      <c r="B23" s="923" t="s">
        <v>1274</v>
      </c>
      <c r="C23" s="4368"/>
      <c r="D23" s="298"/>
      <c r="E23" s="5" t="s">
        <v>2250</v>
      </c>
      <c r="F23" s="3681">
        <f>F24</f>
        <v>13773.572393971364</v>
      </c>
      <c r="G23" s="3666" t="str">
        <f t="shared" si="2"/>
        <v>NA</v>
      </c>
      <c r="H23" s="3667">
        <f t="shared" si="3"/>
        <v>0.16333317039143933</v>
      </c>
      <c r="I23" s="3668">
        <f t="shared" si="4"/>
        <v>1.5869479192711013E-3</v>
      </c>
      <c r="J23" s="3505" t="str">
        <f>J24</f>
        <v>IE</v>
      </c>
      <c r="K23" s="3505">
        <f>K24</f>
        <v>2.24968124672335</v>
      </c>
      <c r="L23" s="3508">
        <f>L24</f>
        <v>2.1857942051542741E-2</v>
      </c>
      <c r="M23" s="482"/>
    </row>
    <row r="24" spans="2:13" ht="18" customHeight="1" thickBot="1" x14ac:dyDescent="0.25">
      <c r="B24" s="938"/>
      <c r="C24" s="4369" t="s">
        <v>2251</v>
      </c>
      <c r="D24" s="939" t="s">
        <v>940</v>
      </c>
      <c r="E24" s="940" t="s">
        <v>2250</v>
      </c>
      <c r="F24" s="3656">
        <v>13773.572393971364</v>
      </c>
      <c r="G24" s="3669" t="str">
        <f t="shared" si="2"/>
        <v>NA</v>
      </c>
      <c r="H24" s="3670">
        <f t="shared" si="3"/>
        <v>0.16333317039143933</v>
      </c>
      <c r="I24" s="3671">
        <f t="shared" si="4"/>
        <v>1.5869479192711013E-3</v>
      </c>
      <c r="J24" s="3513" t="s">
        <v>2153</v>
      </c>
      <c r="K24" s="3514">
        <v>2.24968124672335</v>
      </c>
      <c r="L24" s="3515">
        <v>2.1857942051542741E-2</v>
      </c>
      <c r="M24" s="482"/>
    </row>
    <row r="25" spans="2:13" ht="18" customHeight="1" x14ac:dyDescent="0.2">
      <c r="B25" s="933" t="s">
        <v>1986</v>
      </c>
      <c r="C25" s="4370"/>
      <c r="D25" s="2850"/>
      <c r="E25" s="935" t="s">
        <v>2250</v>
      </c>
      <c r="F25" s="3683">
        <f>IF(SUM(F26,F31)=0,"IE",SUM(F26,F31))</f>
        <v>18009</v>
      </c>
      <c r="G25" s="3660" t="str">
        <f t="shared" si="2"/>
        <v>NA</v>
      </c>
      <c r="H25" s="3661">
        <f t="shared" si="3"/>
        <v>8.9498850574712657E-2</v>
      </c>
      <c r="I25" s="3662">
        <f t="shared" si="4"/>
        <v>1.6544856960408684E-3</v>
      </c>
      <c r="J25" s="3502" t="str">
        <f>IF(SUM(J26,J31)=0,"IE",SUM(J26,J31))</f>
        <v>IE</v>
      </c>
      <c r="K25" s="3503">
        <f>IF(SUM(K26,K31)=0,"IE",SUM(K26,K31))</f>
        <v>1.6117848000000004</v>
      </c>
      <c r="L25" s="3504">
        <f>IF(SUM(L26,L31)=0,"IE",SUM(L26,L31))</f>
        <v>2.9795632900000001E-2</v>
      </c>
      <c r="M25" s="482"/>
    </row>
    <row r="26" spans="2:13" ht="18" customHeight="1" x14ac:dyDescent="0.2">
      <c r="B26" s="903" t="s">
        <v>1913</v>
      </c>
      <c r="C26" s="4368"/>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
      <c r="B27" s="923" t="s">
        <v>1275</v>
      </c>
      <c r="C27" s="4368"/>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
      <c r="B28" s="923"/>
      <c r="C28" s="4367"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
      <c r="B29" s="923" t="s">
        <v>1276</v>
      </c>
      <c r="C29" s="4368"/>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
      <c r="B30" s="923"/>
      <c r="C30" s="4367"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
      <c r="B31" s="903" t="s">
        <v>1277</v>
      </c>
      <c r="C31" s="4368"/>
      <c r="D31" s="298"/>
      <c r="E31" s="5" t="s">
        <v>2250</v>
      </c>
      <c r="F31" s="3682">
        <f>IF(SUM(F32,F34)=0,"IE",SUM(F32,F34))</f>
        <v>18009</v>
      </c>
      <c r="G31" s="3663" t="str">
        <f t="shared" si="2"/>
        <v>NA</v>
      </c>
      <c r="H31" s="3664">
        <f t="shared" si="3"/>
        <v>8.9498850574712657E-2</v>
      </c>
      <c r="I31" s="3665">
        <f t="shared" si="4"/>
        <v>1.6544856960408684E-3</v>
      </c>
      <c r="J31" s="3505" t="str">
        <f>IF(SUM(J32,J34)=0,"IE",SUM(J32,J34))</f>
        <v>IE</v>
      </c>
      <c r="K31" s="3505">
        <f t="shared" ref="K31:L31" si="6">IF(SUM(K32,K34)=0,"IE",SUM(K32,K34))</f>
        <v>1.6117848000000004</v>
      </c>
      <c r="L31" s="3508">
        <f t="shared" si="6"/>
        <v>2.9795632900000001E-2</v>
      </c>
    </row>
    <row r="32" spans="2:13" ht="18" customHeight="1" x14ac:dyDescent="0.2">
      <c r="B32" s="923" t="s">
        <v>1278</v>
      </c>
      <c r="C32" s="4368"/>
      <c r="D32" s="298"/>
      <c r="E32" s="5" t="s">
        <v>2250</v>
      </c>
      <c r="F32" s="3681">
        <f>F33</f>
        <v>18009</v>
      </c>
      <c r="G32" s="3663" t="str">
        <f t="shared" si="2"/>
        <v>NA</v>
      </c>
      <c r="H32" s="3664">
        <f t="shared" si="3"/>
        <v>8.9498850574712657E-2</v>
      </c>
      <c r="I32" s="3665">
        <f t="shared" si="4"/>
        <v>1.6544856960408684E-3</v>
      </c>
      <c r="J32" s="3505" t="str">
        <f>J33</f>
        <v>IE</v>
      </c>
      <c r="K32" s="3505">
        <f>K33</f>
        <v>1.6117848000000004</v>
      </c>
      <c r="L32" s="3508">
        <f>L33</f>
        <v>2.9795632900000001E-2</v>
      </c>
      <c r="M32" s="482"/>
    </row>
    <row r="33" spans="2:13" ht="18" customHeight="1" x14ac:dyDescent="0.2">
      <c r="B33" s="923"/>
      <c r="C33" s="4367" t="s">
        <v>2252</v>
      </c>
      <c r="D33" s="542" t="s">
        <v>940</v>
      </c>
      <c r="E33" s="543" t="s">
        <v>2250</v>
      </c>
      <c r="F33" s="3654">
        <v>18009</v>
      </c>
      <c r="G33" s="3666" t="str">
        <f t="shared" si="2"/>
        <v>NA</v>
      </c>
      <c r="H33" s="3667">
        <f t="shared" si="3"/>
        <v>8.9498850574712657E-2</v>
      </c>
      <c r="I33" s="3668">
        <f t="shared" si="4"/>
        <v>1.6544856960408684E-3</v>
      </c>
      <c r="J33" s="3509" t="s">
        <v>2153</v>
      </c>
      <c r="K33" s="3510">
        <v>1.6117848000000004</v>
      </c>
      <c r="L33" s="3511">
        <v>2.9795632900000001E-2</v>
      </c>
      <c r="M33" s="482"/>
    </row>
    <row r="34" spans="2:13" ht="18" customHeight="1" x14ac:dyDescent="0.2">
      <c r="B34" s="923" t="s">
        <v>1279</v>
      </c>
      <c r="C34" s="4368"/>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25">
      <c r="B35" s="938"/>
      <c r="C35" s="4369"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
      <c r="B36" s="941" t="s">
        <v>1987</v>
      </c>
      <c r="C36" s="4370"/>
      <c r="D36" s="2850"/>
      <c r="E36" s="935" t="s">
        <v>2250</v>
      </c>
      <c r="F36" s="3683">
        <f>IF(SUM(F37,F42)=0,"NO",SUM(F37,F42))</f>
        <v>23777314.665887311</v>
      </c>
      <c r="G36" s="3660" t="str">
        <f t="shared" si="2"/>
        <v>NA</v>
      </c>
      <c r="H36" s="3661">
        <f t="shared" ref="H36" si="7">IF(SUM($F36)=0,"NA",K36*1000/$F36)</f>
        <v>1.050063956835998E-2</v>
      </c>
      <c r="I36" s="3662">
        <f t="shared" ref="I36" si="8">IF(SUM($F36)=0,"NA",L36*1000/$F36)</f>
        <v>3.0286046992247052E-4</v>
      </c>
      <c r="J36" s="3502" t="str">
        <f>IF(SUM(J37,J42)=0,"IE",SUM(J37,J42))</f>
        <v>IE</v>
      </c>
      <c r="K36" s="3503">
        <f>IF(SUM(K37,K42)=0,"NO",SUM(K37,K42))</f>
        <v>249.67701120996236</v>
      </c>
      <c r="L36" s="3504">
        <f>IF(SUM(L37,L42)=0,"NO",SUM(L37,L42))</f>
        <v>7.2012086932050803</v>
      </c>
      <c r="M36" s="482"/>
    </row>
    <row r="37" spans="2:13" ht="18" customHeight="1" x14ac:dyDescent="0.2">
      <c r="B37" s="903" t="s">
        <v>1876</v>
      </c>
      <c r="C37" s="4368"/>
      <c r="D37" s="298"/>
      <c r="E37" s="5" t="s">
        <v>2250</v>
      </c>
      <c r="F37" s="3680">
        <f>IF(SUM(F38,F40)=0,"NO",SUM(F38,F40))</f>
        <v>23267424.587498892</v>
      </c>
      <c r="G37" s="3666" t="str">
        <f t="shared" si="2"/>
        <v>NA</v>
      </c>
      <c r="H37" s="3664">
        <f t="shared" si="3"/>
        <v>8.7574464560351475E-3</v>
      </c>
      <c r="I37" s="3665">
        <f t="shared" si="4"/>
        <v>2.728801103387771E-4</v>
      </c>
      <c r="J37" s="3505" t="str">
        <f>IF(SUM(J38,J40)=0,"IE",SUM(J38,J40))</f>
        <v>IE</v>
      </c>
      <c r="K37" s="3506">
        <f>IF(SUM(K38,K40)=0,"NO",SUM(K38,K40))</f>
        <v>203.76322499485721</v>
      </c>
      <c r="L37" s="3507">
        <f>IF(SUM(L38,L40)=0,"NO",SUM(L38,L40))</f>
        <v>6.3492173887358732</v>
      </c>
    </row>
    <row r="38" spans="2:13" ht="18" customHeight="1" x14ac:dyDescent="0.2">
      <c r="B38" s="923" t="s">
        <v>1280</v>
      </c>
      <c r="C38" s="4368"/>
      <c r="D38" s="298"/>
      <c r="E38" s="5" t="s">
        <v>2250</v>
      </c>
      <c r="F38" s="3681">
        <f>F39</f>
        <v>23267424.587498892</v>
      </c>
      <c r="G38" s="3666" t="str">
        <f t="shared" si="2"/>
        <v>NA</v>
      </c>
      <c r="H38" s="3667">
        <f t="shared" si="3"/>
        <v>8.7574464560351475E-3</v>
      </c>
      <c r="I38" s="3668">
        <f t="shared" si="4"/>
        <v>2.728801103387771E-4</v>
      </c>
      <c r="J38" s="3505" t="str">
        <f>J39</f>
        <v>IE</v>
      </c>
      <c r="K38" s="3505">
        <f>K39</f>
        <v>203.76322499485721</v>
      </c>
      <c r="L38" s="3508">
        <f>L39</f>
        <v>6.3492173887358732</v>
      </c>
      <c r="M38" s="482"/>
    </row>
    <row r="39" spans="2:13" ht="18" customHeight="1" x14ac:dyDescent="0.2">
      <c r="B39" s="923"/>
      <c r="C39" s="4367" t="s">
        <v>2263</v>
      </c>
      <c r="D39" s="542" t="s">
        <v>940</v>
      </c>
      <c r="E39" s="543" t="s">
        <v>2250</v>
      </c>
      <c r="F39" s="3655">
        <v>23267424.587498892</v>
      </c>
      <c r="G39" s="3666" t="str">
        <f t="shared" si="2"/>
        <v>NA</v>
      </c>
      <c r="H39" s="3667">
        <f t="shared" ref="H39:H40" si="9">IF(SUM($F39)=0,"NA",K39*1000/$F39)</f>
        <v>8.7574464560351475E-3</v>
      </c>
      <c r="I39" s="3668">
        <f t="shared" ref="I39:I40" si="10">IF(SUM($F39)=0,"NA",L39*1000/$F39)</f>
        <v>2.728801103387771E-4</v>
      </c>
      <c r="J39" s="3509" t="s">
        <v>2153</v>
      </c>
      <c r="K39" s="3510">
        <v>203.76322499485721</v>
      </c>
      <c r="L39" s="3512">
        <v>6.3492173887358732</v>
      </c>
      <c r="M39" s="482"/>
    </row>
    <row r="40" spans="2:13" ht="18" customHeight="1" x14ac:dyDescent="0.2">
      <c r="B40" s="923" t="s">
        <v>1281</v>
      </c>
      <c r="C40" s="4368"/>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
      <c r="B41" s="923"/>
      <c r="C41" s="4367"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
      <c r="B42" s="903" t="s">
        <v>1282</v>
      </c>
      <c r="C42" s="4368"/>
      <c r="D42" s="298"/>
      <c r="E42" s="5" t="s">
        <v>2250</v>
      </c>
      <c r="F42" s="3682">
        <f>IF(SUM(F43,F46)=0,"NO",SUM(F43,F46))</f>
        <v>509890.07838841714</v>
      </c>
      <c r="G42" s="3663" t="str">
        <f t="shared" si="2"/>
        <v>NA</v>
      </c>
      <c r="H42" s="3664">
        <f t="shared" si="11"/>
        <v>9.0046439735055148E-2</v>
      </c>
      <c r="I42" s="3665">
        <f t="shared" si="12"/>
        <v>1.6709313253594792E-3</v>
      </c>
      <c r="J42" s="3505" t="str">
        <f>IF(SUM(J43,J46)=0,"IE",SUM(J43,J46))</f>
        <v>IE</v>
      </c>
      <c r="K42" s="3506">
        <f>IF(SUM(K43,K46)=0,"NO",SUM(K43,K46))</f>
        <v>45.913786215105155</v>
      </c>
      <c r="L42" s="3507">
        <f>IF(SUM(L43,L46)=0,"NO",SUM(L43,L46))</f>
        <v>0.85199130446920668</v>
      </c>
    </row>
    <row r="43" spans="2:13" ht="18" customHeight="1" x14ac:dyDescent="0.2">
      <c r="B43" s="923" t="s">
        <v>1283</v>
      </c>
      <c r="C43" s="4368"/>
      <c r="D43" s="298"/>
      <c r="E43" s="5" t="s">
        <v>2250</v>
      </c>
      <c r="F43" s="3681">
        <f>IF(SUM(F44:F45)=0,"NO",SUM(F44:F45))</f>
        <v>509890.07838841714</v>
      </c>
      <c r="G43" s="3666" t="str">
        <f t="shared" si="2"/>
        <v>NA</v>
      </c>
      <c r="H43" s="3667">
        <f t="shared" ref="H43" si="13">IF(SUM($F43)=0,"NA",K43*1000/$F43)</f>
        <v>9.0046439735055148E-2</v>
      </c>
      <c r="I43" s="3668">
        <f t="shared" ref="I43" si="14">IF(SUM($F43)=0,"NA",L43*1000/$F43)</f>
        <v>1.6709313253594792E-3</v>
      </c>
      <c r="J43" s="3505" t="str">
        <f>IF(SUM(J44:J45)=0,"IE",SUM(J44:J45))</f>
        <v>IE</v>
      </c>
      <c r="K43" s="3505">
        <f>IF(SUM(K44:K45)=0,"NO",SUM(K44:K45))</f>
        <v>45.913786215105155</v>
      </c>
      <c r="L43" s="3508">
        <f>IF(SUM(L44:L45)=0,"NO",SUM(L44:L45))</f>
        <v>0.85199130446920668</v>
      </c>
      <c r="M43" s="482"/>
    </row>
    <row r="44" spans="2:13" ht="18" customHeight="1" x14ac:dyDescent="0.2">
      <c r="B44" s="923"/>
      <c r="C44" s="4367" t="s">
        <v>2252</v>
      </c>
      <c r="D44" s="542" t="s">
        <v>940</v>
      </c>
      <c r="E44" s="543" t="s">
        <v>2250</v>
      </c>
      <c r="F44" s="3655">
        <v>466854.75327209936</v>
      </c>
      <c r="G44" s="3666" t="str">
        <f t="shared" si="2"/>
        <v>NA</v>
      </c>
      <c r="H44" s="3667">
        <f t="shared" ref="H44:H46" si="15">IF(SUM($F44)=0,"NA",K44*1000/$F44)</f>
        <v>9.6225223555405734E-2</v>
      </c>
      <c r="I44" s="3668">
        <f t="shared" ref="I44:I46" si="16">IF(SUM($F44)=0,"NA",L44*1000/$F44)</f>
        <v>1.7788301743367364E-3</v>
      </c>
      <c r="J44" s="3509" t="s">
        <v>2153</v>
      </c>
      <c r="K44" s="3510">
        <v>44.923203001511546</v>
      </c>
      <c r="L44" s="3512">
        <v>0.8304553221529426</v>
      </c>
      <c r="M44" s="482"/>
    </row>
    <row r="45" spans="2:13" ht="18" customHeight="1" x14ac:dyDescent="0.2">
      <c r="B45" s="923"/>
      <c r="C45" s="4367" t="s">
        <v>2263</v>
      </c>
      <c r="D45" s="542" t="s">
        <v>940</v>
      </c>
      <c r="E45" s="543" t="s">
        <v>2250</v>
      </c>
      <c r="F45" s="3655">
        <v>43035.325116317756</v>
      </c>
      <c r="G45" s="3666" t="str">
        <f t="shared" si="2"/>
        <v>NA</v>
      </c>
      <c r="H45" s="3667">
        <f t="shared" si="15"/>
        <v>2.3017909378312242E-2</v>
      </c>
      <c r="I45" s="3668">
        <f t="shared" si="16"/>
        <v>5.0042569117476551E-4</v>
      </c>
      <c r="J45" s="3509" t="s">
        <v>2153</v>
      </c>
      <c r="K45" s="3510">
        <v>0.99058321359360679</v>
      </c>
      <c r="L45" s="3512">
        <v>2.1535982316264059E-2</v>
      </c>
      <c r="M45" s="482"/>
    </row>
    <row r="46" spans="2:13" ht="18" customHeight="1" x14ac:dyDescent="0.2">
      <c r="B46" s="923" t="s">
        <v>1284</v>
      </c>
      <c r="C46" s="4368"/>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25">
      <c r="B47" s="938"/>
      <c r="C47" s="4369"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
      <c r="B48" s="933" t="s">
        <v>1988</v>
      </c>
      <c r="C48" s="4370"/>
      <c r="D48" s="2850"/>
      <c r="E48" s="935" t="s">
        <v>2250</v>
      </c>
      <c r="F48" s="3683">
        <f>IF(SUM(F49,F54)=0,"NO",SUM(F49,F54))</f>
        <v>485171.27879066963</v>
      </c>
      <c r="G48" s="3660" t="str">
        <f t="shared" si="2"/>
        <v>NA</v>
      </c>
      <c r="H48" s="3661">
        <f t="shared" si="17"/>
        <v>3.2042916115536772E-2</v>
      </c>
      <c r="I48" s="3662">
        <f t="shared" si="18"/>
        <v>6.4744594060168949E-4</v>
      </c>
      <c r="J48" s="3502" t="str">
        <f>IF(SUM(J49,J54)=0,"IE",SUM(J49,J54))</f>
        <v>IE</v>
      </c>
      <c r="K48" s="3503">
        <f>IF(SUM(K49,K54)=0,"NO",SUM(K49,K54))</f>
        <v>15.546302587957131</v>
      </c>
      <c r="L48" s="3504">
        <f>IF(SUM(L49,L54)=0,"NO",SUM(L49,L54))</f>
        <v>0.31412217494954964</v>
      </c>
      <c r="M48" s="482"/>
    </row>
    <row r="49" spans="2:13" ht="18" customHeight="1" x14ac:dyDescent="0.2">
      <c r="B49" s="903" t="s">
        <v>1285</v>
      </c>
      <c r="C49" s="4368"/>
      <c r="D49" s="298"/>
      <c r="E49" s="5" t="s">
        <v>2250</v>
      </c>
      <c r="F49" s="3680">
        <f>IF(SUM(F50,F52)=0,"NO",SUM(F50,F52))</f>
        <v>485171.27879066963</v>
      </c>
      <c r="G49" s="3663" t="str">
        <f t="shared" si="2"/>
        <v>NA</v>
      </c>
      <c r="H49" s="3664">
        <f t="shared" si="17"/>
        <v>3.2042916115536772E-2</v>
      </c>
      <c r="I49" s="3665">
        <f t="shared" si="18"/>
        <v>6.4744594060168949E-4</v>
      </c>
      <c r="J49" s="3505" t="str">
        <f>IF(SUM(J50,J52)=0,"IE",SUM(J50,J52))</f>
        <v>IE</v>
      </c>
      <c r="K49" s="3506">
        <f>IF(SUM(K50,K52)=0,"NO",SUM(K50,K52))</f>
        <v>15.546302587957131</v>
      </c>
      <c r="L49" s="3507">
        <f>IF(SUM(L50,L52)=0,"NO",SUM(L50,L52))</f>
        <v>0.31412217494954964</v>
      </c>
    </row>
    <row r="50" spans="2:13" ht="18" customHeight="1" x14ac:dyDescent="0.2">
      <c r="B50" s="923" t="s">
        <v>1286</v>
      </c>
      <c r="C50" s="4368"/>
      <c r="D50" s="298"/>
      <c r="E50" s="5" t="s">
        <v>2250</v>
      </c>
      <c r="F50" s="3681">
        <f>F51</f>
        <v>485171.27879066963</v>
      </c>
      <c r="G50" s="3666" t="str">
        <f t="shared" si="2"/>
        <v>NA</v>
      </c>
      <c r="H50" s="3667">
        <f t="shared" si="17"/>
        <v>3.2042916115536772E-2</v>
      </c>
      <c r="I50" s="3668">
        <f t="shared" si="18"/>
        <v>6.4744594060168949E-4</v>
      </c>
      <c r="J50" s="3505" t="str">
        <f>J51</f>
        <v>IE</v>
      </c>
      <c r="K50" s="3505">
        <f>K51</f>
        <v>15.546302587957131</v>
      </c>
      <c r="L50" s="3508">
        <f>L51</f>
        <v>0.31412217494954964</v>
      </c>
      <c r="M50" s="482"/>
    </row>
    <row r="51" spans="2:13" ht="18" customHeight="1" x14ac:dyDescent="0.2">
      <c r="B51" s="923"/>
      <c r="C51" s="4367" t="s">
        <v>2263</v>
      </c>
      <c r="D51" s="542" t="s">
        <v>940</v>
      </c>
      <c r="E51" s="543" t="s">
        <v>2250</v>
      </c>
      <c r="F51" s="3655">
        <v>485171.27879066963</v>
      </c>
      <c r="G51" s="3666" t="str">
        <f t="shared" si="2"/>
        <v>NA</v>
      </c>
      <c r="H51" s="3667">
        <f t="shared" si="17"/>
        <v>3.2042916115536772E-2</v>
      </c>
      <c r="I51" s="3668">
        <f t="shared" si="18"/>
        <v>6.4744594060168949E-4</v>
      </c>
      <c r="J51" s="3509" t="s">
        <v>2153</v>
      </c>
      <c r="K51" s="3510">
        <v>15.546302587957131</v>
      </c>
      <c r="L51" s="3512">
        <v>0.31412217494954964</v>
      </c>
      <c r="M51" s="482"/>
    </row>
    <row r="52" spans="2:13" ht="18" customHeight="1" x14ac:dyDescent="0.2">
      <c r="B52" s="923" t="s">
        <v>1287</v>
      </c>
      <c r="C52" s="4368"/>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
      <c r="B53" s="923"/>
      <c r="C53" s="4367"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
      <c r="B54" s="903" t="s">
        <v>1288</v>
      </c>
      <c r="C54" s="4368"/>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
      <c r="B55" s="923" t="s">
        <v>1289</v>
      </c>
      <c r="C55" s="4368"/>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
      <c r="B56" s="923"/>
      <c r="C56" s="4367"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
      <c r="B57" s="923" t="s">
        <v>1290</v>
      </c>
      <c r="C57" s="4368"/>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25">
      <c r="B58" s="938"/>
      <c r="C58" s="4369"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
      <c r="B59" s="933" t="s">
        <v>1989</v>
      </c>
      <c r="C59" s="4370"/>
      <c r="D59" s="2850"/>
      <c r="E59" s="935" t="s">
        <v>2250</v>
      </c>
      <c r="F59" s="3683">
        <f>IF(SUM(F60,F65)=0,"NO",SUM(F60,F65))</f>
        <v>9609</v>
      </c>
      <c r="G59" s="3660" t="str">
        <f t="shared" si="2"/>
        <v>NA</v>
      </c>
      <c r="H59" s="3661">
        <f t="shared" si="3"/>
        <v>0.15610939743990007</v>
      </c>
      <c r="I59" s="3662">
        <f t="shared" si="4"/>
        <v>2.8858556665625978E-3</v>
      </c>
      <c r="J59" s="3502" t="str">
        <f>IF(SUM(J60,J65)=0,"IE",SUM(J60,J65))</f>
        <v>IE</v>
      </c>
      <c r="K59" s="3503">
        <f>IF(SUM(K60,K65)=0,"NO",SUM(K60,K65))</f>
        <v>1.5000551999999998</v>
      </c>
      <c r="L59" s="3504">
        <f>IF(SUM(L60,L65)=0,"NO",SUM(L60,L65))</f>
        <v>2.7730187100000001E-2</v>
      </c>
    </row>
    <row r="60" spans="2:13" ht="18" customHeight="1" x14ac:dyDescent="0.2">
      <c r="B60" s="903" t="s">
        <v>2407</v>
      </c>
      <c r="C60" s="4368"/>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
      <c r="B61" s="923" t="s">
        <v>1291</v>
      </c>
      <c r="C61" s="4368"/>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
      <c r="B62" s="923"/>
      <c r="C62" s="4367"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
      <c r="B63" s="923" t="s">
        <v>1292</v>
      </c>
      <c r="C63" s="4368"/>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
      <c r="B64" s="923"/>
      <c r="C64" s="4367"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
      <c r="B65" s="903" t="s">
        <v>1293</v>
      </c>
      <c r="C65" s="4368"/>
      <c r="D65" s="298"/>
      <c r="E65" s="5" t="s">
        <v>2250</v>
      </c>
      <c r="F65" s="3680">
        <f>IF(SUM(F66,F68)=0,"NO",SUM(F66,F68))</f>
        <v>9609</v>
      </c>
      <c r="G65" s="3663" t="str">
        <f t="shared" si="2"/>
        <v>NA</v>
      </c>
      <c r="H65" s="3664">
        <f t="shared" si="3"/>
        <v>0.15610939743990007</v>
      </c>
      <c r="I65" s="3665">
        <f t="shared" si="4"/>
        <v>2.8858556665625978E-3</v>
      </c>
      <c r="J65" s="3505" t="str">
        <f>IF(SUM(J66,J68)=0,"IE",SUM(J66,J68))</f>
        <v>IE</v>
      </c>
      <c r="K65" s="3506">
        <f>IF(SUM(K66,K68)=0,"NO",SUM(K66,K68))</f>
        <v>1.5000551999999998</v>
      </c>
      <c r="L65" s="3507">
        <f>IF(SUM(L66,L68)=0,"NO",SUM(L66,L68))</f>
        <v>2.7730187100000001E-2</v>
      </c>
    </row>
    <row r="66" spans="2:13" ht="18" customHeight="1" x14ac:dyDescent="0.2">
      <c r="B66" s="923" t="s">
        <v>1294</v>
      </c>
      <c r="C66" s="4368"/>
      <c r="D66" s="298"/>
      <c r="E66" s="5" t="s">
        <v>2250</v>
      </c>
      <c r="F66" s="3681">
        <f>F67</f>
        <v>9609</v>
      </c>
      <c r="G66" s="3666" t="str">
        <f t="shared" si="2"/>
        <v>NA</v>
      </c>
      <c r="H66" s="3667">
        <f t="shared" si="3"/>
        <v>0.15610939743990007</v>
      </c>
      <c r="I66" s="3668">
        <f t="shared" si="4"/>
        <v>2.8858556665625978E-3</v>
      </c>
      <c r="J66" s="3505" t="str">
        <f>J67</f>
        <v>IE</v>
      </c>
      <c r="K66" s="3505">
        <f>K67</f>
        <v>1.5000551999999998</v>
      </c>
      <c r="L66" s="3508">
        <f>L67</f>
        <v>2.7730187100000001E-2</v>
      </c>
      <c r="M66" s="482"/>
    </row>
    <row r="67" spans="2:13" ht="18" customHeight="1" x14ac:dyDescent="0.2">
      <c r="B67" s="923"/>
      <c r="C67" s="4367" t="s">
        <v>2252</v>
      </c>
      <c r="D67" s="542" t="s">
        <v>940</v>
      </c>
      <c r="E67" s="543" t="s">
        <v>2250</v>
      </c>
      <c r="F67" s="3655">
        <v>9609</v>
      </c>
      <c r="G67" s="3666" t="str">
        <f t="shared" si="2"/>
        <v>NA</v>
      </c>
      <c r="H67" s="3667">
        <f t="shared" ref="H67:H68" si="23">IF(SUM($F67)=0,"NA",K67*1000/$F67)</f>
        <v>0.15610939743990007</v>
      </c>
      <c r="I67" s="3668">
        <f t="shared" ref="I67:I68" si="24">IF(SUM($F67)=0,"NA",L67*1000/$F67)</f>
        <v>2.8858556665625978E-3</v>
      </c>
      <c r="J67" s="3509" t="s">
        <v>2153</v>
      </c>
      <c r="K67" s="3510">
        <v>1.5000551999999998</v>
      </c>
      <c r="L67" s="3512">
        <v>2.7730187100000001E-2</v>
      </c>
      <c r="M67" s="482"/>
    </row>
    <row r="68" spans="2:13" ht="18" customHeight="1" x14ac:dyDescent="0.2">
      <c r="B68" s="923" t="s">
        <v>1295</v>
      </c>
      <c r="C68" s="4368"/>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25">
      <c r="B69" s="938"/>
      <c r="C69" s="4369"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
      <c r="B70" s="933" t="s">
        <v>1990</v>
      </c>
      <c r="C70" s="4370"/>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
      <c r="B71" s="903" t="s">
        <v>1296</v>
      </c>
      <c r="C71" s="4368"/>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
      <c r="B72" s="923" t="s">
        <v>1297</v>
      </c>
      <c r="C72" s="4368"/>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
      <c r="B73" s="923"/>
      <c r="C73" s="4367"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
      <c r="B74" s="923" t="s">
        <v>1298</v>
      </c>
      <c r="C74" s="4368"/>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25">
      <c r="B75" s="938"/>
      <c r="C75" s="4369"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
      <c r="B76" s="933" t="s">
        <v>1299</v>
      </c>
      <c r="C76" s="4370"/>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25">
      <c r="B77" s="924" t="s">
        <v>2147</v>
      </c>
      <c r="C77" s="4369"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83" t="s">
        <v>2253</v>
      </c>
      <c r="C95" s="4484"/>
      <c r="D95" s="4484"/>
      <c r="E95" s="4484"/>
      <c r="F95" s="4484"/>
      <c r="G95" s="4484"/>
      <c r="H95" s="4484"/>
      <c r="I95" s="4484"/>
      <c r="J95" s="4484"/>
      <c r="K95" s="4484"/>
      <c r="L95" s="4485"/>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7"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1">
        <f>IF(SUM(C11,C16:C17)=0,"NO",SUM(C11,C16:C17))</f>
        <v>4253.4559306165011</v>
      </c>
      <c r="D10" s="3521">
        <f>IF(SUM(D11,D16:D17)=0,"NO",SUM(D11,D16:D17))</f>
        <v>-3049.6598231828139</v>
      </c>
      <c r="E10" s="3522"/>
      <c r="F10" s="3523">
        <f>IF(SUM(F11,F16:F17)=0,"NO",SUM(F11,F16:F17))</f>
        <v>1203.7961074336872</v>
      </c>
      <c r="G10" s="3524">
        <f>IF(SUM(G11,G16:G17)=0,"NO",SUM(G11,G16:G17))</f>
        <v>-4413.9190605901867</v>
      </c>
      <c r="H10" s="226"/>
      <c r="I10" s="2"/>
      <c r="J10" s="2"/>
    </row>
    <row r="11" spans="1:10" ht="18" customHeight="1" x14ac:dyDescent="0.2">
      <c r="B11" s="606" t="s">
        <v>1314</v>
      </c>
      <c r="C11" s="3525">
        <f>IF(SUM(C13:C15)=0,"NO",SUM(C13:C15))</f>
        <v>1592.3212249172132</v>
      </c>
      <c r="D11" s="3526">
        <f>IF(SUM(D13:D15)=0,"NO",SUM(D13:D15))</f>
        <v>-711.64583041117783</v>
      </c>
      <c r="E11" s="3527"/>
      <c r="F11" s="3528">
        <f>IF(SUM(F13:F15)=0,"NO",SUM(F13:F15))</f>
        <v>880.67539450603533</v>
      </c>
      <c r="G11" s="3529">
        <f>IF(SUM(G13:G15)=0,"NO",SUM(G13:G15))</f>
        <v>-3229.1431131887962</v>
      </c>
      <c r="H11" s="226"/>
      <c r="I11" s="2"/>
      <c r="J11" s="2"/>
    </row>
    <row r="12" spans="1:10" ht="18" customHeight="1" x14ac:dyDescent="0.2">
      <c r="B12" s="1362" t="s">
        <v>345</v>
      </c>
      <c r="C12" s="3530"/>
      <c r="D12" s="3531"/>
      <c r="E12" s="3531"/>
      <c r="F12" s="3531"/>
      <c r="G12" s="3532"/>
      <c r="H12" s="226"/>
      <c r="I12" s="2"/>
      <c r="J12" s="2"/>
    </row>
    <row r="13" spans="1:10" ht="18" customHeight="1" x14ac:dyDescent="0.2">
      <c r="B13" s="1193" t="s">
        <v>1315</v>
      </c>
      <c r="C13" s="3533">
        <v>1058.4902540124581</v>
      </c>
      <c r="D13" s="3534">
        <f>F13-C13</f>
        <v>-433.18476676974171</v>
      </c>
      <c r="E13" s="3535" t="s">
        <v>2147</v>
      </c>
      <c r="F13" s="3536">
        <f>G13/(-44/12)</f>
        <v>625.30548724271637</v>
      </c>
      <c r="G13" s="3537">
        <v>-2292.7867865566268</v>
      </c>
      <c r="H13" s="226"/>
      <c r="I13" s="2"/>
      <c r="J13" s="2"/>
    </row>
    <row r="14" spans="1:10" ht="18" customHeight="1" x14ac:dyDescent="0.2">
      <c r="B14" s="1193" t="s">
        <v>1316</v>
      </c>
      <c r="C14" s="3538">
        <v>533.83097090475508</v>
      </c>
      <c r="D14" s="3539">
        <f>F14-C14</f>
        <v>-278.46106364143611</v>
      </c>
      <c r="E14" s="3235" t="s">
        <v>2147</v>
      </c>
      <c r="F14" s="3540">
        <f>G14/(-44/12)</f>
        <v>255.36990726331896</v>
      </c>
      <c r="G14" s="3537">
        <v>-936.3563266321695</v>
      </c>
      <c r="H14" s="226"/>
      <c r="I14" s="2"/>
      <c r="J14" s="2"/>
    </row>
    <row r="15" spans="1:10" ht="18" customHeight="1" x14ac:dyDescent="0.2">
      <c r="B15" s="1193" t="s">
        <v>1317</v>
      </c>
      <c r="C15" s="3541" t="s">
        <v>2147</v>
      </c>
      <c r="D15" s="3235" t="s">
        <v>2147</v>
      </c>
      <c r="E15" s="3235" t="s">
        <v>2147</v>
      </c>
      <c r="F15" s="3231" t="s">
        <v>2147</v>
      </c>
      <c r="G15" s="3537" t="s">
        <v>2147</v>
      </c>
      <c r="H15" s="226"/>
      <c r="I15" s="2"/>
      <c r="J15" s="2"/>
    </row>
    <row r="16" spans="1:10" ht="18" customHeight="1" x14ac:dyDescent="0.2">
      <c r="B16" s="606" t="s">
        <v>1318</v>
      </c>
      <c r="C16" s="3538">
        <v>1849.0171232787948</v>
      </c>
      <c r="D16" s="3539">
        <f>F16-C16</f>
        <v>-1834.2530168389426</v>
      </c>
      <c r="E16" s="3235" t="s">
        <v>2147</v>
      </c>
      <c r="F16" s="3540">
        <f>G16/(-44/12)</f>
        <v>14.764106439852185</v>
      </c>
      <c r="G16" s="3537">
        <v>-54.135056946124678</v>
      </c>
      <c r="H16" s="226"/>
      <c r="I16" s="2"/>
      <c r="J16" s="2"/>
    </row>
    <row r="17" spans="2:10" ht="18" customHeight="1" x14ac:dyDescent="0.2">
      <c r="B17" s="1197" t="s">
        <v>1320</v>
      </c>
      <c r="C17" s="3542">
        <f>C18</f>
        <v>812.11758242049291</v>
      </c>
      <c r="D17" s="3543">
        <f t="shared" ref="D17:F17" si="0">D18</f>
        <v>-503.76097593269321</v>
      </c>
      <c r="E17" s="3544"/>
      <c r="F17" s="3226">
        <f t="shared" si="0"/>
        <v>308.3566064877997</v>
      </c>
      <c r="G17" s="3537">
        <f>-F17*44/12</f>
        <v>-1130.6408904552657</v>
      </c>
      <c r="H17" s="226"/>
      <c r="I17" s="2"/>
      <c r="J17" s="2"/>
    </row>
    <row r="18" spans="2:10" ht="18" customHeight="1" thickBot="1" x14ac:dyDescent="0.25">
      <c r="B18" s="561" t="s">
        <v>2254</v>
      </c>
      <c r="C18" s="3545">
        <v>812.11758242049291</v>
      </c>
      <c r="D18" s="3546">
        <f>F18-C18</f>
        <v>-503.76097593269321</v>
      </c>
      <c r="E18" s="3238" t="s">
        <v>2147</v>
      </c>
      <c r="F18" s="3547">
        <f>G18/(-44/12)</f>
        <v>308.3566064877997</v>
      </c>
      <c r="G18" s="3548">
        <v>-1130.6408904552654</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9"/>
      <c r="D26" s="2290"/>
      <c r="E26" s="2290"/>
      <c r="F26" s="2290"/>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9"/>
      <c r="D37" s="2290"/>
      <c r="E37" s="2290"/>
      <c r="F37" s="2290"/>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9"/>
      <c r="D48" s="2290"/>
      <c r="E48" s="2290"/>
      <c r="F48" s="2290"/>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9"/>
      <c r="D63" s="2290"/>
      <c r="E63" s="2290"/>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2"/>
      <c r="D95" s="2482"/>
      <c r="E95" s="2482"/>
      <c r="F95" s="2482"/>
      <c r="G95" s="2483"/>
      <c r="H95" s="2"/>
      <c r="I95" s="2"/>
    </row>
    <row r="96" spans="2:10" x14ac:dyDescent="0.2">
      <c r="B96" s="1329"/>
      <c r="C96" s="2480"/>
      <c r="D96" s="2480"/>
      <c r="E96" s="2480"/>
      <c r="F96" s="2480"/>
      <c r="G96" s="2481"/>
      <c r="H96" s="2"/>
      <c r="I96" s="2"/>
    </row>
    <row r="97" spans="2:10" x14ac:dyDescent="0.2">
      <c r="B97" s="1329"/>
      <c r="C97" s="2480"/>
      <c r="D97" s="2480"/>
      <c r="E97" s="2480"/>
      <c r="F97" s="2480"/>
      <c r="G97" s="2481"/>
      <c r="H97" s="2"/>
      <c r="I97" s="2"/>
    </row>
    <row r="98" spans="2:10" x14ac:dyDescent="0.2">
      <c r="B98" s="2484"/>
      <c r="C98" s="2485"/>
      <c r="D98" s="2485"/>
      <c r="E98" s="2485"/>
      <c r="F98" s="2485"/>
      <c r="G98" s="2486"/>
      <c r="H98" s="2"/>
      <c r="I98" s="2"/>
    </row>
    <row r="99" spans="2:10" x14ac:dyDescent="0.2">
      <c r="B99" s="4508" t="s">
        <v>2255</v>
      </c>
      <c r="C99" s="4509"/>
      <c r="D99" s="4509"/>
      <c r="E99" s="4509"/>
      <c r="F99" s="4509"/>
      <c r="G99" s="4510"/>
      <c r="H99" s="2"/>
      <c r="I99" s="2"/>
    </row>
    <row r="100" spans="2:10" ht="26.25" customHeight="1" thickBot="1" x14ac:dyDescent="0.25">
      <c r="B100" s="4511"/>
      <c r="C100" s="4512"/>
      <c r="D100" s="4512"/>
      <c r="E100" s="4512"/>
      <c r="F100" s="4512"/>
      <c r="G100" s="4513"/>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6"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25">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25">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25">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25">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508" t="s">
        <v>2290</v>
      </c>
      <c r="C84" s="4509"/>
      <c r="D84" s="4509"/>
      <c r="E84" s="4509"/>
      <c r="F84" s="4509"/>
      <c r="G84" s="4509"/>
      <c r="H84" s="4509"/>
      <c r="I84" s="4509"/>
      <c r="J84" s="4509"/>
      <c r="K84" s="4509"/>
      <c r="L84" s="4509"/>
      <c r="M84" s="4509"/>
      <c r="N84" s="4510"/>
    </row>
    <row r="85" spans="2:14" ht="13.5" thickBot="1" x14ac:dyDescent="0.25">
      <c r="B85" s="4511"/>
      <c r="C85" s="4512"/>
      <c r="D85" s="4512"/>
      <c r="E85" s="4512"/>
      <c r="F85" s="4512"/>
      <c r="G85" s="4512"/>
      <c r="H85" s="4512"/>
      <c r="I85" s="4512"/>
      <c r="J85" s="4512"/>
      <c r="K85" s="4512"/>
      <c r="L85" s="4512"/>
      <c r="M85" s="4512"/>
      <c r="N85" s="4513"/>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6" t="s">
        <v>64</v>
      </c>
      <c r="I7" s="137"/>
    </row>
    <row r="8" spans="1:10" ht="13.5" x14ac:dyDescent="0.2">
      <c r="B8" s="4514" t="s">
        <v>1368</v>
      </c>
      <c r="C8" s="1871" t="s">
        <v>1854</v>
      </c>
      <c r="D8" s="1871" t="s">
        <v>67</v>
      </c>
      <c r="E8" s="1871" t="s">
        <v>68</v>
      </c>
      <c r="F8" s="1871" t="s">
        <v>442</v>
      </c>
      <c r="G8" s="1872" t="s">
        <v>70</v>
      </c>
      <c r="H8" s="1873" t="s">
        <v>71</v>
      </c>
      <c r="I8" s="1874" t="s">
        <v>1369</v>
      </c>
      <c r="J8" s="2473" t="s">
        <v>2034</v>
      </c>
    </row>
    <row r="9" spans="1:10" ht="16.5" customHeight="1" thickBot="1" x14ac:dyDescent="0.25">
      <c r="A9" s="83"/>
      <c r="B9" s="4515"/>
      <c r="C9" s="1875" t="s">
        <v>73</v>
      </c>
      <c r="D9" s="1876"/>
      <c r="E9" s="1876"/>
      <c r="F9" s="1876"/>
      <c r="G9" s="1876"/>
      <c r="H9" s="1876"/>
      <c r="I9" s="1877"/>
      <c r="J9" s="1800" t="s">
        <v>2022</v>
      </c>
    </row>
    <row r="10" spans="1:10" ht="18" customHeight="1" thickTop="1" thickBot="1" x14ac:dyDescent="0.25">
      <c r="B10" s="1503" t="s">
        <v>1370</v>
      </c>
      <c r="C10" s="4371">
        <f>IF(SUM(C11,C15,C18,C21)=0,"NO",SUM(C11,C15,C18,C21))</f>
        <v>31.331062638344687</v>
      </c>
      <c r="D10" s="4371">
        <f t="shared" ref="D10:I10" si="0">IF(SUM(D11,D15,D18,D21)=0,"NO",SUM(D11,D15,D18,D21))</f>
        <v>453.24908884780967</v>
      </c>
      <c r="E10" s="4371">
        <f t="shared" si="0"/>
        <v>1.3633861471000244</v>
      </c>
      <c r="F10" s="4371" t="str">
        <f t="shared" si="0"/>
        <v>NO</v>
      </c>
      <c r="G10" s="4371" t="str">
        <f t="shared" si="0"/>
        <v>NO</v>
      </c>
      <c r="H10" s="4371">
        <f t="shared" si="0"/>
        <v>243.97794350142794</v>
      </c>
      <c r="I10" s="4372" t="str">
        <f t="shared" si="0"/>
        <v>NO</v>
      </c>
      <c r="J10" s="4373">
        <f>IF(SUM(C10:E10)=0,"NO",SUM(C10,IFERROR(28*D10,0),IFERROR(265*E10,0)))</f>
        <v>13083.602879358523</v>
      </c>
    </row>
    <row r="11" spans="1:10" ht="18" customHeight="1" x14ac:dyDescent="0.2">
      <c r="B11" s="1504" t="s">
        <v>1371</v>
      </c>
      <c r="C11" s="4374"/>
      <c r="D11" s="2883">
        <f>IF(SUM(D12:D14)=0,"NO",SUM(D12:D14))</f>
        <v>352.88296809000002</v>
      </c>
      <c r="E11" s="4374"/>
      <c r="F11" s="2883" t="str">
        <f>IF(SUM(F12:F14)=0,"NO",SUM(F12:F14))</f>
        <v>NO</v>
      </c>
      <c r="G11" s="2883" t="str">
        <f t="shared" ref="G11:H11" si="1">IF(SUM(G12:G14)=0,"NO",SUM(G12:G14))</f>
        <v>NO</v>
      </c>
      <c r="H11" s="2883">
        <f t="shared" si="1"/>
        <v>2.9812629076828063</v>
      </c>
      <c r="I11" s="2153"/>
      <c r="J11" s="2872">
        <f t="shared" ref="J11:J18" si="2">IF(SUM(C11:E11)=0,"NO",SUM(C11,IFERROR(28*D11,0),IFERROR(265*E11,0)))</f>
        <v>9880.7231065200012</v>
      </c>
    </row>
    <row r="12" spans="1:10" ht="18" customHeight="1" x14ac:dyDescent="0.2">
      <c r="B12" s="1270" t="s">
        <v>1372</v>
      </c>
      <c r="C12" s="4375"/>
      <c r="D12" s="4376">
        <f>IF(SUM(Table5.A!F10:H10)=0,"NO",SUM(Table5.A!F10))</f>
        <v>352.88296809000002</v>
      </c>
      <c r="E12" s="4375"/>
      <c r="F12" s="4377" t="s">
        <v>2147</v>
      </c>
      <c r="G12" s="4377" t="s">
        <v>2147</v>
      </c>
      <c r="H12" s="4377">
        <v>2.9812629076828063</v>
      </c>
      <c r="I12" s="4378"/>
      <c r="J12" s="4379">
        <f t="shared" si="2"/>
        <v>9880.7231065200012</v>
      </c>
    </row>
    <row r="13" spans="1:10" ht="18" customHeight="1" x14ac:dyDescent="0.2">
      <c r="B13" s="1270" t="s">
        <v>1373</v>
      </c>
      <c r="C13" s="4375"/>
      <c r="D13" s="4376" t="str">
        <f>Table5.A!F29</f>
        <v>NO</v>
      </c>
      <c r="E13" s="4375"/>
      <c r="F13" s="4377" t="s">
        <v>2146</v>
      </c>
      <c r="G13" s="4377" t="s">
        <v>2146</v>
      </c>
      <c r="H13" s="4377" t="s">
        <v>2146</v>
      </c>
      <c r="I13" s="4378"/>
      <c r="J13" s="4379" t="str">
        <f t="shared" si="2"/>
        <v>NO</v>
      </c>
    </row>
    <row r="14" spans="1:10" ht="18" customHeight="1" thickBot="1" x14ac:dyDescent="0.25">
      <c r="B14" s="2884" t="s">
        <v>1374</v>
      </c>
      <c r="C14" s="4380"/>
      <c r="D14" s="4381" t="str">
        <f>Table5.A!F35</f>
        <v>NO</v>
      </c>
      <c r="E14" s="4380"/>
      <c r="F14" s="4382" t="s">
        <v>2146</v>
      </c>
      <c r="G14" s="4382" t="s">
        <v>2146</v>
      </c>
      <c r="H14" s="4382" t="s">
        <v>2146</v>
      </c>
      <c r="I14" s="4383"/>
      <c r="J14" s="4384" t="str">
        <f t="shared" si="2"/>
        <v>NO</v>
      </c>
    </row>
    <row r="15" spans="1:10" ht="18" customHeight="1" x14ac:dyDescent="0.2">
      <c r="B15" s="1506" t="s">
        <v>1375</v>
      </c>
      <c r="C15" s="4385"/>
      <c r="D15" s="2881">
        <f>IF(SUM(D16:D17)=0,"NO",SUM(D16:D17))</f>
        <v>4.3177532196272264</v>
      </c>
      <c r="E15" s="2881">
        <f t="shared" ref="E15" si="3">IF(SUM(E16:E17)=0,"NO",SUM(E16:E17))</f>
        <v>0.55267241211228502</v>
      </c>
      <c r="F15" s="2881" t="s">
        <v>2256</v>
      </c>
      <c r="G15" s="2881" t="s">
        <v>2256</v>
      </c>
      <c r="H15" s="2881" t="s">
        <v>2256</v>
      </c>
      <c r="I15" s="4386"/>
      <c r="J15" s="2873">
        <f t="shared" si="2"/>
        <v>267.35527935931782</v>
      </c>
    </row>
    <row r="16" spans="1:10" ht="18" customHeight="1" x14ac:dyDescent="0.2">
      <c r="B16" s="1883" t="s">
        <v>1376</v>
      </c>
      <c r="C16" s="4387"/>
      <c r="D16" s="4376">
        <f>Table5.B!F10</f>
        <v>4.3177532196272264</v>
      </c>
      <c r="E16" s="4376">
        <f>Table5.B!G10</f>
        <v>0.55267241211228502</v>
      </c>
      <c r="F16" s="4388" t="s">
        <v>2147</v>
      </c>
      <c r="G16" s="4388" t="s">
        <v>2147</v>
      </c>
      <c r="H16" s="4388" t="s">
        <v>2147</v>
      </c>
      <c r="I16" s="4378"/>
      <c r="J16" s="4379">
        <f t="shared" si="2"/>
        <v>267.35527935931782</v>
      </c>
    </row>
    <row r="17" spans="2:12" ht="18" customHeight="1" thickBot="1" x14ac:dyDescent="0.25">
      <c r="B17" s="1884" t="s">
        <v>1377</v>
      </c>
      <c r="C17" s="4389"/>
      <c r="D17" s="4381" t="str">
        <f>Table5.B!F14</f>
        <v>NO,NE</v>
      </c>
      <c r="E17" s="4381" t="str">
        <f>Table5.B!G14</f>
        <v>NO,NE</v>
      </c>
      <c r="F17" s="4390" t="s">
        <v>2154</v>
      </c>
      <c r="G17" s="4390" t="s">
        <v>2154</v>
      </c>
      <c r="H17" s="4390" t="s">
        <v>2154</v>
      </c>
      <c r="I17" s="4383"/>
      <c r="J17" s="4384" t="str">
        <f t="shared" si="2"/>
        <v>NO</v>
      </c>
    </row>
    <row r="18" spans="2:12" ht="18" customHeight="1" x14ac:dyDescent="0.2">
      <c r="B18" s="1506" t="s">
        <v>1378</v>
      </c>
      <c r="C18" s="2871">
        <f>IF(SUM(C19:C20)=0,"NO",SUM(C19:C20))</f>
        <v>31.331062638344687</v>
      </c>
      <c r="D18" s="2871" t="str">
        <f>IF(SUM(D19:D20)=0,"NO,NE",SUM(D19:D20))</f>
        <v>NO,NE</v>
      </c>
      <c r="E18" s="2871" t="str">
        <f>IF(SUM(E19:E20)=0,"NO,NE",SUM(E19:E20))</f>
        <v>NO,NE</v>
      </c>
      <c r="F18" s="2871" t="s">
        <v>2147</v>
      </c>
      <c r="G18" s="2871" t="s">
        <v>2147</v>
      </c>
      <c r="H18" s="2871" t="s">
        <v>2147</v>
      </c>
      <c r="I18" s="2871" t="s">
        <v>2147</v>
      </c>
      <c r="J18" s="2874">
        <f t="shared" si="2"/>
        <v>31.331062638344687</v>
      </c>
    </row>
    <row r="19" spans="2:12" ht="18" customHeight="1" x14ac:dyDescent="0.2">
      <c r="B19" s="1270" t="s">
        <v>1379</v>
      </c>
      <c r="C19" s="4376">
        <f>Table5.C!G10</f>
        <v>31.331062638344687</v>
      </c>
      <c r="D19" s="4376" t="str">
        <f>Table5.C!H10</f>
        <v>NO,NE</v>
      </c>
      <c r="E19" s="4376" t="str">
        <f>Table5.C!I10</f>
        <v>NO,NE</v>
      </c>
      <c r="F19" s="4391" t="s">
        <v>2147</v>
      </c>
      <c r="G19" s="4391" t="s">
        <v>2147</v>
      </c>
      <c r="H19" s="4391" t="s">
        <v>2147</v>
      </c>
      <c r="I19" s="4391" t="s">
        <v>2147</v>
      </c>
      <c r="J19" s="4379">
        <f>IF(SUM(C19:E19)=0,"NO",SUM(C19,IFERROR(28*D19,0),IFERROR(265*E19,0)))</f>
        <v>31.331062638344687</v>
      </c>
    </row>
    <row r="20" spans="2:12" ht="18" customHeight="1" thickBot="1" x14ac:dyDescent="0.25">
      <c r="B20" s="1270" t="s">
        <v>1380</v>
      </c>
      <c r="C20" s="4381" t="str">
        <f>Table5.C!G32</f>
        <v>NO</v>
      </c>
      <c r="D20" s="4381" t="str">
        <f>Table5.C!H32</f>
        <v>NO</v>
      </c>
      <c r="E20" s="4381" t="str">
        <f>Table5.C!I32</f>
        <v>NO</v>
      </c>
      <c r="F20" s="4390" t="s">
        <v>2147</v>
      </c>
      <c r="G20" s="4390" t="s">
        <v>2147</v>
      </c>
      <c r="H20" s="4390" t="s">
        <v>2147</v>
      </c>
      <c r="I20" s="4390" t="s">
        <v>2147</v>
      </c>
      <c r="J20" s="4384" t="str">
        <f t="shared" ref="J20:J24" si="4">IF(SUM(C20:E20)=0,"NO",SUM(C20,IFERROR(28*D20,0),IFERROR(265*E20,0)))</f>
        <v>NO</v>
      </c>
    </row>
    <row r="21" spans="2:12" ht="18" customHeight="1" x14ac:dyDescent="0.2">
      <c r="B21" s="1504" t="s">
        <v>1381</v>
      </c>
      <c r="C21" s="4392"/>
      <c r="D21" s="2871">
        <f>IF(SUM(D22:D24)=0,"NO",SUM(D22:D24))</f>
        <v>96.048367538182447</v>
      </c>
      <c r="E21" s="2871">
        <f t="shared" ref="E21:H21" si="5">IF(SUM(E22:E24)=0,"NO",SUM(E22:E24))</f>
        <v>0.81071373498773935</v>
      </c>
      <c r="F21" s="2871" t="str">
        <f t="shared" si="5"/>
        <v>NO</v>
      </c>
      <c r="G21" s="2871" t="str">
        <f t="shared" si="5"/>
        <v>NO</v>
      </c>
      <c r="H21" s="2871">
        <f t="shared" si="5"/>
        <v>240.99668059374514</v>
      </c>
      <c r="I21" s="4393"/>
      <c r="J21" s="2874">
        <f t="shared" si="4"/>
        <v>2904.1934308408595</v>
      </c>
    </row>
    <row r="22" spans="2:12" ht="18" customHeight="1" x14ac:dyDescent="0.2">
      <c r="B22" s="1270" t="s">
        <v>1382</v>
      </c>
      <c r="C22" s="4394"/>
      <c r="D22" s="4376">
        <f>IF(SUM(Table5.D!H10)=0,"NO",SUM(Table5.D!H10))</f>
        <v>52.317526482494834</v>
      </c>
      <c r="E22" s="4376">
        <f>IF(SUM(Table5.D!I10:J10)=0,"NO",SUM(Table5.D!I10:J10))</f>
        <v>0.81071373498773935</v>
      </c>
      <c r="F22" s="4377" t="s">
        <v>2147</v>
      </c>
      <c r="G22" s="4377" t="s">
        <v>2147</v>
      </c>
      <c r="H22" s="4377">
        <v>8.0226239606836032</v>
      </c>
      <c r="I22" s="4378"/>
      <c r="J22" s="4379">
        <f t="shared" si="4"/>
        <v>1679.7298812816064</v>
      </c>
    </row>
    <row r="23" spans="2:12" ht="18" customHeight="1" x14ac:dyDescent="0.2">
      <c r="B23" s="1270" t="s">
        <v>1383</v>
      </c>
      <c r="C23" s="4394"/>
      <c r="D23" s="4376">
        <f>IF(SUM(Table5.D!H11)=0,"NO",SUM(Table5.D!H11))</f>
        <v>43.73084105568762</v>
      </c>
      <c r="E23" s="4376" t="str">
        <f>IF(SUM(Table5.D!I11:J11)=0,"IE",SUM(Table5.D!I11:J11))</f>
        <v>IE</v>
      </c>
      <c r="F23" s="4377" t="s">
        <v>2147</v>
      </c>
      <c r="G23" s="4377" t="s">
        <v>2147</v>
      </c>
      <c r="H23" s="4377">
        <v>232.97405663306154</v>
      </c>
      <c r="I23" s="4378"/>
      <c r="J23" s="4379">
        <f t="shared" si="4"/>
        <v>1224.4635495592534</v>
      </c>
    </row>
    <row r="24" spans="2:12" ht="18" customHeight="1" thickBot="1" x14ac:dyDescent="0.25">
      <c r="B24" s="1271" t="s">
        <v>2079</v>
      </c>
      <c r="C24" s="4395"/>
      <c r="D24" s="4381" t="str">
        <f>Table5.D!H12</f>
        <v>NO</v>
      </c>
      <c r="E24" s="4381" t="str">
        <f>IF(SUM(Table5.D!I12:J12)=0,"NO",SUM(Table5.D!I12:J12))</f>
        <v>NO</v>
      </c>
      <c r="F24" s="4382" t="s">
        <v>2146</v>
      </c>
      <c r="G24" s="4382" t="s">
        <v>2146</v>
      </c>
      <c r="H24" s="4382" t="s">
        <v>2146</v>
      </c>
      <c r="I24" s="4383"/>
      <c r="J24" s="4384" t="str">
        <f t="shared" si="4"/>
        <v>NO</v>
      </c>
    </row>
    <row r="25" spans="2:12" ht="18" customHeight="1" x14ac:dyDescent="0.2">
      <c r="B25" s="1504" t="s">
        <v>2064</v>
      </c>
      <c r="C25" s="2883" t="str">
        <f>C26</f>
        <v>NE</v>
      </c>
      <c r="D25" s="2883" t="str">
        <f t="shared" ref="D25:I25" si="6">D26</f>
        <v>NE</v>
      </c>
      <c r="E25" s="2883" t="str">
        <f t="shared" si="6"/>
        <v>NE</v>
      </c>
      <c r="F25" s="2883" t="str">
        <f t="shared" si="6"/>
        <v>NE</v>
      </c>
      <c r="G25" s="2883" t="str">
        <f t="shared" si="6"/>
        <v>NE</v>
      </c>
      <c r="H25" s="4396" t="str">
        <f t="shared" si="6"/>
        <v>NE</v>
      </c>
      <c r="I25" s="4397" t="str">
        <f t="shared" si="6"/>
        <v>NE</v>
      </c>
      <c r="J25" s="4398" t="s">
        <v>2154</v>
      </c>
      <c r="K25"/>
      <c r="L25"/>
    </row>
    <row r="26" spans="2:12" ht="18" customHeight="1" thickBot="1" x14ac:dyDescent="0.25">
      <c r="B26" s="2870" t="s">
        <v>2258</v>
      </c>
      <c r="C26" s="4390" t="s">
        <v>2154</v>
      </c>
      <c r="D26" s="4390" t="s">
        <v>2154</v>
      </c>
      <c r="E26" s="4390" t="s">
        <v>2154</v>
      </c>
      <c r="F26" s="4390" t="s">
        <v>2154</v>
      </c>
      <c r="G26" s="4390" t="s">
        <v>2154</v>
      </c>
      <c r="H26" s="4390" t="s">
        <v>2154</v>
      </c>
      <c r="I26" s="4399" t="s">
        <v>2154</v>
      </c>
      <c r="J26" s="4400" t="s">
        <v>2154</v>
      </c>
      <c r="K26"/>
      <c r="L26"/>
    </row>
    <row r="27" spans="2:12" ht="18" customHeight="1" x14ac:dyDescent="0.2">
      <c r="B27" s="1504" t="s">
        <v>2035</v>
      </c>
      <c r="C27" s="4401"/>
      <c r="D27" s="4401"/>
      <c r="E27" s="4401"/>
      <c r="F27" s="4401"/>
      <c r="G27" s="4401"/>
      <c r="H27" s="4401"/>
      <c r="I27" s="4402"/>
      <c r="J27" s="4402"/>
      <c r="K27"/>
      <c r="L27"/>
    </row>
    <row r="28" spans="2:12" ht="18" customHeight="1" x14ac:dyDescent="0.2">
      <c r="B28" s="1883" t="s">
        <v>2080</v>
      </c>
      <c r="C28" s="4403">
        <v>-303716.67515599198</v>
      </c>
      <c r="D28" s="4404"/>
      <c r="E28" s="4404"/>
      <c r="F28" s="4404"/>
      <c r="G28" s="4404"/>
      <c r="H28" s="4404"/>
      <c r="I28" s="4405"/>
      <c r="J28" s="4406"/>
      <c r="K28"/>
      <c r="L28"/>
    </row>
    <row r="29" spans="2:12" ht="18" customHeight="1" x14ac:dyDescent="0.2">
      <c r="B29" s="2487" t="s">
        <v>2081</v>
      </c>
      <c r="C29" s="4407">
        <v>-3524.9991432375514</v>
      </c>
      <c r="D29" s="4408"/>
      <c r="E29" s="4408"/>
      <c r="F29" s="4408"/>
      <c r="G29" s="4408"/>
      <c r="H29" s="4408"/>
      <c r="I29" s="4406"/>
      <c r="J29" s="4406"/>
      <c r="K29"/>
      <c r="L29"/>
    </row>
    <row r="30" spans="2:12" ht="29.25" customHeight="1" thickBot="1" x14ac:dyDescent="0.25">
      <c r="B30" s="2488" t="s">
        <v>2082</v>
      </c>
      <c r="C30" s="4409">
        <v>-1130.6408904552654</v>
      </c>
      <c r="D30" s="4410"/>
      <c r="E30" s="4410"/>
      <c r="F30" s="4410"/>
      <c r="G30" s="4410"/>
      <c r="H30" s="4410"/>
      <c r="I30" s="4411"/>
      <c r="J30" s="4411"/>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4"/>
      <c r="M4" s="136"/>
    </row>
    <row r="5" spans="1:13" ht="12.75" customHeight="1" thickBot="1" x14ac:dyDescent="0.25">
      <c r="B5" s="2446"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1">
        <f>C11</f>
        <v>18327.406859526196</v>
      </c>
      <c r="D10" s="3752"/>
      <c r="E10" s="3751">
        <f>IF(SUM(C10)=0,"NA",(F10-SUM(G10:H10))/C10)</f>
        <v>3.6600538921376977E-2</v>
      </c>
      <c r="F10" s="3753">
        <f>F11</f>
        <v>352.88296809000002</v>
      </c>
      <c r="G10" s="3753">
        <f>G11</f>
        <v>-19.579999999999998</v>
      </c>
      <c r="H10" s="3754">
        <f>H11</f>
        <v>-298.33</v>
      </c>
      <c r="I10" s="44"/>
    </row>
    <row r="11" spans="1:13" ht="18" customHeight="1" x14ac:dyDescent="0.2">
      <c r="B11" s="1750" t="s">
        <v>1395</v>
      </c>
      <c r="C11" s="3755">
        <f>IF(SUM(C13:C16)=0,"NO",SUM(C13:C16))</f>
        <v>18327.406859526196</v>
      </c>
      <c r="D11" s="3755">
        <v>1</v>
      </c>
      <c r="E11" s="3755">
        <f>IF(SUM(C11)=0,"NA",(F11-SUM(G11:H11))/C11)</f>
        <v>3.6600538921376977E-2</v>
      </c>
      <c r="F11" s="3755">
        <f>IF(SUM(F13:F16)=0,"NO",SUM(F13:F16))</f>
        <v>352.88296809000002</v>
      </c>
      <c r="G11" s="3756">
        <v>-19.579999999999998</v>
      </c>
      <c r="H11" s="3757">
        <v>-298.33</v>
      </c>
      <c r="I11" s="44"/>
    </row>
    <row r="12" spans="1:13" ht="18" customHeight="1" x14ac:dyDescent="0.2">
      <c r="B12" s="1242" t="s">
        <v>1396</v>
      </c>
      <c r="C12" s="3758"/>
      <c r="D12" s="3759"/>
      <c r="E12" s="3760"/>
      <c r="F12" s="3759"/>
      <c r="G12" s="3759"/>
      <c r="H12" s="3761"/>
      <c r="I12" s="44"/>
    </row>
    <row r="13" spans="1:13" ht="18" customHeight="1" x14ac:dyDescent="0.2">
      <c r="B13" s="1751" t="s">
        <v>1397</v>
      </c>
      <c r="C13" s="3762">
        <v>10834.151434653149</v>
      </c>
      <c r="D13" s="3762">
        <v>1</v>
      </c>
      <c r="E13" s="3755" t="s">
        <v>2153</v>
      </c>
      <c r="F13" s="3762">
        <v>14.204896489999999</v>
      </c>
      <c r="G13" s="3763"/>
      <c r="H13" s="3764"/>
      <c r="I13" s="44"/>
    </row>
    <row r="14" spans="1:13" ht="18" customHeight="1" x14ac:dyDescent="0.2">
      <c r="B14" s="1751" t="s">
        <v>1398</v>
      </c>
      <c r="C14" s="3762">
        <v>1767.8244661179961</v>
      </c>
      <c r="D14" s="3762">
        <v>1</v>
      </c>
      <c r="E14" s="3755" t="s">
        <v>2153</v>
      </c>
      <c r="F14" s="3762">
        <v>136.22155000000001</v>
      </c>
      <c r="G14" s="3763"/>
      <c r="H14" s="3764"/>
      <c r="I14" s="44"/>
    </row>
    <row r="15" spans="1:13" ht="18" customHeight="1" x14ac:dyDescent="0.2">
      <c r="B15" s="1751" t="s">
        <v>1399</v>
      </c>
      <c r="C15" s="3762">
        <v>5725.4309587550497</v>
      </c>
      <c r="D15" s="3762">
        <v>1</v>
      </c>
      <c r="E15" s="3755" t="s">
        <v>2153</v>
      </c>
      <c r="F15" s="3762">
        <v>202.4565216</v>
      </c>
      <c r="G15" s="3763"/>
      <c r="H15" s="3764"/>
      <c r="I15" s="44"/>
    </row>
    <row r="16" spans="1:13" ht="18" customHeight="1" x14ac:dyDescent="0.2">
      <c r="B16" s="1751" t="s">
        <v>1400</v>
      </c>
      <c r="C16" s="3762" t="s">
        <v>2147</v>
      </c>
      <c r="D16" s="3762" t="s">
        <v>2147</v>
      </c>
      <c r="E16" s="3755" t="str">
        <f>IF(SUM(C16)=0,"NA",F16/C16)</f>
        <v>NA</v>
      </c>
      <c r="F16" s="3762" t="s">
        <v>2147</v>
      </c>
      <c r="G16" s="3763"/>
      <c r="H16" s="3764"/>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1"/>
      <c r="D18" s="2292"/>
      <c r="E18" s="2286"/>
      <c r="F18" s="2292"/>
      <c r="G18" s="2292"/>
      <c r="H18" s="2293"/>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1"/>
      <c r="D24" s="2292"/>
      <c r="E24" s="2286"/>
      <c r="F24" s="2292"/>
      <c r="G24" s="2292"/>
      <c r="H24" s="2293"/>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1"/>
      <c r="D30" s="2292"/>
      <c r="E30" s="2286"/>
      <c r="F30" s="2292"/>
      <c r="G30" s="2292"/>
      <c r="H30" s="2293"/>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1"/>
      <c r="D36" s="2292"/>
      <c r="E36" s="2286"/>
      <c r="F36" s="2292"/>
      <c r="G36" s="2292"/>
      <c r="H36" s="2293"/>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8" t="s">
        <v>64</v>
      </c>
    </row>
    <row r="6" spans="1:9" ht="24" x14ac:dyDescent="0.2">
      <c r="B6" s="2459"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5757.0042928363</v>
      </c>
      <c r="D10" s="1913">
        <f>IF(SUM($C10)=0,"NA",F10*1000/$C10)</f>
        <v>0.75000000000000011</v>
      </c>
      <c r="E10" s="1913">
        <f>IF(SUM($C10)=0,"NA",G10*1000/$C10)</f>
        <v>9.600000000000003E-2</v>
      </c>
      <c r="F10" s="1909">
        <f>IF(SUM(F11:F12)=0,"NO",SUM(F11:F12))</f>
        <v>4.3177532196272264</v>
      </c>
      <c r="G10" s="1909">
        <f>IF(SUM(G11:G12)=0,"NO",SUM(G11:G12))</f>
        <v>0.55267241211228502</v>
      </c>
      <c r="H10" s="1910"/>
      <c r="I10" s="1911"/>
    </row>
    <row r="11" spans="1:9" ht="18" customHeight="1" x14ac:dyDescent="0.2">
      <c r="B11" s="1526" t="s">
        <v>1411</v>
      </c>
      <c r="C11" s="1912">
        <v>5757.0042928363</v>
      </c>
      <c r="D11" s="1913">
        <f>IF(SUM($C11)=0,"NA",F11*1000/$C11)</f>
        <v>0.75000000000000011</v>
      </c>
      <c r="E11" s="1913">
        <f>IF(SUM($C11)=0,"NA",G11*1000/$C11)</f>
        <v>9.600000000000003E-2</v>
      </c>
      <c r="F11" s="1912">
        <v>4.3177532196272264</v>
      </c>
      <c r="G11" s="1912">
        <v>0.55267241211228502</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5"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25">
      <c r="B17" s="2879" t="s">
        <v>2147</v>
      </c>
      <c r="C17" s="141" t="s">
        <v>2146</v>
      </c>
      <c r="D17" s="2880" t="str">
        <f t="shared" si="0"/>
        <v>NA</v>
      </c>
      <c r="E17" s="2880"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60"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50" t="s">
        <v>1424</v>
      </c>
      <c r="C10" s="2886">
        <f>IF(SUM(C11,C21)=0,"NO",SUM(C11,C21))</f>
        <v>16.037573029186351</v>
      </c>
      <c r="D10" s="2887">
        <f>IF(SUM(G10)=0,"NA",G10*1000/$C10)</f>
        <v>1953.6037392519506</v>
      </c>
      <c r="E10" s="2887" t="str">
        <f t="shared" ref="E10:E20" si="0">IF(SUM(H10)=0,"NA",H10*1000/$C10)</f>
        <v>NA</v>
      </c>
      <c r="F10" s="2887" t="str">
        <f t="shared" ref="F10:F20" si="1">IF(SUM(I10)=0,"NA",I10*1000/$C10)</f>
        <v>NA</v>
      </c>
      <c r="G10" s="2887">
        <f>IF(SUM(G11,G21)=0,"NO",SUM(G11,G21))</f>
        <v>31.331062638344687</v>
      </c>
      <c r="H10" s="2887" t="str">
        <f>IF(SUM(H11,H21)=0,"NO,NE",SUM(H11,H21))</f>
        <v>NO,NE</v>
      </c>
      <c r="I10" s="2888" t="str">
        <f>IF(SUM(I11,I21)=0,"NO,NE",SUM(I11,I21))</f>
        <v>NO,NE</v>
      </c>
    </row>
    <row r="11" spans="1:9" ht="18" customHeight="1" x14ac:dyDescent="0.2">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4"/>
      <c r="D14" s="2295"/>
      <c r="E14" s="2295"/>
      <c r="F14" s="2295"/>
      <c r="G14" s="2295"/>
      <c r="H14" s="2295"/>
      <c r="I14" s="2296"/>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9">
        <f>IF(SUM(C22:C23)=0,"NO",SUM(C22:C23))</f>
        <v>16.037573029186351</v>
      </c>
      <c r="D21" s="116">
        <f>IF(SUM(G21)=0,"NA",G21*1000/$C21)</f>
        <v>1953.6037392519506</v>
      </c>
      <c r="E21" s="116" t="str">
        <f t="shared" ref="E21:F21" si="3">IF(SUM(H21)=0,"NA",H21*1000/$C21)</f>
        <v>NA</v>
      </c>
      <c r="F21" s="116" t="str">
        <f t="shared" si="3"/>
        <v>NA</v>
      </c>
      <c r="G21" s="2889">
        <f>IF(SUM(G22:G23)=0,"NO",SUM(G22:G23))</f>
        <v>31.331062638344687</v>
      </c>
      <c r="H21" s="116" t="str">
        <f>IF(SUM(H22:H23)=0,"NO,NE",SUM(H22:H23))</f>
        <v>NO,NE</v>
      </c>
      <c r="I21" s="2890" t="str">
        <f>IF(SUM(I22:I23)=0,"NO,NE",SUM(I22:I23))</f>
        <v>NO,NE</v>
      </c>
    </row>
    <row r="22" spans="2:9" ht="18" customHeight="1" x14ac:dyDescent="0.2">
      <c r="B22" s="1526" t="s">
        <v>1434</v>
      </c>
      <c r="C22" s="143" t="s">
        <v>2146</v>
      </c>
      <c r="D22" s="116" t="str">
        <f t="shared" ref="D22:D38" si="4">IF(SUM(G22)=0,"NA",G22*1000/$C22)</f>
        <v>NA</v>
      </c>
      <c r="E22" s="116" t="str">
        <f t="shared" ref="E22:E38" si="5">IF(SUM(H22)=0,"NA",H22*1000/$C22)</f>
        <v>NA</v>
      </c>
      <c r="F22" s="116" t="str">
        <f t="shared" ref="F22:F38" si="6">IF(SUM(I22)=0,"NA",I22*1000/$C22)</f>
        <v>NA</v>
      </c>
      <c r="G22" s="143" t="s">
        <v>2146</v>
      </c>
      <c r="H22" s="143" t="s">
        <v>2146</v>
      </c>
      <c r="I22" s="140" t="s">
        <v>2146</v>
      </c>
    </row>
    <row r="23" spans="2:9" ht="18" customHeight="1" x14ac:dyDescent="0.2">
      <c r="B23" s="1526" t="s">
        <v>1435</v>
      </c>
      <c r="C23" s="2889">
        <f>IF(SUM(C25:C29)=0,"NO",SUM(C25:C29))</f>
        <v>16.037573029186351</v>
      </c>
      <c r="D23" s="116">
        <f t="shared" si="4"/>
        <v>1953.6037392519506</v>
      </c>
      <c r="E23" s="151" t="str">
        <f t="shared" si="5"/>
        <v>NA</v>
      </c>
      <c r="F23" s="151" t="str">
        <f t="shared" si="6"/>
        <v>NA</v>
      </c>
      <c r="G23" s="151">
        <f>IF(SUM(G25:G30)=0,"NO",SUM(G25:G30))</f>
        <v>31.331062638344687</v>
      </c>
      <c r="H23" s="151" t="str">
        <f>IF(SUM(H25:H30)=0,"NE",SUM(H25:H30))</f>
        <v>NE</v>
      </c>
      <c r="I23" s="152" t="str">
        <f>IF(SUM(I25:I30)=0,"NE",SUM(I25:I30))</f>
        <v>NE</v>
      </c>
    </row>
    <row r="24" spans="2:9" ht="18" customHeight="1" x14ac:dyDescent="0.2">
      <c r="B24" s="1279" t="s">
        <v>1359</v>
      </c>
      <c r="C24" s="2294"/>
      <c r="D24" s="2295"/>
      <c r="E24" s="2295"/>
      <c r="F24" s="2295"/>
      <c r="G24" s="2295"/>
      <c r="H24" s="2295"/>
      <c r="I24" s="2296"/>
    </row>
    <row r="25" spans="2:9" ht="18" customHeight="1" x14ac:dyDescent="0.2">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
      <c r="B27" s="1540" t="s">
        <v>1438</v>
      </c>
      <c r="C27" s="3777">
        <v>16.037573029186351</v>
      </c>
      <c r="D27" s="116">
        <f t="shared" si="4"/>
        <v>880</v>
      </c>
      <c r="E27" s="116" t="str">
        <f t="shared" si="5"/>
        <v>NA</v>
      </c>
      <c r="F27" s="116" t="str">
        <f t="shared" si="6"/>
        <v>NA</v>
      </c>
      <c r="G27" s="2897">
        <v>14.113064265683988</v>
      </c>
      <c r="H27" s="2895" t="s">
        <v>2154</v>
      </c>
      <c r="I27" s="2896" t="s">
        <v>2154</v>
      </c>
    </row>
    <row r="28" spans="2:9" ht="18" customHeight="1" x14ac:dyDescent="0.2">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
      <c r="B30" s="1540" t="s">
        <v>1441</v>
      </c>
      <c r="C30" s="1541">
        <f>C31</f>
        <v>5.6143205858421501</v>
      </c>
      <c r="D30" s="116">
        <f t="shared" si="4"/>
        <v>3066.7999999999988</v>
      </c>
      <c r="E30" s="153" t="str">
        <f t="shared" si="5"/>
        <v>NA</v>
      </c>
      <c r="F30" s="153" t="str">
        <f t="shared" si="6"/>
        <v>NA</v>
      </c>
      <c r="G30" s="1541">
        <f>G31</f>
        <v>17.217998372660698</v>
      </c>
      <c r="H30" s="1541" t="str">
        <f>H31</f>
        <v>NE</v>
      </c>
      <c r="I30" s="2894" t="str">
        <f>I31</f>
        <v>NE</v>
      </c>
    </row>
    <row r="31" spans="2:9" ht="18" customHeight="1" x14ac:dyDescent="0.2">
      <c r="B31" s="2891" t="s">
        <v>2257</v>
      </c>
      <c r="C31" s="162">
        <v>5.6143205858421501</v>
      </c>
      <c r="D31" s="116">
        <f t="shared" si="4"/>
        <v>3066.7999999999988</v>
      </c>
      <c r="E31" s="153" t="str">
        <f t="shared" si="5"/>
        <v>NA</v>
      </c>
      <c r="F31" s="153" t="str">
        <f t="shared" si="6"/>
        <v>NA</v>
      </c>
      <c r="G31" s="161">
        <v>17.217998372660698</v>
      </c>
      <c r="H31" s="2895" t="s">
        <v>2154</v>
      </c>
      <c r="I31" s="2896"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6"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9">
        <v>24385.634999999998</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8">
        <v>39.779270600513023</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
      <c r="A10"/>
      <c r="B10" s="1774" t="s">
        <v>1382</v>
      </c>
      <c r="C10" s="3435">
        <v>1391.2643171064101</v>
      </c>
      <c r="D10" s="3435">
        <v>882.15337398397605</v>
      </c>
      <c r="E10" s="3435">
        <v>145.20787880934699</v>
      </c>
      <c r="F10" s="3436">
        <f>(SUM(H10)-SUM(K10:L10))/C10</f>
        <v>7.3430336360589155E-2</v>
      </c>
      <c r="G10" s="3437">
        <f>SUM(I10:J10)/E10/(44/28)</f>
        <v>3.5528977124176151E-3</v>
      </c>
      <c r="H10" s="3434">
        <v>52.317526482494834</v>
      </c>
      <c r="I10" s="3223">
        <v>0.81071373498773935</v>
      </c>
      <c r="J10" s="3223" t="s">
        <v>2153</v>
      </c>
      <c r="K10" s="3438">
        <v>-6.2521719056460805</v>
      </c>
      <c r="L10" s="2911">
        <v>-43.59130838346816</v>
      </c>
      <c r="M10"/>
      <c r="N10" s="1770" t="s">
        <v>1468</v>
      </c>
      <c r="O10" s="3440">
        <v>1</v>
      </c>
    </row>
    <row r="11" spans="1:15" ht="18" customHeight="1" x14ac:dyDescent="0.2">
      <c r="A11"/>
      <c r="B11" s="1749" t="s">
        <v>1383</v>
      </c>
      <c r="C11" s="3435">
        <v>776.58018877687198</v>
      </c>
      <c r="D11" s="3435">
        <v>122.913545101796</v>
      </c>
      <c r="E11" s="691" t="s">
        <v>2153</v>
      </c>
      <c r="F11" s="3162">
        <f>(SUM(H11)-SUM(K11:L11))/C11</f>
        <v>7.2623872233211803E-2</v>
      </c>
      <c r="G11" s="3162" t="s">
        <v>2147</v>
      </c>
      <c r="H11" s="691">
        <v>43.73084105568762</v>
      </c>
      <c r="I11" s="691" t="s">
        <v>2153</v>
      </c>
      <c r="J11" s="691" t="s">
        <v>2153</v>
      </c>
      <c r="K11" s="3147" t="s">
        <v>2153</v>
      </c>
      <c r="L11" s="2911">
        <v>-12.667419352887434</v>
      </c>
      <c r="M11"/>
      <c r="N11" s="275" t="s">
        <v>1469</v>
      </c>
      <c r="O11" s="3440">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25">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516"/>
      <c r="C33" s="4517"/>
      <c r="D33" s="4517"/>
      <c r="E33" s="4517"/>
      <c r="F33" s="4517"/>
      <c r="G33" s="4517"/>
      <c r="H33" s="4517"/>
      <c r="I33" s="4517"/>
      <c r="J33" s="4517"/>
      <c r="K33" s="4517"/>
      <c r="L33" s="4518"/>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1" t="s">
        <v>64</v>
      </c>
      <c r="D7" s="1128"/>
      <c r="N7" s="611"/>
      <c r="O7" s="611"/>
    </row>
    <row r="8" spans="1:15" ht="68.25" customHeight="1" x14ac:dyDescent="0.25">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212">
        <f t="shared" ref="C10:G10" si="0">SUM(C11,C22,C31,C42,C51)</f>
        <v>349339.45979783888</v>
      </c>
      <c r="D10" s="4213">
        <f t="shared" si="0"/>
        <v>4733.0941634071914</v>
      </c>
      <c r="E10" s="4213">
        <f t="shared" si="0"/>
        <v>77.69320158557629</v>
      </c>
      <c r="F10" s="4213">
        <f t="shared" si="0"/>
        <v>9705.2434129086068</v>
      </c>
      <c r="G10" s="4213">
        <f t="shared" si="0"/>
        <v>202.24755821344587</v>
      </c>
      <c r="H10" s="4213" t="str">
        <f>IF(SUM(H11,H22,H31,H42,H51)=0,"NO",SUM(H11,H22,H31,H42,H51))</f>
        <v>NO</v>
      </c>
      <c r="I10" s="4213">
        <f t="shared" ref="I10:N10" si="1">IF(SUM(I11,I22,I31,I42,I51)=0,"NO",SUM(I11,I22,I31,I42,I51))</f>
        <v>5.1370678230775032E-3</v>
      </c>
      <c r="J10" s="3834" t="str">
        <f t="shared" si="1"/>
        <v>NO</v>
      </c>
      <c r="K10" s="4213">
        <f t="shared" si="1"/>
        <v>3397.993519089423</v>
      </c>
      <c r="L10" s="4213">
        <f t="shared" si="1"/>
        <v>23215.827006430583</v>
      </c>
      <c r="M10" s="4213">
        <f t="shared" si="1"/>
        <v>1799.8496401886205</v>
      </c>
      <c r="N10" s="4214">
        <f t="shared" si="1"/>
        <v>2465.596792227911</v>
      </c>
      <c r="O10" s="3818">
        <f>IF(SUM(C10:J10)=0,"NO",SUM(C10,F10:H10)+28*SUM(D10)+265*SUM(E10)+23500*SUM(I10)+16100*SUM(J10))</f>
        <v>512483.00685838232</v>
      </c>
    </row>
    <row r="11" spans="1:15" ht="18" customHeight="1" x14ac:dyDescent="0.25">
      <c r="B11" s="1120" t="s">
        <v>1476</v>
      </c>
      <c r="C11" s="2552">
        <f>Table1!C10</f>
        <v>388379.139994025</v>
      </c>
      <c r="D11" s="3810">
        <f>Table1!D10</f>
        <v>1413.6206561987417</v>
      </c>
      <c r="E11" s="3810">
        <f>Table1!E10</f>
        <v>10.892962913959689</v>
      </c>
      <c r="F11" s="4215"/>
      <c r="G11" s="4215"/>
      <c r="H11" s="4216"/>
      <c r="I11" s="4215"/>
      <c r="J11" s="98"/>
      <c r="K11" s="3810">
        <f>Table1!F10</f>
        <v>2587.3118903647869</v>
      </c>
      <c r="L11" s="3810">
        <f>Table1!G10</f>
        <v>2334.288963993683</v>
      </c>
      <c r="M11" s="3810">
        <f>Table1!H10</f>
        <v>756.3609225997518</v>
      </c>
      <c r="N11" s="4217">
        <f>Table1!I10</f>
        <v>644.8884424792808</v>
      </c>
      <c r="O11" s="3781">
        <f t="shared" ref="O11:O58" si="2">IF(SUM(C11:J11)=0,"NO",SUM(C11,F11:H11)+28*SUM(D11)+265*SUM(E11)+23500*SUM(I11)+16100*SUM(J11))</f>
        <v>430847.15353978908</v>
      </c>
    </row>
    <row r="12" spans="1:15" ht="18" customHeight="1" x14ac:dyDescent="0.25">
      <c r="B12" s="1370" t="s">
        <v>1477</v>
      </c>
      <c r="C12" s="4218">
        <f>Table1!C11</f>
        <v>375939.22900890425</v>
      </c>
      <c r="D12" s="4219">
        <f>Table1!D11</f>
        <v>90.758636839887131</v>
      </c>
      <c r="E12" s="4219">
        <f>Table1!E11</f>
        <v>10.687458755213239</v>
      </c>
      <c r="F12" s="69"/>
      <c r="G12" s="69"/>
      <c r="H12" s="69"/>
      <c r="I12" s="69"/>
      <c r="J12" s="69"/>
      <c r="K12" s="4219">
        <f>Table1!F11</f>
        <v>2583.4119068788636</v>
      </c>
      <c r="L12" s="4219">
        <f>Table1!G11</f>
        <v>2315.3472991563472</v>
      </c>
      <c r="M12" s="4219">
        <f>Table1!H11</f>
        <v>526.18511094200846</v>
      </c>
      <c r="N12" s="4220">
        <f>Table1!I11</f>
        <v>644.8884424792808</v>
      </c>
      <c r="O12" s="3782">
        <f t="shared" si="2"/>
        <v>381312.6474105526</v>
      </c>
    </row>
    <row r="13" spans="1:15" ht="18" customHeight="1" x14ac:dyDescent="0.25">
      <c r="B13" s="1371" t="s">
        <v>1478</v>
      </c>
      <c r="C13" s="4218">
        <f>Table1!C12</f>
        <v>217816.75285319224</v>
      </c>
      <c r="D13" s="4219">
        <f>Table1!D12</f>
        <v>36.67766620431474</v>
      </c>
      <c r="E13" s="4219">
        <f>Table1!E12</f>
        <v>3.2185072400352954</v>
      </c>
      <c r="F13" s="69"/>
      <c r="G13" s="69"/>
      <c r="H13" s="69"/>
      <c r="I13" s="69"/>
      <c r="J13" s="69"/>
      <c r="K13" s="4219">
        <f>Table1!F12</f>
        <v>1124.3788530541699</v>
      </c>
      <c r="L13" s="4219">
        <f>Table1!G12</f>
        <v>260.58959897797405</v>
      </c>
      <c r="M13" s="4219">
        <f>Table1!H12</f>
        <v>67.829840022638962</v>
      </c>
      <c r="N13" s="4220">
        <f>Table1!I12</f>
        <v>546.8571476472132</v>
      </c>
      <c r="O13" s="3783">
        <f t="shared" si="2"/>
        <v>219696.63192552244</v>
      </c>
    </row>
    <row r="14" spans="1:15" ht="18" customHeight="1" x14ac:dyDescent="0.25">
      <c r="B14" s="1371" t="s">
        <v>1479</v>
      </c>
      <c r="C14" s="4218">
        <f>Table1!C16</f>
        <v>40998.826293984224</v>
      </c>
      <c r="D14" s="4221">
        <f>Table1!D16</f>
        <v>2.4401913306976422</v>
      </c>
      <c r="E14" s="4221">
        <f>Table1!E16</f>
        <v>1.4733786885629305</v>
      </c>
      <c r="F14" s="3784"/>
      <c r="G14" s="3784"/>
      <c r="H14" s="3784"/>
      <c r="I14" s="3784"/>
      <c r="J14" s="69"/>
      <c r="K14" s="4221">
        <f>Table1!F16</f>
        <v>735.39632082734886</v>
      </c>
      <c r="L14" s="4221">
        <f>Table1!G16</f>
        <v>237.46704784296014</v>
      </c>
      <c r="M14" s="4221">
        <f>Table1!H16</f>
        <v>99.88184429462828</v>
      </c>
      <c r="N14" s="4222">
        <f>Table1!I16</f>
        <v>64.910395984705275</v>
      </c>
      <c r="O14" s="3785">
        <f t="shared" si="2"/>
        <v>41457.597003712937</v>
      </c>
    </row>
    <row r="15" spans="1:15" ht="18" customHeight="1" x14ac:dyDescent="0.25">
      <c r="B15" s="1371" t="s">
        <v>1480</v>
      </c>
      <c r="C15" s="4218">
        <f>Table1!C24</f>
        <v>94438.226181054735</v>
      </c>
      <c r="D15" s="4219">
        <f>Table1!D24</f>
        <v>14.852551284650861</v>
      </c>
      <c r="E15" s="4219">
        <f>Table1!E24</f>
        <v>5.2576312136662873</v>
      </c>
      <c r="F15" s="69"/>
      <c r="G15" s="69"/>
      <c r="H15" s="69"/>
      <c r="I15" s="69"/>
      <c r="J15" s="69"/>
      <c r="K15" s="4219">
        <f>Table1!F24</f>
        <v>307.47372608260116</v>
      </c>
      <c r="L15" s="4219">
        <f>Table1!G24</f>
        <v>1151.5687057638088</v>
      </c>
      <c r="M15" s="4219">
        <f>Table1!H24</f>
        <v>238.78252186428313</v>
      </c>
      <c r="N15" s="4220">
        <f>Table1!I24</f>
        <v>24.306657822254394</v>
      </c>
      <c r="O15" s="3783">
        <f t="shared" si="2"/>
        <v>96247.369888646528</v>
      </c>
    </row>
    <row r="16" spans="1:15" ht="18" customHeight="1" x14ac:dyDescent="0.25">
      <c r="B16" s="1371" t="s">
        <v>1481</v>
      </c>
      <c r="C16" s="4218">
        <f>Table1!C30</f>
        <v>21587.163667956695</v>
      </c>
      <c r="D16" s="4219">
        <f>Table1!D30</f>
        <v>36.752074103333207</v>
      </c>
      <c r="E16" s="4219">
        <f>Table1!E30</f>
        <v>0.70676215558306721</v>
      </c>
      <c r="F16" s="69"/>
      <c r="G16" s="69"/>
      <c r="H16" s="69"/>
      <c r="I16" s="69"/>
      <c r="J16" s="69"/>
      <c r="K16" s="4219">
        <f>Table1!F30</f>
        <v>406.63821025602118</v>
      </c>
      <c r="L16" s="4219">
        <f>Table1!G30</f>
        <v>662.52445443587374</v>
      </c>
      <c r="M16" s="4219">
        <f>Table1!H30</f>
        <v>119.20335246367598</v>
      </c>
      <c r="N16" s="4220">
        <f>Table1!I30</f>
        <v>8.4592381044043687</v>
      </c>
      <c r="O16" s="3783">
        <f t="shared" si="2"/>
        <v>22803.513714079534</v>
      </c>
    </row>
    <row r="17" spans="2:15" ht="18" customHeight="1" x14ac:dyDescent="0.25">
      <c r="B17" s="1371" t="s">
        <v>1482</v>
      </c>
      <c r="C17" s="4218">
        <f>Table1!C34</f>
        <v>1098.2600127163214</v>
      </c>
      <c r="D17" s="4219">
        <f>Table1!D34</f>
        <v>3.6153916890682418E-2</v>
      </c>
      <c r="E17" s="4219">
        <f>Table1!E34</f>
        <v>3.1179457365658667E-2</v>
      </c>
      <c r="F17" s="69"/>
      <c r="G17" s="69"/>
      <c r="H17" s="69"/>
      <c r="I17" s="69"/>
      <c r="J17" s="69"/>
      <c r="K17" s="4219">
        <f>Table1!F34</f>
        <v>9.5247966587227868</v>
      </c>
      <c r="L17" s="4219">
        <f>Table1!G34</f>
        <v>3.1974921357303661</v>
      </c>
      <c r="M17" s="4219">
        <f>Table1!H34</f>
        <v>0.48755229678218798</v>
      </c>
      <c r="N17" s="4220">
        <f>Table1!I34</f>
        <v>0.35500292070368777</v>
      </c>
      <c r="O17" s="3783">
        <f t="shared" si="2"/>
        <v>1107.5348785911601</v>
      </c>
    </row>
    <row r="18" spans="2:15" ht="18" customHeight="1" x14ac:dyDescent="0.25">
      <c r="B18" s="1370" t="s">
        <v>99</v>
      </c>
      <c r="C18" s="4223">
        <f>Table1!C37</f>
        <v>12439.910985120738</v>
      </c>
      <c r="D18" s="4224">
        <f>Table1!D37</f>
        <v>1322.8620193588545</v>
      </c>
      <c r="E18" s="4224">
        <f>Table1!E37</f>
        <v>0.2055041587464507</v>
      </c>
      <c r="F18" s="69"/>
      <c r="G18" s="69"/>
      <c r="H18" s="69"/>
      <c r="I18" s="69"/>
      <c r="J18" s="69"/>
      <c r="K18" s="4224">
        <f>Table1!F37</f>
        <v>3.899983485923479</v>
      </c>
      <c r="L18" s="4219">
        <f>Table1!G37</f>
        <v>18.941664837335647</v>
      </c>
      <c r="M18" s="4219">
        <f>Table1!H37</f>
        <v>230.17581165774334</v>
      </c>
      <c r="N18" s="4220" t="str">
        <f>Table1!I37</f>
        <v>NO</v>
      </c>
      <c r="O18" s="3783">
        <f t="shared" si="2"/>
        <v>49534.506129236477</v>
      </c>
    </row>
    <row r="19" spans="2:15" ht="18" customHeight="1" x14ac:dyDescent="0.25">
      <c r="B19" s="1371" t="s">
        <v>1483</v>
      </c>
      <c r="C19" s="4225">
        <f>Table1!C38</f>
        <v>2063.8682509928403</v>
      </c>
      <c r="D19" s="4226">
        <f>Table1!D38</f>
        <v>1089.3872744132705</v>
      </c>
      <c r="E19" s="4224">
        <f>Table1!E38</f>
        <v>1.3498895622026015E-3</v>
      </c>
      <c r="F19" s="69"/>
      <c r="G19" s="69"/>
      <c r="H19" s="69"/>
      <c r="I19" s="69"/>
      <c r="J19" s="69"/>
      <c r="K19" s="4224" t="str">
        <f>Table1!F38</f>
        <v>NO</v>
      </c>
      <c r="L19" s="4219" t="str">
        <f>Table1!G38</f>
        <v>NO</v>
      </c>
      <c r="M19" s="4219" t="str">
        <f>Table1!H38</f>
        <v>NO</v>
      </c>
      <c r="N19" s="4220" t="str">
        <f>Table1!I38</f>
        <v>NO</v>
      </c>
      <c r="O19" s="3783">
        <f t="shared" si="2"/>
        <v>32567.069655298397</v>
      </c>
    </row>
    <row r="20" spans="2:15" ht="18" customHeight="1" x14ac:dyDescent="0.25">
      <c r="B20" s="1372" t="s">
        <v>1484</v>
      </c>
      <c r="C20" s="4225">
        <f>Table1!C42</f>
        <v>10376.042734127897</v>
      </c>
      <c r="D20" s="4227">
        <f>Table1!D42</f>
        <v>233.47474494558406</v>
      </c>
      <c r="E20" s="4224">
        <f>Table1!E42</f>
        <v>0.20415426918424809</v>
      </c>
      <c r="F20" s="3784"/>
      <c r="G20" s="3784"/>
      <c r="H20" s="3784"/>
      <c r="I20" s="3784"/>
      <c r="J20" s="69"/>
      <c r="K20" s="4224">
        <f>Table1!F42</f>
        <v>3.899983485923479</v>
      </c>
      <c r="L20" s="4221">
        <f>Table1!G42</f>
        <v>18.941664837335647</v>
      </c>
      <c r="M20" s="4221">
        <f>Table1!H42</f>
        <v>230.17581165774334</v>
      </c>
      <c r="N20" s="4222" t="str">
        <f>Table1!I42</f>
        <v>NO</v>
      </c>
      <c r="O20" s="3785">
        <f t="shared" si="2"/>
        <v>16967.436473938076</v>
      </c>
    </row>
    <row r="21" spans="2:15" ht="18" customHeight="1" thickBot="1" x14ac:dyDescent="0.3">
      <c r="B21" s="1373" t="s">
        <v>1485</v>
      </c>
      <c r="C21" s="4228" t="str">
        <f>Table1!C47</f>
        <v>NO</v>
      </c>
      <c r="D21" s="3786"/>
      <c r="E21" s="3786"/>
      <c r="F21" s="3784"/>
      <c r="G21" s="3784"/>
      <c r="H21" s="3784"/>
      <c r="I21" s="3784"/>
      <c r="J21" s="3784"/>
      <c r="K21" s="3787"/>
      <c r="L21" s="3787"/>
      <c r="M21" s="3787"/>
      <c r="N21" s="3788"/>
      <c r="O21" s="3785" t="str">
        <f t="shared" si="2"/>
        <v>NO</v>
      </c>
    </row>
    <row r="22" spans="2:15" ht="18" customHeight="1" x14ac:dyDescent="0.25">
      <c r="B22" s="1374" t="s">
        <v>1486</v>
      </c>
      <c r="C22" s="4229">
        <f>'Table2(I)'!C10</f>
        <v>19179.871818340896</v>
      </c>
      <c r="D22" s="4230">
        <f>'Table2(I)'!D10</f>
        <v>2.7870911391122748</v>
      </c>
      <c r="E22" s="4231">
        <f>'Table2(I)'!E10</f>
        <v>4.7944999637249897</v>
      </c>
      <c r="F22" s="3810">
        <f>'Table2(I)'!F10</f>
        <v>9705.2434129086068</v>
      </c>
      <c r="G22" s="3810">
        <f>'Table2(I)'!G10</f>
        <v>202.24755821344587</v>
      </c>
      <c r="H22" s="3810" t="str">
        <f>'Table2(I)'!H10</f>
        <v>NO</v>
      </c>
      <c r="I22" s="3810">
        <f>'Table2(I)'!I10</f>
        <v>5.1370678230775032E-3</v>
      </c>
      <c r="J22" s="3810" t="str">
        <f>'Table2(I)'!J10</f>
        <v>NO</v>
      </c>
      <c r="K22" s="3810">
        <f>'Table2(I)'!K10</f>
        <v>6.7562154829764678</v>
      </c>
      <c r="L22" s="3810">
        <f>'Table2(I)'!L10</f>
        <v>16.176381696900314</v>
      </c>
      <c r="M22" s="3810">
        <f>'Table2(I)'!M10</f>
        <v>239.50317016076968</v>
      </c>
      <c r="N22" s="4217">
        <f>'Table2(I)'!N10</f>
        <v>1820.7083497486303</v>
      </c>
      <c r="O22" s="3781">
        <f t="shared" si="2"/>
        <v>30556.664925587535</v>
      </c>
    </row>
    <row r="23" spans="2:15" ht="18" customHeight="1" x14ac:dyDescent="0.25">
      <c r="B23" s="1133" t="s">
        <v>1487</v>
      </c>
      <c r="C23" s="4232">
        <f>'Table2(I)'!C11</f>
        <v>5691.6739853939707</v>
      </c>
      <c r="D23" s="3789"/>
      <c r="E23" s="98"/>
      <c r="F23" s="98"/>
      <c r="G23" s="98"/>
      <c r="H23" s="98"/>
      <c r="I23" s="98"/>
      <c r="J23" s="69"/>
      <c r="K23" s="4233" t="str">
        <f>'Table2(I)'!K11</f>
        <v>NO</v>
      </c>
      <c r="L23" s="4233" t="str">
        <f>'Table2(I)'!L11</f>
        <v>NO</v>
      </c>
      <c r="M23" s="4233" t="str">
        <f>'Table2(I)'!M11</f>
        <v>NO</v>
      </c>
      <c r="N23" s="4234" t="str">
        <f>'Table2(I)'!N11</f>
        <v>NO</v>
      </c>
      <c r="O23" s="3782">
        <f t="shared" si="2"/>
        <v>5691.6739853939707</v>
      </c>
    </row>
    <row r="24" spans="2:15" ht="18" customHeight="1" x14ac:dyDescent="0.25">
      <c r="B24" s="1133" t="s">
        <v>621</v>
      </c>
      <c r="C24" s="4232">
        <f>'Table2(I)'!C16</f>
        <v>3099.2192149103885</v>
      </c>
      <c r="D24" s="4235">
        <f>'Table2(I)'!D16</f>
        <v>0.5417227</v>
      </c>
      <c r="E24" s="4236">
        <f>'Table2(I)'!E16</f>
        <v>4.7422822444604087</v>
      </c>
      <c r="F24" s="4219" t="str">
        <f>'Table2(I)'!F16</f>
        <v>NO</v>
      </c>
      <c r="G24" s="4219" t="str">
        <f>'Table2(I)'!G16</f>
        <v>NO</v>
      </c>
      <c r="H24" s="4219" t="str">
        <f>'Table2(I)'!H16</f>
        <v>NO</v>
      </c>
      <c r="I24" s="4219" t="str">
        <f>'Table2(I)'!I16</f>
        <v>NO</v>
      </c>
      <c r="J24" s="616" t="str">
        <f>'Table2(I)'!J16</f>
        <v>NO</v>
      </c>
      <c r="K24" s="4219" t="str">
        <f>'Table2(I)'!K16</f>
        <v>NO</v>
      </c>
      <c r="L24" s="4219" t="str">
        <f>'Table2(I)'!L16</f>
        <v>NO</v>
      </c>
      <c r="M24" s="4219">
        <f>'Table2(I)'!M16</f>
        <v>2.8425606806999988</v>
      </c>
      <c r="N24" s="4220" t="str">
        <f>'Table2(I)'!N16</f>
        <v>NO</v>
      </c>
      <c r="O24" s="3783">
        <f t="shared" si="2"/>
        <v>4371.0922452923969</v>
      </c>
    </row>
    <row r="25" spans="2:15" ht="18" customHeight="1" x14ac:dyDescent="0.25">
      <c r="B25" s="1133" t="s">
        <v>459</v>
      </c>
      <c r="C25" s="4232">
        <f>'Table2(I)'!C27</f>
        <v>9904.9580408883448</v>
      </c>
      <c r="D25" s="4235">
        <f>'Table2(I)'!D27</f>
        <v>2.2453684391122746</v>
      </c>
      <c r="E25" s="4236">
        <f>'Table2(I)'!E27</f>
        <v>5.2217719264580575E-2</v>
      </c>
      <c r="F25" s="4219" t="str">
        <f>'Table2(I)'!F27</f>
        <v>NO</v>
      </c>
      <c r="G25" s="4219">
        <f>'Table2(I)'!G27</f>
        <v>202.24755821344587</v>
      </c>
      <c r="H25" s="4219" t="str">
        <f>'Table2(I)'!H27</f>
        <v>NO</v>
      </c>
      <c r="I25" s="4219" t="str">
        <f>'Table2(I)'!I27</f>
        <v>NO</v>
      </c>
      <c r="J25" s="4219" t="str">
        <f>'Table2(I)'!J27</f>
        <v>NO</v>
      </c>
      <c r="K25" s="4219">
        <f>'Table2(I)'!K27</f>
        <v>6.7562154829764678</v>
      </c>
      <c r="L25" s="4219">
        <f>'Table2(I)'!L27</f>
        <v>16.176381696900314</v>
      </c>
      <c r="M25" s="4219">
        <f>'Table2(I)'!M27</f>
        <v>6.3571896325627722E-2</v>
      </c>
      <c r="N25" s="4220">
        <f>'Table2(I)'!N27</f>
        <v>1820.7083497486303</v>
      </c>
      <c r="O25" s="3783">
        <f t="shared" si="2"/>
        <v>10183.91361100205</v>
      </c>
    </row>
    <row r="26" spans="2:15" ht="18" customHeight="1" x14ac:dyDescent="0.25">
      <c r="B26" s="1133" t="s">
        <v>1488</v>
      </c>
      <c r="C26" s="4232">
        <f>'Table2(I)'!C35</f>
        <v>211.18624259999996</v>
      </c>
      <c r="D26" s="3790" t="str">
        <f>'Table2(I)'!D35</f>
        <v>NO</v>
      </c>
      <c r="E26" s="616" t="str">
        <f>'Table2(I)'!E35</f>
        <v>NO</v>
      </c>
      <c r="F26" s="69"/>
      <c r="G26" s="69"/>
      <c r="H26" s="69"/>
      <c r="I26" s="69"/>
      <c r="J26" s="69"/>
      <c r="K26" s="616" t="str">
        <f>'Table2(I)'!K35</f>
        <v>NO</v>
      </c>
      <c r="L26" s="4236" t="str">
        <f>'Table2(I)'!L35</f>
        <v>NO</v>
      </c>
      <c r="M26" s="4236">
        <f>'Table2(I)'!M35</f>
        <v>189.05247598921932</v>
      </c>
      <c r="N26" s="4237" t="str">
        <f>'Table2(I)'!N35</f>
        <v>NO</v>
      </c>
      <c r="O26" s="3783">
        <f t="shared" si="2"/>
        <v>211.18624259999996</v>
      </c>
    </row>
    <row r="27" spans="2:15" ht="18" customHeight="1" x14ac:dyDescent="0.25">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25">
      <c r="B28" s="1133" t="s">
        <v>1490</v>
      </c>
      <c r="C28" s="3791"/>
      <c r="D28" s="3792"/>
      <c r="E28" s="3784"/>
      <c r="F28" s="4221">
        <f>'Table2(I)'!F45</f>
        <v>9705.2434129086068</v>
      </c>
      <c r="G28" s="4221" t="str">
        <f>'Table2(I)'!G45</f>
        <v>NO</v>
      </c>
      <c r="H28" s="4221" t="str">
        <f>'Table2(I)'!H45</f>
        <v>NO</v>
      </c>
      <c r="I28" s="4221" t="str">
        <f>'Table2(I)'!I45</f>
        <v>NO</v>
      </c>
      <c r="J28" s="4221" t="str">
        <f>'Table2(I)'!J45</f>
        <v>NO</v>
      </c>
      <c r="K28" s="3784"/>
      <c r="L28" s="3784"/>
      <c r="M28" s="3784"/>
      <c r="N28" s="3793"/>
      <c r="O28" s="3785">
        <f t="shared" si="2"/>
        <v>9705.2434129086068</v>
      </c>
    </row>
    <row r="29" spans="2:15" ht="18" customHeight="1" x14ac:dyDescent="0.25">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5.1370678230775032E-3</v>
      </c>
      <c r="J29" s="616" t="str">
        <f>'Table2(I)'!J52</f>
        <v>NO</v>
      </c>
      <c r="K29" s="3796" t="str">
        <f>'Table2(I)'!K52</f>
        <v>NO</v>
      </c>
      <c r="L29" s="3796" t="str">
        <f>'Table2(I)'!L52</f>
        <v>NO</v>
      </c>
      <c r="M29" s="3796" t="str">
        <f>'Table2(I)'!M52</f>
        <v>NO</v>
      </c>
      <c r="N29" s="3797" t="str">
        <f>'Table2(I)'!N52</f>
        <v>NO</v>
      </c>
      <c r="O29" s="3785">
        <f t="shared" si="2"/>
        <v>120.72109384232132</v>
      </c>
    </row>
    <row r="30" spans="2:15" ht="18" customHeight="1" thickBot="1" x14ac:dyDescent="0.3">
      <c r="B30" s="1375" t="s">
        <v>2040</v>
      </c>
      <c r="C30" s="4239">
        <f>'Table2(I)'!C57</f>
        <v>272.83433454819283</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47.544561594524723</v>
      </c>
      <c r="N30" s="4242" t="str">
        <f>'Table2(I)'!N57</f>
        <v>NA</v>
      </c>
      <c r="O30" s="3798">
        <f t="shared" si="2"/>
        <v>272.83433454819283</v>
      </c>
    </row>
    <row r="31" spans="2:15" ht="18" customHeight="1" x14ac:dyDescent="0.25">
      <c r="B31" s="1134" t="s">
        <v>1491</v>
      </c>
      <c r="C31" s="3817">
        <f>Table3!C10</f>
        <v>2663.2503062592914</v>
      </c>
      <c r="D31" s="3799">
        <f>Table3!D10</f>
        <v>2249.5777747439324</v>
      </c>
      <c r="E31" s="3800">
        <f>Table3!E10</f>
        <v>46.09803679386939</v>
      </c>
      <c r="F31" s="3801"/>
      <c r="G31" s="3801"/>
      <c r="H31" s="3801"/>
      <c r="I31" s="3801"/>
      <c r="J31" s="3801"/>
      <c r="K31" s="4243">
        <f>Table3!F10</f>
        <v>18.434460559700462</v>
      </c>
      <c r="L31" s="4243">
        <f>Table3!G10</f>
        <v>300.36637330069351</v>
      </c>
      <c r="M31" s="4243">
        <f>Table3!H10</f>
        <v>17.521371775873792</v>
      </c>
      <c r="N31" s="4244" t="str">
        <f>Table3!I10</f>
        <v>NO</v>
      </c>
      <c r="O31" s="3782">
        <f t="shared" si="2"/>
        <v>77867.407749464794</v>
      </c>
    </row>
    <row r="32" spans="2:15" ht="18" customHeight="1" x14ac:dyDescent="0.25">
      <c r="B32" s="4245" t="s">
        <v>1492</v>
      </c>
      <c r="C32" s="3791"/>
      <c r="D32" s="4246">
        <f>Table3!D11</f>
        <v>1999.2611503361798</v>
      </c>
      <c r="E32" s="98"/>
      <c r="F32" s="3802"/>
      <c r="G32" s="3802"/>
      <c r="H32" s="3789"/>
      <c r="I32" s="3802"/>
      <c r="J32" s="3789"/>
      <c r="K32" s="98"/>
      <c r="L32" s="98"/>
      <c r="M32" s="98"/>
      <c r="N32" s="3803"/>
      <c r="O32" s="3782">
        <f t="shared" si="2"/>
        <v>55979.31220941303</v>
      </c>
    </row>
    <row r="33" spans="2:15" ht="18" customHeight="1" x14ac:dyDescent="0.25">
      <c r="B33" s="4245" t="s">
        <v>1493</v>
      </c>
      <c r="C33" s="3791"/>
      <c r="D33" s="4226">
        <f>Table3!D20</f>
        <v>238.20013821966251</v>
      </c>
      <c r="E33" s="4226">
        <f>Table3!E20</f>
        <v>1.8801364660716187</v>
      </c>
      <c r="F33" s="3802"/>
      <c r="G33" s="3802"/>
      <c r="H33" s="3802"/>
      <c r="I33" s="3802"/>
      <c r="J33" s="3802"/>
      <c r="K33" s="69"/>
      <c r="L33" s="69"/>
      <c r="M33" s="4247" t="str">
        <f>Table3!H20</f>
        <v>NE</v>
      </c>
      <c r="N33" s="3804"/>
      <c r="O33" s="3783">
        <f t="shared" si="2"/>
        <v>7167.8400336595296</v>
      </c>
    </row>
    <row r="34" spans="2:15" ht="18" customHeight="1" x14ac:dyDescent="0.25">
      <c r="B34" s="4245" t="s">
        <v>1494</v>
      </c>
      <c r="C34" s="3791"/>
      <c r="D34" s="4226">
        <f>Table3!D31</f>
        <v>4.4147843085853342</v>
      </c>
      <c r="E34" s="69"/>
      <c r="F34" s="3802"/>
      <c r="G34" s="3802"/>
      <c r="H34" s="3802"/>
      <c r="I34" s="3802"/>
      <c r="J34" s="3802"/>
      <c r="K34" s="69"/>
      <c r="L34" s="69"/>
      <c r="M34" s="4247" t="str">
        <f>Table3!H31</f>
        <v>NE</v>
      </c>
      <c r="N34" s="3804"/>
      <c r="O34" s="3783">
        <f t="shared" si="2"/>
        <v>123.61396064038937</v>
      </c>
    </row>
    <row r="35" spans="2:15" ht="18" customHeight="1" x14ac:dyDescent="0.25">
      <c r="B35" s="4245" t="s">
        <v>1495</v>
      </c>
      <c r="C35" s="4248"/>
      <c r="D35" s="4226" t="str">
        <f>Table3!D32</f>
        <v>NE</v>
      </c>
      <c r="E35" s="4226">
        <f>Table3!E32</f>
        <v>43.898827677116415</v>
      </c>
      <c r="F35" s="3802"/>
      <c r="G35" s="3802"/>
      <c r="H35" s="3802"/>
      <c r="I35" s="3802"/>
      <c r="J35" s="3802"/>
      <c r="K35" s="4247" t="str">
        <f>Table3!F32</f>
        <v>NO</v>
      </c>
      <c r="L35" s="4247" t="str">
        <f>Table3!G32</f>
        <v>NO</v>
      </c>
      <c r="M35" s="4247" t="str">
        <f>Table3!H32</f>
        <v>NO</v>
      </c>
      <c r="N35" s="3804"/>
      <c r="O35" s="3783">
        <f t="shared" si="2"/>
        <v>11633.18933443585</v>
      </c>
    </row>
    <row r="36" spans="2:15" ht="18" customHeight="1" x14ac:dyDescent="0.25">
      <c r="B36" s="4245" t="s">
        <v>1496</v>
      </c>
      <c r="C36" s="3791"/>
      <c r="D36" s="4226" t="str">
        <f>Table3!D42</f>
        <v>NA</v>
      </c>
      <c r="E36" s="4226" t="str">
        <f>Table3!E42</f>
        <v>NA</v>
      </c>
      <c r="F36" s="3802"/>
      <c r="G36" s="3802"/>
      <c r="H36" s="3802"/>
      <c r="I36" s="3802"/>
      <c r="J36" s="3802"/>
      <c r="K36" s="4247" t="str">
        <f>Table3!F42</f>
        <v>NA</v>
      </c>
      <c r="L36" s="4247" t="str">
        <f>Table3!G42</f>
        <v>NA</v>
      </c>
      <c r="M36" s="4247" t="str">
        <f>Table3!H42</f>
        <v>NA</v>
      </c>
      <c r="N36" s="4247" t="str">
        <f>Table3!I42</f>
        <v>NA</v>
      </c>
      <c r="O36" s="3783" t="s">
        <v>2147</v>
      </c>
    </row>
    <row r="37" spans="2:15" ht="18" customHeight="1" x14ac:dyDescent="0.25">
      <c r="B37" s="4245" t="s">
        <v>1497</v>
      </c>
      <c r="C37" s="3791"/>
      <c r="D37" s="4226">
        <f>Table3!D43</f>
        <v>7.7017018795049603</v>
      </c>
      <c r="E37" s="4226">
        <f>Table3!E43</f>
        <v>0.31907265068135787</v>
      </c>
      <c r="F37" s="3802"/>
      <c r="G37" s="3802"/>
      <c r="H37" s="3802"/>
      <c r="I37" s="3802"/>
      <c r="J37" s="3802"/>
      <c r="K37" s="4247">
        <f>Table3!F43</f>
        <v>18.434460559700462</v>
      </c>
      <c r="L37" s="4247">
        <f>Table3!G43</f>
        <v>300.36637330069351</v>
      </c>
      <c r="M37" s="4247">
        <f>Table3!H43</f>
        <v>17.521371775873792</v>
      </c>
      <c r="N37" s="4247" t="str">
        <f>Table3!I43</f>
        <v>NO</v>
      </c>
      <c r="O37" s="3783">
        <f t="shared" si="2"/>
        <v>300.20190505669871</v>
      </c>
    </row>
    <row r="38" spans="2:15" ht="18" customHeight="1" x14ac:dyDescent="0.25">
      <c r="B38" s="4249" t="s">
        <v>721</v>
      </c>
      <c r="C38" s="3794">
        <f>Table3!C44</f>
        <v>1153.3920301118246</v>
      </c>
      <c r="D38" s="4250"/>
      <c r="E38" s="4250"/>
      <c r="F38" s="3792"/>
      <c r="G38" s="3792"/>
      <c r="H38" s="3792"/>
      <c r="I38" s="3792"/>
      <c r="J38" s="3792"/>
      <c r="K38" s="3805"/>
      <c r="L38" s="3805"/>
      <c r="M38" s="3805"/>
      <c r="N38" s="3793"/>
      <c r="O38" s="3785">
        <f t="shared" si="2"/>
        <v>1153.3920301118246</v>
      </c>
    </row>
    <row r="39" spans="2:15" ht="18" customHeight="1" x14ac:dyDescent="0.25">
      <c r="B39" s="4249" t="s">
        <v>722</v>
      </c>
      <c r="C39" s="3806">
        <f>Table3!C45</f>
        <v>1509.858276147467</v>
      </c>
      <c r="D39" s="4250"/>
      <c r="E39" s="4250"/>
      <c r="F39" s="3792"/>
      <c r="G39" s="3792"/>
      <c r="H39" s="3792"/>
      <c r="I39" s="3792"/>
      <c r="J39" s="3792"/>
      <c r="K39" s="3805"/>
      <c r="L39" s="3805"/>
      <c r="M39" s="3805"/>
      <c r="N39" s="3793"/>
      <c r="O39" s="3785">
        <f t="shared" si="2"/>
        <v>1509.858276147467</v>
      </c>
    </row>
    <row r="40" spans="2:15" ht="18" customHeight="1" x14ac:dyDescent="0.25">
      <c r="B40" s="4249" t="s">
        <v>1498</v>
      </c>
      <c r="C40" s="3806" t="str">
        <f>Table3!C46</f>
        <v>NE</v>
      </c>
      <c r="D40" s="4250"/>
      <c r="E40" s="4250"/>
      <c r="F40" s="3792"/>
      <c r="G40" s="3792"/>
      <c r="H40" s="3792"/>
      <c r="I40" s="3792"/>
      <c r="J40" s="3792"/>
      <c r="K40" s="3805"/>
      <c r="L40" s="3805"/>
      <c r="M40" s="3805"/>
      <c r="N40" s="3793"/>
      <c r="O40" s="3785" t="s">
        <v>2154</v>
      </c>
    </row>
    <row r="41" spans="2:15" ht="18" customHeight="1" thickBot="1" x14ac:dyDescent="0.3">
      <c r="B41" s="4251" t="s">
        <v>1499</v>
      </c>
      <c r="C41" s="3833" t="str">
        <f>Table3!C47</f>
        <v>NO</v>
      </c>
      <c r="D41" s="4240" t="str">
        <f>Table3!D47</f>
        <v>NO</v>
      </c>
      <c r="E41" s="4241" t="str">
        <f>Table3!E47</f>
        <v>NO</v>
      </c>
      <c r="F41" s="3807"/>
      <c r="G41" s="3807"/>
      <c r="H41" s="3807"/>
      <c r="I41" s="3807"/>
      <c r="J41" s="87"/>
      <c r="K41" s="4247" t="str">
        <f>Table3!F47</f>
        <v>NO</v>
      </c>
      <c r="L41" s="4247" t="str">
        <f>Table3!G47</f>
        <v>NO</v>
      </c>
      <c r="M41" s="4247" t="str">
        <f>Table3!H47</f>
        <v>NO</v>
      </c>
      <c r="N41" s="4252" t="str">
        <f>Table3!I47</f>
        <v>NO</v>
      </c>
      <c r="O41" s="3798" t="str">
        <f t="shared" si="2"/>
        <v>NO</v>
      </c>
    </row>
    <row r="42" spans="2:15" ht="18" customHeight="1" x14ac:dyDescent="0.25">
      <c r="B42" s="1134" t="s">
        <v>2041</v>
      </c>
      <c r="C42" s="3808">
        <f>Table4!C10</f>
        <v>-60914.133383424669</v>
      </c>
      <c r="D42" s="3809">
        <f>Table4!D10</f>
        <v>613.85955247759591</v>
      </c>
      <c r="E42" s="3810">
        <f>Table4!E10</f>
        <v>14.544315766922185</v>
      </c>
      <c r="F42" s="3801"/>
      <c r="G42" s="3801"/>
      <c r="H42" s="3801"/>
      <c r="I42" s="3801"/>
      <c r="J42" s="3801"/>
      <c r="K42" s="4253">
        <f>Table4!F10</f>
        <v>785.49095268195924</v>
      </c>
      <c r="L42" s="4253">
        <f>Table4!G10</f>
        <v>20564.995287439306</v>
      </c>
      <c r="M42" s="4253">
        <f>Table4!H10</f>
        <v>542.48623215079715</v>
      </c>
      <c r="N42" s="4254" t="str">
        <f>N50</f>
        <v>NO</v>
      </c>
      <c r="O42" s="3781">
        <f t="shared" si="2"/>
        <v>-39871.822235817606</v>
      </c>
    </row>
    <row r="43" spans="2:15" ht="18" customHeight="1" x14ac:dyDescent="0.25">
      <c r="B43" s="4245" t="s">
        <v>2042</v>
      </c>
      <c r="C43" s="4255">
        <f>Table4!C11</f>
        <v>-86149.359368465462</v>
      </c>
      <c r="D43" s="4256">
        <f>Table4!D11</f>
        <v>275.5268589968087</v>
      </c>
      <c r="E43" s="4257">
        <f>Table4!E11</f>
        <v>5.1549411564902936</v>
      </c>
      <c r="F43" s="3792"/>
      <c r="G43" s="3792"/>
      <c r="H43" s="3792"/>
      <c r="I43" s="3792"/>
      <c r="J43" s="3792"/>
      <c r="K43" s="4247">
        <f>Table4!F11</f>
        <v>264.48920904468156</v>
      </c>
      <c r="L43" s="4247">
        <f>Table4!G11</f>
        <v>7247.4139877614944</v>
      </c>
      <c r="M43" s="4247">
        <f>Table4!H11</f>
        <v>285.35537045193286</v>
      </c>
      <c r="N43" s="3811"/>
      <c r="O43" s="3812">
        <f t="shared" si="2"/>
        <v>-77068.54791008489</v>
      </c>
    </row>
    <row r="44" spans="2:15" ht="18" customHeight="1" x14ac:dyDescent="0.25">
      <c r="B44" s="4245" t="s">
        <v>2043</v>
      </c>
      <c r="C44" s="4255">
        <f>Table4!C14</f>
        <v>-2959.6375306847522</v>
      </c>
      <c r="D44" s="4258">
        <f>Table4!D14</f>
        <v>1.6117848000000004</v>
      </c>
      <c r="E44" s="4258">
        <f>Table4!E14</f>
        <v>0.1527644847598269</v>
      </c>
      <c r="F44" s="3802"/>
      <c r="G44" s="3802"/>
      <c r="H44" s="3802"/>
      <c r="I44" s="3802"/>
      <c r="J44" s="3802"/>
      <c r="K44" s="4247">
        <f>Table4!F14</f>
        <v>1.2136355785714286</v>
      </c>
      <c r="L44" s="4247">
        <f>Table4!G14</f>
        <v>47.532727666666673</v>
      </c>
      <c r="M44" s="4247">
        <f>Table4!H14</f>
        <v>5.7457143333333329</v>
      </c>
      <c r="N44" s="4259"/>
      <c r="O44" s="3783">
        <f t="shared" si="2"/>
        <v>-2874.0249678233981</v>
      </c>
    </row>
    <row r="45" spans="2:15" ht="18" customHeight="1" x14ac:dyDescent="0.25">
      <c r="B45" s="4245" t="s">
        <v>2044</v>
      </c>
      <c r="C45" s="4255">
        <f>Table4!C17</f>
        <v>28461.148450275516</v>
      </c>
      <c r="D45" s="4258">
        <f>Table4!D17</f>
        <v>249.67701120996236</v>
      </c>
      <c r="E45" s="4258">
        <f>Table4!E17</f>
        <v>8.6750238985645254</v>
      </c>
      <c r="F45" s="3802"/>
      <c r="G45" s="3802"/>
      <c r="H45" s="3802"/>
      <c r="I45" s="3802"/>
      <c r="J45" s="3802"/>
      <c r="K45" s="4247">
        <f>Table4!F17</f>
        <v>495.35716064511701</v>
      </c>
      <c r="L45" s="4247">
        <f>Table4!G17</f>
        <v>12667.067438469212</v>
      </c>
      <c r="M45" s="4247">
        <f>Table4!H17</f>
        <v>245.67920135403335</v>
      </c>
      <c r="N45" s="4259"/>
      <c r="O45" s="3783">
        <f t="shared" si="2"/>
        <v>37750.986097274064</v>
      </c>
    </row>
    <row r="46" spans="2:15" ht="18" customHeight="1" x14ac:dyDescent="0.25">
      <c r="B46" s="4245" t="s">
        <v>2045</v>
      </c>
      <c r="C46" s="4255">
        <f>Table4!C20</f>
        <v>-261.86533523588122</v>
      </c>
      <c r="D46" s="4258">
        <f>Table4!D20</f>
        <v>85.543842270824783</v>
      </c>
      <c r="E46" s="4258">
        <f>Table4!E20</f>
        <v>0.31412217494954964</v>
      </c>
      <c r="F46" s="3802"/>
      <c r="G46" s="3802"/>
      <c r="H46" s="3802"/>
      <c r="I46" s="3802"/>
      <c r="J46" s="3802"/>
      <c r="K46" s="4247">
        <f>Table4!F20</f>
        <v>23.301441563589322</v>
      </c>
      <c r="L46" s="4247">
        <f>Table4!G20</f>
        <v>558.74339454193114</v>
      </c>
      <c r="M46" s="4247">
        <f>Table4!H20</f>
        <v>0.35852701149773913</v>
      </c>
      <c r="N46" s="4259"/>
      <c r="O46" s="3783">
        <f t="shared" si="2"/>
        <v>2216.6046247088434</v>
      </c>
    </row>
    <row r="47" spans="2:15" ht="18" customHeight="1" x14ac:dyDescent="0.25">
      <c r="B47" s="4245" t="s">
        <v>2046</v>
      </c>
      <c r="C47" s="4255">
        <f>Table4!C23</f>
        <v>4409.4994612760966</v>
      </c>
      <c r="D47" s="4258">
        <f>Table4!D23</f>
        <v>1.5000551999999998</v>
      </c>
      <c r="E47" s="4260">
        <f>Table4!E23</f>
        <v>5.2575269293704825E-2</v>
      </c>
      <c r="F47" s="3802"/>
      <c r="G47" s="3802"/>
      <c r="H47" s="3802"/>
      <c r="I47" s="3802"/>
      <c r="J47" s="3802"/>
      <c r="K47" s="4247">
        <f>Table4!F23</f>
        <v>1.1295058499999999</v>
      </c>
      <c r="L47" s="4247">
        <f>Table4!G23</f>
        <v>44.237739000000005</v>
      </c>
      <c r="M47" s="4247">
        <f>Table4!H23</f>
        <v>5.3474190000000004</v>
      </c>
      <c r="N47" s="1838"/>
      <c r="O47" s="3783">
        <f t="shared" si="2"/>
        <v>4465.4334532389285</v>
      </c>
    </row>
    <row r="48" spans="2:15" ht="18" customHeight="1" x14ac:dyDescent="0.25">
      <c r="B48" s="4245" t="s">
        <v>2047</v>
      </c>
      <c r="C48" s="4255" t="str">
        <f>Table4!C26</f>
        <v>NO</v>
      </c>
      <c r="D48" s="4261" t="str">
        <f>Table4!D26</f>
        <v>NO</v>
      </c>
      <c r="E48" s="4262" t="str">
        <f>Table4!E26</f>
        <v>NO</v>
      </c>
      <c r="F48" s="3792"/>
      <c r="G48" s="3792"/>
      <c r="H48" s="3792"/>
      <c r="I48" s="3792"/>
      <c r="J48" s="3792"/>
      <c r="K48" s="4247" t="str">
        <f>Table4!F26</f>
        <v>NO</v>
      </c>
      <c r="L48" s="4247" t="str">
        <f>Table4!G26</f>
        <v>NO</v>
      </c>
      <c r="M48" s="4247" t="str">
        <f>Table4!H26</f>
        <v>NO</v>
      </c>
      <c r="N48" s="3813"/>
      <c r="O48" s="3785" t="str">
        <f t="shared" si="2"/>
        <v>NO</v>
      </c>
    </row>
    <row r="49" spans="2:15" ht="18" customHeight="1" x14ac:dyDescent="0.25">
      <c r="B49" s="4245" t="s">
        <v>2048</v>
      </c>
      <c r="C49" s="4263">
        <f>Table4!C29</f>
        <v>-4413.9190605901867</v>
      </c>
      <c r="D49" s="3792"/>
      <c r="E49" s="3792"/>
      <c r="F49" s="3792"/>
      <c r="G49" s="3792"/>
      <c r="H49" s="3792"/>
      <c r="I49" s="3792"/>
      <c r="J49" s="3792"/>
      <c r="K49" s="3792"/>
      <c r="L49" s="3792"/>
      <c r="M49" s="3792"/>
      <c r="N49" s="3814"/>
      <c r="O49" s="3785">
        <f t="shared" si="2"/>
        <v>-4413.9190605901867</v>
      </c>
    </row>
    <row r="50" spans="2:15" ht="18" customHeight="1" thickBot="1" x14ac:dyDescent="0.3">
      <c r="B50" s="4251" t="s">
        <v>2049</v>
      </c>
      <c r="C50" s="4264" t="str">
        <f>Table4!C30</f>
        <v>NO</v>
      </c>
      <c r="D50" s="4265" t="str">
        <f>Table4!D30</f>
        <v>NO</v>
      </c>
      <c r="E50" s="4265">
        <f>Table4!E30</f>
        <v>0.19488878286428571</v>
      </c>
      <c r="F50" s="3807"/>
      <c r="G50" s="3807"/>
      <c r="H50" s="3807"/>
      <c r="I50" s="3807"/>
      <c r="J50" s="3807"/>
      <c r="K50" s="4266" t="str">
        <f>Table4!F30</f>
        <v>NO</v>
      </c>
      <c r="L50" s="4266" t="str">
        <f>Table4!G30</f>
        <v>NO</v>
      </c>
      <c r="M50" s="4266" t="str">
        <f>Table4!H30</f>
        <v>NO</v>
      </c>
      <c r="N50" s="4266" t="s">
        <v>2146</v>
      </c>
      <c r="O50" s="3798">
        <f t="shared" si="2"/>
        <v>51.645527459035712</v>
      </c>
    </row>
    <row r="51" spans="2:15" ht="18" customHeight="1" x14ac:dyDescent="0.25">
      <c r="B51" s="1377" t="s">
        <v>1500</v>
      </c>
      <c r="C51" s="3815">
        <f>Table5!C10</f>
        <v>31.331062638344687</v>
      </c>
      <c r="D51" s="3799">
        <f>Table5!D10</f>
        <v>453.24908884780967</v>
      </c>
      <c r="E51" s="3800">
        <f>Table5!E10</f>
        <v>1.3633861471000244</v>
      </c>
      <c r="F51" s="3801"/>
      <c r="G51" s="3801"/>
      <c r="H51" s="3801"/>
      <c r="I51" s="3801"/>
      <c r="J51" s="3801"/>
      <c r="K51" s="4243" t="str">
        <f>Table5!F10</f>
        <v>NO</v>
      </c>
      <c r="L51" s="4243" t="str">
        <f>Table5!G10</f>
        <v>NO</v>
      </c>
      <c r="M51" s="4243">
        <f>Table5!H10</f>
        <v>243.97794350142794</v>
      </c>
      <c r="N51" s="4244" t="str">
        <f>Table5!I10</f>
        <v>NO</v>
      </c>
      <c r="O51" s="4267">
        <f t="shared" si="2"/>
        <v>13083.602879358523</v>
      </c>
    </row>
    <row r="52" spans="2:15" ht="18" customHeight="1" x14ac:dyDescent="0.25">
      <c r="B52" s="4245" t="s">
        <v>2050</v>
      </c>
      <c r="C52" s="4248"/>
      <c r="D52" s="4246">
        <f>Table5!D11</f>
        <v>352.88296809000002</v>
      </c>
      <c r="E52" s="3816"/>
      <c r="F52" s="3801"/>
      <c r="G52" s="3801"/>
      <c r="H52" s="3801"/>
      <c r="I52" s="3801"/>
      <c r="J52" s="3801"/>
      <c r="K52" s="4247" t="str">
        <f>Table5!F11</f>
        <v>NO</v>
      </c>
      <c r="L52" s="4247" t="str">
        <f>Table5!G11</f>
        <v>NO</v>
      </c>
      <c r="M52" s="4247">
        <f>Table5!H11</f>
        <v>2.9812629076828063</v>
      </c>
      <c r="N52" s="3803"/>
      <c r="O52" s="4267">
        <f t="shared" si="2"/>
        <v>9880.7231065200012</v>
      </c>
    </row>
    <row r="53" spans="2:15" ht="18" customHeight="1" x14ac:dyDescent="0.25">
      <c r="B53" s="4245" t="s">
        <v>1501</v>
      </c>
      <c r="C53" s="4248"/>
      <c r="D53" s="4246">
        <f>Table5!D15</f>
        <v>4.3177532196272264</v>
      </c>
      <c r="E53" s="4246">
        <f>Table5!E15</f>
        <v>0.55267241211228502</v>
      </c>
      <c r="F53" s="3802"/>
      <c r="G53" s="3802"/>
      <c r="H53" s="3802"/>
      <c r="I53" s="3802"/>
      <c r="J53" s="3802"/>
      <c r="K53" s="4247" t="str">
        <f>Table5!F15</f>
        <v>NA,NE</v>
      </c>
      <c r="L53" s="4247" t="str">
        <f>Table5!G15</f>
        <v>NA,NE</v>
      </c>
      <c r="M53" s="4247" t="str">
        <f>Table5!H15</f>
        <v>NA,NE</v>
      </c>
      <c r="N53" s="3803"/>
      <c r="O53" s="3782">
        <f t="shared" si="2"/>
        <v>267.35527935931782</v>
      </c>
    </row>
    <row r="54" spans="2:15" ht="18" customHeight="1" x14ac:dyDescent="0.25">
      <c r="B54" s="4245" t="s">
        <v>2051</v>
      </c>
      <c r="C54" s="4268">
        <f>Table5!C18</f>
        <v>31.331062638344687</v>
      </c>
      <c r="D54" s="4226" t="str">
        <f>Table5!D18</f>
        <v>NO,NE</v>
      </c>
      <c r="E54" s="4226" t="str">
        <f>Table5!E18</f>
        <v>NO,NE</v>
      </c>
      <c r="F54" s="3802"/>
      <c r="G54" s="3802"/>
      <c r="H54" s="3802"/>
      <c r="I54" s="3802"/>
      <c r="J54" s="3802"/>
      <c r="K54" s="4247" t="str">
        <f>Table5!F18</f>
        <v>NA</v>
      </c>
      <c r="L54" s="4247" t="str">
        <f>Table5!G18</f>
        <v>NA</v>
      </c>
      <c r="M54" s="4247" t="str">
        <f>Table5!H18</f>
        <v>NA</v>
      </c>
      <c r="N54" s="4269" t="str">
        <f>Table5!I18</f>
        <v>NA</v>
      </c>
      <c r="O54" s="4270">
        <f t="shared" si="2"/>
        <v>31.331062638344687</v>
      </c>
    </row>
    <row r="55" spans="2:15" ht="18" customHeight="1" x14ac:dyDescent="0.25">
      <c r="B55" s="4245" t="s">
        <v>1502</v>
      </c>
      <c r="C55" s="3791"/>
      <c r="D55" s="4226">
        <f>Table5!D21</f>
        <v>96.048367538182447</v>
      </c>
      <c r="E55" s="4226">
        <f>Table5!E21</f>
        <v>0.81071373498773935</v>
      </c>
      <c r="F55" s="3802"/>
      <c r="G55" s="3802"/>
      <c r="H55" s="3802"/>
      <c r="I55" s="3802"/>
      <c r="J55" s="3802"/>
      <c r="K55" s="4247" t="str">
        <f>Table5!F21</f>
        <v>NO</v>
      </c>
      <c r="L55" s="4247" t="str">
        <f>Table5!G21</f>
        <v>NO</v>
      </c>
      <c r="M55" s="4247">
        <f>Table5!H21</f>
        <v>240.99668059374514</v>
      </c>
      <c r="N55" s="3803"/>
      <c r="O55" s="4270">
        <f t="shared" si="2"/>
        <v>2904.1934308408595</v>
      </c>
    </row>
    <row r="56" spans="2:15" ht="18" customHeight="1" thickBot="1" x14ac:dyDescent="0.3">
      <c r="B56" s="4251" t="s">
        <v>2052</v>
      </c>
      <c r="C56" s="4239" t="str">
        <f>Table5!C25</f>
        <v>NE</v>
      </c>
      <c r="D56" s="4240" t="str">
        <f>Table5!D25</f>
        <v>NE</v>
      </c>
      <c r="E56" s="4240" t="str">
        <f>Table5!E25</f>
        <v>NE</v>
      </c>
      <c r="F56" s="3807"/>
      <c r="G56" s="3807"/>
      <c r="H56" s="3807"/>
      <c r="I56" s="3807"/>
      <c r="J56" s="3807"/>
      <c r="K56" s="4266" t="str">
        <f>Table5!F25</f>
        <v>NE</v>
      </c>
      <c r="L56" s="4266" t="str">
        <f>Table5!G25</f>
        <v>NE</v>
      </c>
      <c r="M56" s="4266" t="str">
        <f>Table5!H25</f>
        <v>NE</v>
      </c>
      <c r="N56" s="4252" t="str">
        <f>Table5!I25</f>
        <v>NE</v>
      </c>
      <c r="O56" s="4271" t="s">
        <v>2154</v>
      </c>
    </row>
    <row r="57" spans="2:15" ht="18" customHeight="1" x14ac:dyDescent="0.25">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3" t="str">
        <f t="shared" si="3"/>
        <v>NO</v>
      </c>
      <c r="L57" s="4253" t="str">
        <f t="shared" si="3"/>
        <v>NO</v>
      </c>
      <c r="M57" s="4253" t="str">
        <f t="shared" si="3"/>
        <v>NO</v>
      </c>
      <c r="N57" s="4254" t="str">
        <f t="shared" si="3"/>
        <v>NO</v>
      </c>
      <c r="O57" s="4272" t="str">
        <f t="shared" si="2"/>
        <v>NO</v>
      </c>
    </row>
    <row r="58" spans="2:15" ht="18" customHeight="1" thickBot="1" x14ac:dyDescent="0.3">
      <c r="B58" s="4273" t="s">
        <v>2147</v>
      </c>
      <c r="C58" s="4274" t="s">
        <v>2146</v>
      </c>
      <c r="D58" s="4275" t="s">
        <v>2146</v>
      </c>
      <c r="E58" s="4276" t="s">
        <v>2146</v>
      </c>
      <c r="F58" s="4276" t="s">
        <v>2146</v>
      </c>
      <c r="G58" s="4276" t="s">
        <v>2146</v>
      </c>
      <c r="H58" s="4276" t="s">
        <v>2146</v>
      </c>
      <c r="I58" s="4276" t="s">
        <v>2146</v>
      </c>
      <c r="J58" s="4276" t="s">
        <v>2146</v>
      </c>
      <c r="K58" s="3831" t="s">
        <v>2146</v>
      </c>
      <c r="L58" s="3831" t="s">
        <v>2146</v>
      </c>
      <c r="M58" s="3831" t="s">
        <v>2146</v>
      </c>
      <c r="N58" s="3832" t="s">
        <v>2146</v>
      </c>
      <c r="O58" s="4277" t="str">
        <f t="shared" si="2"/>
        <v>NO</v>
      </c>
    </row>
    <row r="59" spans="2:15" ht="18" customHeight="1" thickBot="1" x14ac:dyDescent="0.3">
      <c r="B59" s="2514"/>
      <c r="C59" s="2515"/>
      <c r="D59" s="2515"/>
      <c r="E59" s="2515"/>
      <c r="F59" s="2515"/>
      <c r="G59" s="2515"/>
      <c r="H59" s="2515"/>
      <c r="I59" s="2515"/>
      <c r="J59" s="2515"/>
      <c r="K59" s="4278"/>
      <c r="L59" s="4278"/>
      <c r="M59" s="4278"/>
      <c r="N59" s="4278"/>
      <c r="O59" s="4278"/>
    </row>
    <row r="60" spans="2:15" ht="18" customHeight="1" x14ac:dyDescent="0.25">
      <c r="B60" s="1378" t="s">
        <v>2054</v>
      </c>
      <c r="C60" s="2519"/>
      <c r="D60" s="2520"/>
      <c r="E60" s="2520"/>
      <c r="F60" s="2520"/>
      <c r="G60" s="2520"/>
      <c r="H60" s="2520"/>
      <c r="I60" s="2520"/>
      <c r="J60" s="2520"/>
      <c r="K60" s="2520"/>
      <c r="L60" s="2520"/>
      <c r="M60" s="2520"/>
      <c r="N60" s="2521"/>
      <c r="O60" s="1557"/>
    </row>
    <row r="61" spans="2:15" ht="18" customHeight="1" x14ac:dyDescent="0.25">
      <c r="B61" s="1379" t="s">
        <v>110</v>
      </c>
      <c r="C61" s="3819">
        <f>Table1!C52</f>
        <v>15011.326463288071</v>
      </c>
      <c r="D61" s="3820">
        <f>Table1!D52</f>
        <v>0.2560586585650067</v>
      </c>
      <c r="E61" s="3820">
        <f>Table1!E52</f>
        <v>0.12818696232617033</v>
      </c>
      <c r="F61" s="628"/>
      <c r="G61" s="628"/>
      <c r="H61" s="628"/>
      <c r="I61" s="628"/>
      <c r="J61" s="628"/>
      <c r="K61" s="3820">
        <f>Table1!F52</f>
        <v>129.9296602594398</v>
      </c>
      <c r="L61" s="3820">
        <f>Table1!G52</f>
        <v>21.630032429107032</v>
      </c>
      <c r="M61" s="3820">
        <f>Table1!H52</f>
        <v>11.751773224448073</v>
      </c>
      <c r="N61" s="3821">
        <f>Table1!I52</f>
        <v>40.557203512552498</v>
      </c>
      <c r="O61" s="4267">
        <f t="shared" ref="O61:O67" si="4">IF(SUM(C61:J61)=0,"NO",SUM(C61,F61:H61)+28*SUM(D61)+265*SUM(E61)+23500*SUM(I61)+16100*SUM(J61))</f>
        <v>15052.465650744325</v>
      </c>
    </row>
    <row r="62" spans="2:15" ht="18" customHeight="1" x14ac:dyDescent="0.25">
      <c r="B62" s="1371" t="s">
        <v>111</v>
      </c>
      <c r="C62" s="4279">
        <f>Table1!C53</f>
        <v>12627.611555322994</v>
      </c>
      <c r="D62" s="4233">
        <f>Table1!D53</f>
        <v>2.8602901315789478E-2</v>
      </c>
      <c r="E62" s="4233">
        <f>Table1!E53</f>
        <v>6.3199603112108274E-2</v>
      </c>
      <c r="F62" s="628"/>
      <c r="G62" s="628"/>
      <c r="H62" s="628"/>
      <c r="I62" s="628"/>
      <c r="J62" s="2135"/>
      <c r="K62" s="4233">
        <f>Table1!F53</f>
        <v>65.829966631110366</v>
      </c>
      <c r="L62" s="4233">
        <f>Table1!G53</f>
        <v>19.948805277106761</v>
      </c>
      <c r="M62" s="4233">
        <f>Table1!H53</f>
        <v>9.7406007305323907</v>
      </c>
      <c r="N62" s="4234">
        <f>Table1!I53</f>
        <v>1.4877358441616169</v>
      </c>
      <c r="O62" s="3782">
        <f t="shared" si="4"/>
        <v>12645.160331384544</v>
      </c>
    </row>
    <row r="63" spans="2:15" ht="18" customHeight="1" x14ac:dyDescent="0.25">
      <c r="B63" s="1380" t="s">
        <v>1503</v>
      </c>
      <c r="C63" s="4279">
        <f>Table1!C54</f>
        <v>2383.7149079650771</v>
      </c>
      <c r="D63" s="4219">
        <f>Table1!D54</f>
        <v>0.22745575724921721</v>
      </c>
      <c r="E63" s="4219">
        <f>Table1!E54</f>
        <v>6.4987359214062054E-2</v>
      </c>
      <c r="F63" s="628"/>
      <c r="G63" s="628"/>
      <c r="H63" s="628"/>
      <c r="I63" s="628"/>
      <c r="J63" s="628"/>
      <c r="K63" s="4219">
        <f>Table1!F54</f>
        <v>64.099693628329447</v>
      </c>
      <c r="L63" s="4219">
        <f>Table1!G54</f>
        <v>1.68122715200027</v>
      </c>
      <c r="M63" s="4219">
        <f>Table1!H54</f>
        <v>2.0111724939156828</v>
      </c>
      <c r="N63" s="4220">
        <f>Table1!I54</f>
        <v>39.069467668390878</v>
      </c>
      <c r="O63" s="3783">
        <f t="shared" si="4"/>
        <v>2407.3053193597816</v>
      </c>
    </row>
    <row r="64" spans="2:15" ht="18" customHeight="1" x14ac:dyDescent="0.25">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25">
      <c r="B65" s="1382" t="s">
        <v>114</v>
      </c>
      <c r="C65" s="3822">
        <f>Table1!C56</f>
        <v>19096.838530978872</v>
      </c>
      <c r="D65" s="3823"/>
      <c r="E65" s="3823"/>
      <c r="F65" s="3824"/>
      <c r="G65" s="3824"/>
      <c r="H65" s="3824"/>
      <c r="I65" s="3824"/>
      <c r="J65" s="3823"/>
      <c r="K65" s="3823"/>
      <c r="L65" s="3823"/>
      <c r="M65" s="3823"/>
      <c r="N65" s="3825"/>
      <c r="O65" s="3812">
        <f t="shared" si="4"/>
        <v>19096.838530978872</v>
      </c>
    </row>
    <row r="66" spans="2:15" ht="18" customHeight="1" x14ac:dyDescent="0.25">
      <c r="B66" s="1383" t="s">
        <v>1504</v>
      </c>
      <c r="C66" s="3826" t="str">
        <f>Table1!C57</f>
        <v>NO</v>
      </c>
      <c r="D66" s="3352"/>
      <c r="E66" s="3352"/>
      <c r="F66" s="3352"/>
      <c r="G66" s="3352"/>
      <c r="H66" s="3352"/>
      <c r="I66" s="3352"/>
      <c r="J66" s="3352"/>
      <c r="K66" s="3352"/>
      <c r="L66" s="3352"/>
      <c r="M66" s="3352"/>
      <c r="N66" s="3827"/>
      <c r="O66" s="3783" t="str">
        <f t="shared" si="4"/>
        <v>NO</v>
      </c>
    </row>
    <row r="67" spans="2:15" ht="18" customHeight="1" thickBot="1" x14ac:dyDescent="0.3">
      <c r="B67" s="1384" t="s">
        <v>1505</v>
      </c>
      <c r="C67" s="3826">
        <f>Table5!C28</f>
        <v>-303716.67515599198</v>
      </c>
      <c r="D67" s="3824"/>
      <c r="E67" s="3824"/>
      <c r="F67" s="3828"/>
      <c r="G67" s="3824"/>
      <c r="H67" s="3824"/>
      <c r="I67" s="3824"/>
      <c r="J67" s="3824"/>
      <c r="K67" s="3824"/>
      <c r="L67" s="3824"/>
      <c r="M67" s="3824"/>
      <c r="N67" s="3829"/>
      <c r="O67" s="3785">
        <f t="shared" si="4"/>
        <v>-303716.67515599198</v>
      </c>
    </row>
    <row r="68" spans="2:15" ht="18" customHeight="1" thickBot="1" x14ac:dyDescent="0.3">
      <c r="B68" s="1137" t="s">
        <v>1506</v>
      </c>
      <c r="C68" s="4280"/>
      <c r="D68" s="4281"/>
      <c r="E68" s="4282" t="str">
        <f>Table6!I10</f>
        <v>IE,NE,NO</v>
      </c>
      <c r="F68" s="4281"/>
      <c r="G68" s="4281"/>
      <c r="H68" s="4281"/>
      <c r="I68" s="4281"/>
      <c r="J68" s="4281"/>
      <c r="K68" s="4281"/>
      <c r="L68" s="4281"/>
      <c r="M68" s="4281"/>
      <c r="N68" s="4283"/>
      <c r="O68" s="3830" t="str">
        <f>E68</f>
        <v>IE,NE,NO</v>
      </c>
    </row>
    <row r="69" spans="2:15" ht="18" customHeight="1" thickBot="1" x14ac:dyDescent="0.3">
      <c r="B69" s="2513"/>
      <c r="C69" s="4284"/>
      <c r="D69" s="4284"/>
      <c r="E69" s="4284"/>
      <c r="F69" s="4284"/>
      <c r="G69" s="4284"/>
      <c r="H69" s="4284"/>
      <c r="I69" s="4284"/>
      <c r="J69" s="4284"/>
      <c r="K69" s="4284"/>
      <c r="L69" s="4284"/>
      <c r="M69" s="4284"/>
      <c r="N69" s="4284"/>
      <c r="O69" s="4284"/>
    </row>
    <row r="70" spans="2:15" ht="18" customHeight="1" thickBot="1" x14ac:dyDescent="0.3">
      <c r="B70" s="1138" t="s">
        <v>1507</v>
      </c>
      <c r="C70" s="4282" t="str">
        <f>Table6!H10</f>
        <v>NE,NO</v>
      </c>
      <c r="D70" s="4285"/>
      <c r="E70" s="4286"/>
      <c r="F70" s="4286"/>
      <c r="G70" s="4286"/>
      <c r="H70" s="4286"/>
      <c r="I70" s="4286"/>
      <c r="J70" s="4286"/>
      <c r="K70" s="4286"/>
      <c r="L70" s="4286"/>
      <c r="M70" s="4286"/>
      <c r="N70" s="4287"/>
      <c r="O70" s="3830"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6" t="s">
        <v>64</v>
      </c>
      <c r="K7" s="623"/>
    </row>
    <row r="8" spans="2:12" ht="24" x14ac:dyDescent="0.2">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25">
      <c r="B9" s="2549" t="s">
        <v>328</v>
      </c>
      <c r="C9" s="1921" t="s">
        <v>1515</v>
      </c>
      <c r="D9" s="1922"/>
      <c r="E9" s="1922"/>
      <c r="F9" s="1922"/>
      <c r="G9" s="1922"/>
      <c r="H9" s="1922"/>
      <c r="I9" s="614"/>
      <c r="J9" s="614"/>
      <c r="K9" s="626"/>
    </row>
    <row r="10" spans="2:12" ht="18" customHeight="1" thickTop="1" thickBot="1" x14ac:dyDescent="0.25">
      <c r="B10" s="1391" t="s">
        <v>1516</v>
      </c>
      <c r="C10" s="4213">
        <f>Summary1!C10</f>
        <v>349339.45979783888</v>
      </c>
      <c r="D10" s="4213">
        <f>IFERROR(Summary1!D10*28,Summary1!D10)</f>
        <v>132526.63657540135</v>
      </c>
      <c r="E10" s="4213">
        <f>IFERROR(Summary1!E10*265,Summary1!E10)</f>
        <v>20588.698420177716</v>
      </c>
      <c r="F10" s="4213">
        <f>Summary1!F10</f>
        <v>9705.2434129086068</v>
      </c>
      <c r="G10" s="4213">
        <f>Summary1!G10</f>
        <v>202.24755821344587</v>
      </c>
      <c r="H10" s="4213" t="str">
        <f>Summary1!H10</f>
        <v>NO</v>
      </c>
      <c r="I10" s="4288">
        <f>IFERROR(Summary1!I10*23500,Summary1!I10)</f>
        <v>120.72109384232132</v>
      </c>
      <c r="J10" s="4289" t="str">
        <f>IFERROR(Summary1!J10*16100,Summary1!J10)</f>
        <v>NO</v>
      </c>
      <c r="K10" s="4214">
        <f>IF(SUM(C10:J10)=0,"NO",SUM(C10:J10))</f>
        <v>512483.00685838232</v>
      </c>
    </row>
    <row r="11" spans="2:12" ht="18" customHeight="1" x14ac:dyDescent="0.2">
      <c r="B11" s="1550" t="s">
        <v>1476</v>
      </c>
      <c r="C11" s="4253">
        <f>Summary1!C11</f>
        <v>388379.139994025</v>
      </c>
      <c r="D11" s="4253">
        <f>IFERROR(Summary1!D11*28,Summary1!D11)</f>
        <v>39581.378373564767</v>
      </c>
      <c r="E11" s="4253">
        <f>IFERROR(Summary1!E11*265,Summary1!E11)</f>
        <v>2886.6351721993178</v>
      </c>
      <c r="F11" s="1929"/>
      <c r="G11" s="1929"/>
      <c r="H11" s="1930"/>
      <c r="I11" s="1930"/>
      <c r="J11" s="627"/>
      <c r="K11" s="4290">
        <f t="shared" ref="K11:K55" si="0">IF(SUM(C11:J11)=0,"NO",SUM(C11:J11))</f>
        <v>430847.15353978908</v>
      </c>
      <c r="L11" s="19"/>
    </row>
    <row r="12" spans="2:12" ht="18" customHeight="1" x14ac:dyDescent="0.2">
      <c r="B12" s="620" t="s">
        <v>131</v>
      </c>
      <c r="C12" s="4247">
        <f>Summary1!C12</f>
        <v>375939.22900890425</v>
      </c>
      <c r="D12" s="4247">
        <f>IFERROR(Summary1!D12*28,Summary1!D12)</f>
        <v>2541.2418315168397</v>
      </c>
      <c r="E12" s="4247">
        <f>IFERROR(Summary1!E12*265,Summary1!E12)</f>
        <v>2832.1765701315085</v>
      </c>
      <c r="F12" s="628"/>
      <c r="G12" s="628"/>
      <c r="H12" s="628"/>
      <c r="I12" s="69"/>
      <c r="J12" s="69"/>
      <c r="K12" s="4291">
        <f t="shared" si="0"/>
        <v>381312.6474105526</v>
      </c>
      <c r="L12" s="19"/>
    </row>
    <row r="13" spans="2:12" ht="18" customHeight="1" x14ac:dyDescent="0.2">
      <c r="B13" s="1392" t="s">
        <v>1478</v>
      </c>
      <c r="C13" s="4247">
        <f>Summary1!C13</f>
        <v>217816.75285319224</v>
      </c>
      <c r="D13" s="4247">
        <f>IFERROR(Summary1!D13*28,Summary1!D13)</f>
        <v>1026.9746537208127</v>
      </c>
      <c r="E13" s="4247">
        <f>IFERROR(Summary1!E13*265,Summary1!E13)</f>
        <v>852.90441860935334</v>
      </c>
      <c r="F13" s="628"/>
      <c r="G13" s="628"/>
      <c r="H13" s="628"/>
      <c r="I13" s="69"/>
      <c r="J13" s="69"/>
      <c r="K13" s="4291">
        <f t="shared" si="0"/>
        <v>219696.63192552244</v>
      </c>
      <c r="L13" s="19"/>
    </row>
    <row r="14" spans="2:12" ht="18" customHeight="1" x14ac:dyDescent="0.2">
      <c r="B14" s="1392" t="s">
        <v>1517</v>
      </c>
      <c r="C14" s="4247">
        <f>Summary1!C14</f>
        <v>40998.826293984224</v>
      </c>
      <c r="D14" s="4247">
        <f>IFERROR(Summary1!D14*28,Summary1!D14)</f>
        <v>68.325357259533973</v>
      </c>
      <c r="E14" s="4247">
        <f>IFERROR(Summary1!E14*265,Summary1!E14)</f>
        <v>390.44535246917661</v>
      </c>
      <c r="F14" s="628"/>
      <c r="G14" s="628"/>
      <c r="H14" s="628"/>
      <c r="I14" s="69"/>
      <c r="J14" s="69"/>
      <c r="K14" s="4291">
        <f t="shared" si="0"/>
        <v>41457.597003712937</v>
      </c>
      <c r="L14" s="19"/>
    </row>
    <row r="15" spans="2:12" ht="18" customHeight="1" x14ac:dyDescent="0.2">
      <c r="B15" s="1392" t="s">
        <v>1480</v>
      </c>
      <c r="C15" s="4247">
        <f>Summary1!C15</f>
        <v>94438.226181054735</v>
      </c>
      <c r="D15" s="4247">
        <f>IFERROR(Summary1!D15*28,Summary1!D15)</f>
        <v>415.87143597022413</v>
      </c>
      <c r="E15" s="4247">
        <f>IFERROR(Summary1!E15*265,Summary1!E15)</f>
        <v>1393.2722716215662</v>
      </c>
      <c r="F15" s="628"/>
      <c r="G15" s="628"/>
      <c r="H15" s="628"/>
      <c r="I15" s="69"/>
      <c r="J15" s="69"/>
      <c r="K15" s="4291">
        <f t="shared" si="0"/>
        <v>96247.369888646528</v>
      </c>
      <c r="L15" s="19"/>
    </row>
    <row r="16" spans="2:12" ht="18" customHeight="1" x14ac:dyDescent="0.2">
      <c r="B16" s="1392" t="s">
        <v>1481</v>
      </c>
      <c r="C16" s="4247">
        <f>Summary1!C16</f>
        <v>21587.163667956695</v>
      </c>
      <c r="D16" s="4247">
        <f>IFERROR(Summary1!D16*28,Summary1!D16)</f>
        <v>1029.0580748933298</v>
      </c>
      <c r="E16" s="4247">
        <f>IFERROR(Summary1!E16*265,Summary1!E16)</f>
        <v>187.2919712295128</v>
      </c>
      <c r="F16" s="628"/>
      <c r="G16" s="628"/>
      <c r="H16" s="628"/>
      <c r="I16" s="69"/>
      <c r="J16" s="69"/>
      <c r="K16" s="4291">
        <f t="shared" si="0"/>
        <v>22803.513714079534</v>
      </c>
      <c r="L16" s="19"/>
    </row>
    <row r="17" spans="2:12" ht="18" customHeight="1" x14ac:dyDescent="0.2">
      <c r="B17" s="1392" t="s">
        <v>1482</v>
      </c>
      <c r="C17" s="4247">
        <f>Summary1!C17</f>
        <v>1098.2600127163214</v>
      </c>
      <c r="D17" s="4247">
        <f>IFERROR(Summary1!D17*28,Summary1!D17)</f>
        <v>1.0123096729391077</v>
      </c>
      <c r="E17" s="4247">
        <f>IFERROR(Summary1!E17*265,Summary1!E17)</f>
        <v>8.262556201899546</v>
      </c>
      <c r="F17" s="628"/>
      <c r="G17" s="628"/>
      <c r="H17" s="628"/>
      <c r="I17" s="69"/>
      <c r="J17" s="69"/>
      <c r="K17" s="4291">
        <f t="shared" si="0"/>
        <v>1107.5348785911601</v>
      </c>
      <c r="L17" s="19"/>
    </row>
    <row r="18" spans="2:12" ht="18" customHeight="1" x14ac:dyDescent="0.2">
      <c r="B18" s="620" t="s">
        <v>99</v>
      </c>
      <c r="C18" s="4247">
        <f>Summary1!C18</f>
        <v>12439.910985120738</v>
      </c>
      <c r="D18" s="4247">
        <f>IFERROR(Summary1!D18*28,Summary1!D18)</f>
        <v>37040.136542047927</v>
      </c>
      <c r="E18" s="4247">
        <f>IFERROR(Summary1!E18*265,Summary1!E18)</f>
        <v>54.458602067809437</v>
      </c>
      <c r="F18" s="628"/>
      <c r="G18" s="628"/>
      <c r="H18" s="628"/>
      <c r="I18" s="69"/>
      <c r="J18" s="69"/>
      <c r="K18" s="4291">
        <f t="shared" si="0"/>
        <v>49534.506129236477</v>
      </c>
      <c r="L18" s="19"/>
    </row>
    <row r="19" spans="2:12" ht="18" customHeight="1" x14ac:dyDescent="0.2">
      <c r="B19" s="1392" t="s">
        <v>1483</v>
      </c>
      <c r="C19" s="4247">
        <f>Summary1!C19</f>
        <v>2063.8682509928403</v>
      </c>
      <c r="D19" s="4247">
        <f>IFERROR(Summary1!D19*28,Summary1!D19)</f>
        <v>30502.843683571573</v>
      </c>
      <c r="E19" s="4247">
        <f>IFERROR(Summary1!E19*265,Summary1!E19)</f>
        <v>0.35772073398368937</v>
      </c>
      <c r="F19" s="628"/>
      <c r="G19" s="628"/>
      <c r="H19" s="628"/>
      <c r="I19" s="69"/>
      <c r="J19" s="69"/>
      <c r="K19" s="4291">
        <f t="shared" si="0"/>
        <v>32567.069655298397</v>
      </c>
      <c r="L19" s="19"/>
    </row>
    <row r="20" spans="2:12" ht="18" customHeight="1" x14ac:dyDescent="0.2">
      <c r="B20" s="1393" t="s">
        <v>1484</v>
      </c>
      <c r="C20" s="4247">
        <f>Summary1!C20</f>
        <v>10376.042734127897</v>
      </c>
      <c r="D20" s="4247">
        <f>IFERROR(Summary1!D20*28,Summary1!D20)</f>
        <v>6537.292858476354</v>
      </c>
      <c r="E20" s="4247">
        <f>IFERROR(Summary1!E20*265,Summary1!E20)</f>
        <v>54.100881333825747</v>
      </c>
      <c r="F20" s="628"/>
      <c r="G20" s="628"/>
      <c r="H20" s="628"/>
      <c r="I20" s="69"/>
      <c r="J20" s="69"/>
      <c r="K20" s="4291">
        <f t="shared" si="0"/>
        <v>16967.436473938076</v>
      </c>
      <c r="L20" s="19"/>
    </row>
    <row r="21" spans="2:12" ht="18" customHeight="1" thickBot="1" x14ac:dyDescent="0.25">
      <c r="B21" s="1407" t="s">
        <v>1518</v>
      </c>
      <c r="C21" s="4266" t="str">
        <f>Summary1!C21</f>
        <v>NO</v>
      </c>
      <c r="D21" s="1923"/>
      <c r="E21" s="1923"/>
      <c r="F21" s="1923"/>
      <c r="G21" s="1923"/>
      <c r="H21" s="1923"/>
      <c r="I21" s="87"/>
      <c r="J21" s="87"/>
      <c r="K21" s="4292" t="str">
        <f t="shared" si="0"/>
        <v>NO</v>
      </c>
      <c r="L21" s="19"/>
    </row>
    <row r="22" spans="2:12" ht="18" customHeight="1" x14ac:dyDescent="0.2">
      <c r="B22" s="1551" t="s">
        <v>1486</v>
      </c>
      <c r="C22" s="4253">
        <f>Summary1!C22</f>
        <v>19179.871818340896</v>
      </c>
      <c r="D22" s="4253">
        <f>IFERROR(Summary1!D22*28,Summary1!D22)</f>
        <v>78.038551895143698</v>
      </c>
      <c r="E22" s="4253">
        <f>IFERROR(Summary1!E22*265,Summary1!E22)</f>
        <v>1270.5424903871224</v>
      </c>
      <c r="F22" s="4253">
        <f>Summary1!F22</f>
        <v>9705.2434129086068</v>
      </c>
      <c r="G22" s="4253">
        <f>Summary1!G22</f>
        <v>202.24755821344587</v>
      </c>
      <c r="H22" s="4253" t="str">
        <f>Summary1!H22</f>
        <v>NO</v>
      </c>
      <c r="I22" s="4253">
        <f>IFERROR(Summary1!I22*23500,Summary1!I22)</f>
        <v>120.72109384232132</v>
      </c>
      <c r="J22" s="4293" t="str">
        <f>IFERROR(Summary1!J22*16100,Summary1!J22)</f>
        <v>NO</v>
      </c>
      <c r="K22" s="4290">
        <f t="shared" si="0"/>
        <v>30556.664925587535</v>
      </c>
      <c r="L22" s="19"/>
    </row>
    <row r="23" spans="2:12" ht="18" customHeight="1" x14ac:dyDescent="0.2">
      <c r="B23" s="1394" t="s">
        <v>1487</v>
      </c>
      <c r="C23" s="4247">
        <f>Summary1!C23</f>
        <v>5691.6739853939707</v>
      </c>
      <c r="D23" s="628"/>
      <c r="E23" s="628"/>
      <c r="F23" s="628"/>
      <c r="G23" s="628"/>
      <c r="H23" s="628"/>
      <c r="I23" s="69"/>
      <c r="J23" s="69"/>
      <c r="K23" s="4291">
        <f t="shared" si="0"/>
        <v>5691.6739853939707</v>
      </c>
      <c r="L23" s="19"/>
    </row>
    <row r="24" spans="2:12" ht="18" customHeight="1" x14ac:dyDescent="0.2">
      <c r="B24" s="1394" t="s">
        <v>621</v>
      </c>
      <c r="C24" s="4247">
        <f>Summary1!C24</f>
        <v>3099.2192149103885</v>
      </c>
      <c r="D24" s="4247">
        <f>IFERROR(Summary1!D24*28,Summary1!D24)</f>
        <v>15.168235599999999</v>
      </c>
      <c r="E24" s="4247">
        <f>IFERROR(Summary1!E24*265,Summary1!E24)</f>
        <v>1256.7047947820083</v>
      </c>
      <c r="F24" s="1924" t="str">
        <f>Summary1!F24</f>
        <v>NO</v>
      </c>
      <c r="G24" s="1924" t="str">
        <f>Summary1!G24</f>
        <v>NO</v>
      </c>
      <c r="H24" s="1924" t="str">
        <f>Summary1!H24</f>
        <v>NO</v>
      </c>
      <c r="I24" s="616" t="str">
        <f>IFERROR(Summary1!I24*23500,Summary1!I24)</f>
        <v>NO</v>
      </c>
      <c r="J24" s="616" t="str">
        <f>IFERROR(Summary1!J24*16100,Summary1!J24)</f>
        <v>NO</v>
      </c>
      <c r="K24" s="4291">
        <f t="shared" si="0"/>
        <v>4371.0922452923969</v>
      </c>
      <c r="L24" s="19"/>
    </row>
    <row r="25" spans="2:12" ht="18" customHeight="1" x14ac:dyDescent="0.2">
      <c r="B25" s="1394" t="s">
        <v>459</v>
      </c>
      <c r="C25" s="4247">
        <f>Summary1!C25</f>
        <v>9904.9580408883448</v>
      </c>
      <c r="D25" s="4247">
        <f>IFERROR(Summary1!D25*28,Summary1!D25)</f>
        <v>62.870316295143688</v>
      </c>
      <c r="E25" s="4247">
        <f>IFERROR(Summary1!E25*265,Summary1!E25)</f>
        <v>13.837695605113852</v>
      </c>
      <c r="F25" s="1924" t="str">
        <f>Summary1!F25</f>
        <v>NO</v>
      </c>
      <c r="G25" s="4247">
        <f>Summary1!G25</f>
        <v>202.24755821344587</v>
      </c>
      <c r="H25" s="4247" t="str">
        <f>Summary1!H25</f>
        <v>NO</v>
      </c>
      <c r="I25" s="4247" t="str">
        <f>IFERROR(Summary1!I25*23500,Summary1!I25)</f>
        <v>NO</v>
      </c>
      <c r="J25" s="4247" t="str">
        <f>IFERROR(Summary1!J25*16100,Summary1!J25)</f>
        <v>NO</v>
      </c>
      <c r="K25" s="4291">
        <f t="shared" si="0"/>
        <v>10183.91361100205</v>
      </c>
      <c r="L25" s="19"/>
    </row>
    <row r="26" spans="2:12" ht="18" customHeight="1" x14ac:dyDescent="0.2">
      <c r="B26" s="1395" t="s">
        <v>1519</v>
      </c>
      <c r="C26" s="4247">
        <f>Summary1!C26</f>
        <v>211.18624259999996</v>
      </c>
      <c r="D26" s="4247" t="str">
        <f>IFERROR(Summary1!D26*28,Summary1!D26)</f>
        <v>NO</v>
      </c>
      <c r="E26" s="4247" t="str">
        <f>IFERROR(Summary1!E26*265,Summary1!E26)</f>
        <v>NO</v>
      </c>
      <c r="F26" s="628"/>
      <c r="G26" s="628"/>
      <c r="H26" s="628"/>
      <c r="I26" s="69"/>
      <c r="J26" s="69"/>
      <c r="K26" s="4291">
        <f t="shared" si="0"/>
        <v>211.18624259999996</v>
      </c>
      <c r="L26" s="19"/>
    </row>
    <row r="27" spans="2:12" ht="18" customHeight="1" x14ac:dyDescent="0.2">
      <c r="B27" s="1395" t="s">
        <v>1520</v>
      </c>
      <c r="C27" s="628"/>
      <c r="D27" s="628"/>
      <c r="E27" s="4247" t="str">
        <f>IFERROR(Summary1!E27*265,Summary1!E27)</f>
        <v>NO</v>
      </c>
      <c r="F27" s="1924" t="str">
        <f>Summary1!F27</f>
        <v>NO</v>
      </c>
      <c r="G27" s="4247" t="str">
        <f>Summary1!G27</f>
        <v>NO</v>
      </c>
      <c r="H27" s="4247" t="str">
        <f>Summary1!H27</f>
        <v>NO</v>
      </c>
      <c r="I27" s="4247" t="str">
        <f>IFERROR(Summary1!I27*23500,Summary1!I27)</f>
        <v>NO</v>
      </c>
      <c r="J27" s="4247" t="str">
        <f>IFERROR(Summary1!J27*16100,Summary1!J27)</f>
        <v>NO</v>
      </c>
      <c r="K27" s="4291" t="str">
        <f t="shared" si="0"/>
        <v>NO</v>
      </c>
      <c r="L27" s="19"/>
    </row>
    <row r="28" spans="2:12" ht="18" customHeight="1" x14ac:dyDescent="0.2">
      <c r="B28" s="1395" t="s">
        <v>1521</v>
      </c>
      <c r="C28" s="628"/>
      <c r="D28" s="628"/>
      <c r="E28" s="628"/>
      <c r="F28" s="1924">
        <f>Summary1!F28</f>
        <v>9705.2434129086068</v>
      </c>
      <c r="G28" s="4247" t="str">
        <f>Summary1!G28</f>
        <v>NO</v>
      </c>
      <c r="H28" s="4247" t="str">
        <f>Summary1!H28</f>
        <v>NO</v>
      </c>
      <c r="I28" s="4247" t="str">
        <f>IFERROR(Summary1!I28*23500,Summary1!I28)</f>
        <v>NO</v>
      </c>
      <c r="J28" s="4247" t="str">
        <f>IFERROR(Summary1!J28*16100,Summary1!J28)</f>
        <v>NO</v>
      </c>
      <c r="K28" s="4291">
        <f t="shared" si="0"/>
        <v>9705.2434129086068</v>
      </c>
      <c r="L28" s="19"/>
    </row>
    <row r="29" spans="2:12" ht="18" customHeight="1" x14ac:dyDescent="0.2">
      <c r="B29" s="1395" t="s">
        <v>1522</v>
      </c>
      <c r="C29" s="4247" t="str">
        <f>Summary1!C29</f>
        <v>NO</v>
      </c>
      <c r="D29" s="4247" t="str">
        <f>IFERROR(Summary1!D29*28,Summary1!D29)</f>
        <v>NO</v>
      </c>
      <c r="E29" s="4247" t="str">
        <f>IFERROR(Summary1!E29*265,Summary1!E29)</f>
        <v>IE</v>
      </c>
      <c r="F29" s="1924" t="str">
        <f>Summary1!F29</f>
        <v>NO</v>
      </c>
      <c r="G29" s="4247" t="str">
        <f>Summary1!G29</f>
        <v>NO</v>
      </c>
      <c r="H29" s="4247" t="str">
        <f>Summary1!H29</f>
        <v>NO</v>
      </c>
      <c r="I29" s="4247">
        <f>IFERROR(Summary1!I29*23500,Summary1!I29)</f>
        <v>120.72109384232132</v>
      </c>
      <c r="J29" s="4247" t="str">
        <f>IFERROR(Summary1!J29*16100,Summary1!J29)</f>
        <v>NO</v>
      </c>
      <c r="K29" s="4291">
        <f t="shared" si="0"/>
        <v>120.72109384232132</v>
      </c>
      <c r="L29" s="19"/>
    </row>
    <row r="30" spans="2:12" ht="18" customHeight="1" thickBot="1" x14ac:dyDescent="0.25">
      <c r="B30" s="1407" t="s">
        <v>1523</v>
      </c>
      <c r="C30" s="4266">
        <f>Summary1!C30</f>
        <v>272.83433454819283</v>
      </c>
      <c r="D30" s="4266" t="str">
        <f>IFERROR(Summary1!D30*28,Summary1!D30)</f>
        <v>NO</v>
      </c>
      <c r="E30" s="4266" t="str">
        <f>IFERROR(Summary1!E30*265,Summary1!E30)</f>
        <v>NO</v>
      </c>
      <c r="F30" s="4266" t="str">
        <f>Summary1!F30</f>
        <v>NO</v>
      </c>
      <c r="G30" s="4266" t="str">
        <f>Summary1!G30</f>
        <v>NO</v>
      </c>
      <c r="H30" s="4266" t="str">
        <f>Summary1!H30</f>
        <v>NO</v>
      </c>
      <c r="I30" s="4266" t="str">
        <f>IFERROR(Summary1!I30*23500,Summary1!I30)</f>
        <v>NO</v>
      </c>
      <c r="J30" s="617" t="str">
        <f>IFERROR(Summary1!J30*16100,Summary1!J30)</f>
        <v>NO</v>
      </c>
      <c r="K30" s="4292">
        <f t="shared" si="0"/>
        <v>272.83433454819283</v>
      </c>
      <c r="L30" s="19"/>
    </row>
    <row r="31" spans="2:12" ht="18" customHeight="1" x14ac:dyDescent="0.2">
      <c r="B31" s="772" t="s">
        <v>1491</v>
      </c>
      <c r="C31" s="4253">
        <f>Summary1!C31</f>
        <v>2663.2503062592914</v>
      </c>
      <c r="D31" s="4253">
        <f>IFERROR(Summary1!D31*28,Summary1!D31)</f>
        <v>62988.177692830111</v>
      </c>
      <c r="E31" s="4253">
        <f>IFERROR(Summary1!E31*265,Summary1!E31)</f>
        <v>12215.979750375389</v>
      </c>
      <c r="F31" s="1929"/>
      <c r="G31" s="1929"/>
      <c r="H31" s="1929"/>
      <c r="I31" s="4215"/>
      <c r="J31" s="627"/>
      <c r="K31" s="4290">
        <f t="shared" si="0"/>
        <v>77867.407749464794</v>
      </c>
      <c r="L31" s="19"/>
    </row>
    <row r="32" spans="2:12" ht="18" customHeight="1" x14ac:dyDescent="0.2">
      <c r="B32" s="620" t="s">
        <v>1492</v>
      </c>
      <c r="C32" s="628"/>
      <c r="D32" s="4247">
        <f>IFERROR(Summary1!D32*28,Summary1!D32)</f>
        <v>55979.31220941303</v>
      </c>
      <c r="E32" s="628"/>
      <c r="F32" s="628"/>
      <c r="G32" s="628"/>
      <c r="H32" s="628"/>
      <c r="I32" s="69"/>
      <c r="J32" s="69"/>
      <c r="K32" s="4291">
        <f t="shared" si="0"/>
        <v>55979.31220941303</v>
      </c>
      <c r="L32" s="19"/>
    </row>
    <row r="33" spans="2:12" ht="18" customHeight="1" x14ac:dyDescent="0.2">
      <c r="B33" s="620" t="s">
        <v>1493</v>
      </c>
      <c r="C33" s="628"/>
      <c r="D33" s="4247">
        <f>IFERROR(Summary1!D33*28,Summary1!D33)</f>
        <v>6669.6038701505504</v>
      </c>
      <c r="E33" s="4247">
        <f>IFERROR(Summary1!E33*265,Summary1!E33)</f>
        <v>498.23616350897896</v>
      </c>
      <c r="F33" s="628"/>
      <c r="G33" s="628"/>
      <c r="H33" s="628"/>
      <c r="I33" s="69"/>
      <c r="J33" s="69"/>
      <c r="K33" s="4291">
        <f t="shared" si="0"/>
        <v>7167.8400336595296</v>
      </c>
      <c r="L33" s="19"/>
    </row>
    <row r="34" spans="2:12" ht="18" customHeight="1" x14ac:dyDescent="0.2">
      <c r="B34" s="620" t="s">
        <v>1494</v>
      </c>
      <c r="C34" s="628"/>
      <c r="D34" s="4247">
        <f>IFERROR(Summary1!D34*28,Summary1!D34)</f>
        <v>123.61396064038937</v>
      </c>
      <c r="E34" s="628"/>
      <c r="F34" s="628"/>
      <c r="G34" s="628"/>
      <c r="H34" s="628"/>
      <c r="I34" s="69"/>
      <c r="J34" s="69"/>
      <c r="K34" s="4291">
        <f t="shared" si="0"/>
        <v>123.61396064038937</v>
      </c>
      <c r="L34" s="19"/>
    </row>
    <row r="35" spans="2:12" ht="18" customHeight="1" x14ac:dyDescent="0.2">
      <c r="B35" s="620" t="s">
        <v>1495</v>
      </c>
      <c r="C35" s="4294"/>
      <c r="D35" s="4247" t="str">
        <f>IFERROR(Summary1!D35*28,Summary1!D35)</f>
        <v>NE</v>
      </c>
      <c r="E35" s="4247">
        <f>IFERROR(Summary1!E35*265,Summary1!E35)</f>
        <v>11633.18933443585</v>
      </c>
      <c r="F35" s="628"/>
      <c r="G35" s="628"/>
      <c r="H35" s="628"/>
      <c r="I35" s="69"/>
      <c r="J35" s="69"/>
      <c r="K35" s="4291">
        <f t="shared" si="0"/>
        <v>11633.18933443585</v>
      </c>
      <c r="L35" s="19"/>
    </row>
    <row r="36" spans="2:12" ht="18" customHeight="1" x14ac:dyDescent="0.2">
      <c r="B36" s="620" t="s">
        <v>1496</v>
      </c>
      <c r="C36" s="628"/>
      <c r="D36" s="4247" t="str">
        <f>IFERROR(Summary1!D36*28,Summary1!D36)</f>
        <v>NA</v>
      </c>
      <c r="E36" s="4247" t="str">
        <f>IFERROR(Summary1!E36*265,Summary1!E36)</f>
        <v>NA</v>
      </c>
      <c r="F36" s="628"/>
      <c r="G36" s="628"/>
      <c r="H36" s="628"/>
      <c r="I36" s="69"/>
      <c r="J36" s="69"/>
      <c r="K36" s="4291" t="str">
        <f>IF(SUM(C36:J36)=0,D36,SUM(C36:J36))</f>
        <v>NA</v>
      </c>
      <c r="L36" s="19"/>
    </row>
    <row r="37" spans="2:12" ht="18" customHeight="1" x14ac:dyDescent="0.2">
      <c r="B37" s="620" t="s">
        <v>1497</v>
      </c>
      <c r="C37" s="628"/>
      <c r="D37" s="4247">
        <f>IFERROR(Summary1!D37*28,Summary1!D37)</f>
        <v>215.64765262613889</v>
      </c>
      <c r="E37" s="4247">
        <f>IFERROR(Summary1!E37*265,Summary1!E37)</f>
        <v>84.554252430559842</v>
      </c>
      <c r="F37" s="628"/>
      <c r="G37" s="628"/>
      <c r="H37" s="628"/>
      <c r="I37" s="69"/>
      <c r="J37" s="69"/>
      <c r="K37" s="4291">
        <f t="shared" si="0"/>
        <v>300.20190505669871</v>
      </c>
      <c r="L37" s="19"/>
    </row>
    <row r="38" spans="2:12" ht="18" customHeight="1" x14ac:dyDescent="0.2">
      <c r="B38" s="620" t="s">
        <v>721</v>
      </c>
      <c r="C38" s="1924">
        <f>Summary1!C38</f>
        <v>1153.3920301118246</v>
      </c>
      <c r="D38" s="4295"/>
      <c r="E38" s="4295"/>
      <c r="F38" s="628"/>
      <c r="G38" s="628"/>
      <c r="H38" s="628"/>
      <c r="I38" s="69"/>
      <c r="J38" s="69"/>
      <c r="K38" s="4291">
        <f t="shared" si="0"/>
        <v>1153.3920301118246</v>
      </c>
      <c r="L38" s="19"/>
    </row>
    <row r="39" spans="2:12" ht="18" customHeight="1" x14ac:dyDescent="0.2">
      <c r="B39" s="620" t="s">
        <v>722</v>
      </c>
      <c r="C39" s="1924">
        <f>Summary1!C39</f>
        <v>1509.858276147467</v>
      </c>
      <c r="D39" s="4295"/>
      <c r="E39" s="4295"/>
      <c r="F39" s="628"/>
      <c r="G39" s="628"/>
      <c r="H39" s="628"/>
      <c r="I39" s="69"/>
      <c r="J39" s="69"/>
      <c r="K39" s="4291">
        <f t="shared" si="0"/>
        <v>1509.858276147467</v>
      </c>
      <c r="L39" s="19"/>
    </row>
    <row r="40" spans="2:12" ht="18" customHeight="1" x14ac:dyDescent="0.2">
      <c r="B40" s="620" t="s">
        <v>723</v>
      </c>
      <c r="C40" s="1924" t="str">
        <f>Summary1!C40</f>
        <v>NE</v>
      </c>
      <c r="D40" s="4295"/>
      <c r="E40" s="4295"/>
      <c r="F40" s="628"/>
      <c r="G40" s="628"/>
      <c r="H40" s="628"/>
      <c r="I40" s="69"/>
      <c r="J40" s="69"/>
      <c r="K40" s="4291" t="str">
        <f>IF(SUM(C40:J40)=0,C40,SUM(C40:J40))</f>
        <v>NE</v>
      </c>
      <c r="L40" s="19"/>
    </row>
    <row r="41" spans="2:12" ht="18" customHeight="1" thickBot="1" x14ac:dyDescent="0.25">
      <c r="B41" s="1552" t="s">
        <v>1499</v>
      </c>
      <c r="C41" s="1926" t="str">
        <f>Summary1!C41</f>
        <v>NO</v>
      </c>
      <c r="D41" s="1926" t="str">
        <f>IFERROR(Summary1!D41*28,Summary1!D41)</f>
        <v>NO</v>
      </c>
      <c r="E41" s="1926" t="str">
        <f>IFERROR(Summary1!E41*265,Summary1!E41)</f>
        <v>NO</v>
      </c>
      <c r="F41" s="1923"/>
      <c r="G41" s="1923"/>
      <c r="H41" s="1923"/>
      <c r="I41" s="87"/>
      <c r="J41" s="87"/>
      <c r="K41" s="4292" t="str">
        <f t="shared" si="0"/>
        <v>NO</v>
      </c>
      <c r="L41" s="19"/>
    </row>
    <row r="42" spans="2:12" ht="18" customHeight="1" x14ac:dyDescent="0.2">
      <c r="B42" s="1550" t="s">
        <v>1524</v>
      </c>
      <c r="C42" s="1927">
        <f>Summary1!C42</f>
        <v>-60914.133383424669</v>
      </c>
      <c r="D42" s="1927">
        <f>IFERROR(Summary1!D42*28,Summary1!D42)</f>
        <v>17188.067469372687</v>
      </c>
      <c r="E42" s="1927">
        <f>IFERROR(Summary1!E42*265,Summary1!E42)</f>
        <v>3854.2436782343793</v>
      </c>
      <c r="F42" s="1929"/>
      <c r="G42" s="1929"/>
      <c r="H42" s="1929"/>
      <c r="I42" s="4215"/>
      <c r="J42" s="627"/>
      <c r="K42" s="4290">
        <f t="shared" si="0"/>
        <v>-39871.822235817606</v>
      </c>
      <c r="L42" s="19"/>
    </row>
    <row r="43" spans="2:12" ht="18" customHeight="1" x14ac:dyDescent="0.2">
      <c r="B43" s="620" t="s">
        <v>981</v>
      </c>
      <c r="C43" s="1924">
        <f>Summary1!C43</f>
        <v>-86149.359368465462</v>
      </c>
      <c r="D43" s="1924">
        <f>IFERROR(Summary1!D43*28,Summary1!D43)</f>
        <v>7714.7520519106438</v>
      </c>
      <c r="E43" s="1924">
        <f>IFERROR(Summary1!E43*265,Summary1!E43)</f>
        <v>1366.0594064699278</v>
      </c>
      <c r="F43" s="1931"/>
      <c r="G43" s="1931"/>
      <c r="H43" s="1931"/>
      <c r="I43" s="3352"/>
      <c r="J43" s="69"/>
      <c r="K43" s="4291">
        <f t="shared" si="0"/>
        <v>-77068.54791008489</v>
      </c>
      <c r="L43" s="19"/>
    </row>
    <row r="44" spans="2:12" ht="18" customHeight="1" x14ac:dyDescent="0.2">
      <c r="B44" s="620" t="s">
        <v>984</v>
      </c>
      <c r="C44" s="1924">
        <f>Summary1!C44</f>
        <v>-2959.6375306847522</v>
      </c>
      <c r="D44" s="1924">
        <f>IFERROR(Summary1!D44*28,Summary1!D44)</f>
        <v>45.129974400000009</v>
      </c>
      <c r="E44" s="1924">
        <f>IFERROR(Summary1!E44*265,Summary1!E44)</f>
        <v>40.482588461354126</v>
      </c>
      <c r="F44" s="1931"/>
      <c r="G44" s="1931"/>
      <c r="H44" s="1931"/>
      <c r="I44" s="3352"/>
      <c r="J44" s="69"/>
      <c r="K44" s="4291">
        <f t="shared" si="0"/>
        <v>-2874.0249678233981</v>
      </c>
      <c r="L44" s="19"/>
    </row>
    <row r="45" spans="2:12" ht="18" customHeight="1" x14ac:dyDescent="0.2">
      <c r="B45" s="620" t="s">
        <v>987</v>
      </c>
      <c r="C45" s="1924">
        <f>Summary1!C45</f>
        <v>28461.148450275516</v>
      </c>
      <c r="D45" s="1924">
        <f>IFERROR(Summary1!D45*28,Summary1!D45)</f>
        <v>6990.9563138789463</v>
      </c>
      <c r="E45" s="1924">
        <f>IFERROR(Summary1!E45*265,Summary1!E45)</f>
        <v>2298.8813331195993</v>
      </c>
      <c r="F45" s="1931"/>
      <c r="G45" s="1931"/>
      <c r="H45" s="1931"/>
      <c r="I45" s="3352"/>
      <c r="J45" s="69"/>
      <c r="K45" s="4291">
        <f t="shared" si="0"/>
        <v>37750.986097274064</v>
      </c>
      <c r="L45" s="19"/>
    </row>
    <row r="46" spans="2:12" ht="18" customHeight="1" x14ac:dyDescent="0.2">
      <c r="B46" s="620" t="s">
        <v>1525</v>
      </c>
      <c r="C46" s="1924">
        <f>Summary1!C46</f>
        <v>-261.86533523588122</v>
      </c>
      <c r="D46" s="1924">
        <f>IFERROR(Summary1!D46*28,Summary1!D46)</f>
        <v>2395.2275835830937</v>
      </c>
      <c r="E46" s="1924">
        <f>IFERROR(Summary1!E46*265,Summary1!E46)</f>
        <v>83.242376361630647</v>
      </c>
      <c r="F46" s="1931"/>
      <c r="G46" s="1931"/>
      <c r="H46" s="1931"/>
      <c r="I46" s="3352"/>
      <c r="J46" s="69"/>
      <c r="K46" s="4291">
        <f t="shared" si="0"/>
        <v>2216.6046247088434</v>
      </c>
      <c r="L46" s="19"/>
    </row>
    <row r="47" spans="2:12" ht="18" customHeight="1" x14ac:dyDescent="0.2">
      <c r="B47" s="620" t="s">
        <v>1526</v>
      </c>
      <c r="C47" s="1924">
        <f>Summary1!C47</f>
        <v>4409.4994612760966</v>
      </c>
      <c r="D47" s="1924">
        <f>IFERROR(Summary1!D47*28,Summary1!D47)</f>
        <v>42.001545599999993</v>
      </c>
      <c r="E47" s="1924">
        <f>IFERROR(Summary1!E47*265,Summary1!E47)</f>
        <v>13.932446362831779</v>
      </c>
      <c r="F47" s="1931"/>
      <c r="G47" s="1931"/>
      <c r="H47" s="1931"/>
      <c r="I47" s="3352"/>
      <c r="J47" s="69"/>
      <c r="K47" s="4291">
        <f t="shared" si="0"/>
        <v>4465.4334532389285</v>
      </c>
      <c r="L47" s="19"/>
    </row>
    <row r="48" spans="2:12" ht="18" customHeight="1" x14ac:dyDescent="0.2">
      <c r="B48" s="620" t="s">
        <v>1527</v>
      </c>
      <c r="C48" s="1924" t="str">
        <f>Summary1!C48</f>
        <v>NO</v>
      </c>
      <c r="D48" s="1924" t="str">
        <f>IFERROR(Summary1!D48*28,Summary1!D48)</f>
        <v>NO</v>
      </c>
      <c r="E48" s="1924" t="str">
        <f>IFERROR(Summary1!E48*265,Summary1!E48)</f>
        <v>NO</v>
      </c>
      <c r="F48" s="1931"/>
      <c r="G48" s="1931"/>
      <c r="H48" s="1931"/>
      <c r="I48" s="3352"/>
      <c r="J48" s="69"/>
      <c r="K48" s="4291" t="str">
        <f t="shared" si="0"/>
        <v>NO</v>
      </c>
      <c r="L48" s="19"/>
    </row>
    <row r="49" spans="2:12" ht="18" customHeight="1" x14ac:dyDescent="0.2">
      <c r="B49" s="620" t="s">
        <v>1528</v>
      </c>
      <c r="C49" s="1924">
        <f>Summary1!C49</f>
        <v>-4413.9190605901867</v>
      </c>
      <c r="D49" s="3835"/>
      <c r="E49" s="3835"/>
      <c r="F49" s="1931"/>
      <c r="G49" s="1931"/>
      <c r="H49" s="1931"/>
      <c r="I49" s="3352"/>
      <c r="J49" s="69"/>
      <c r="K49" s="4291">
        <f t="shared" si="0"/>
        <v>-4413.9190605901867</v>
      </c>
      <c r="L49" s="19"/>
    </row>
    <row r="50" spans="2:12" ht="18" customHeight="1" thickBot="1" x14ac:dyDescent="0.25">
      <c r="B50" s="1552" t="s">
        <v>1529</v>
      </c>
      <c r="C50" s="1926" t="str">
        <f>Summary1!C50</f>
        <v>NO</v>
      </c>
      <c r="D50" s="1926" t="str">
        <f>IFERROR(Summary1!D50*28,Summary1!D50)</f>
        <v>NO</v>
      </c>
      <c r="E50" s="1926">
        <f>IFERROR(Summary1!E50*265,Summary1!E50)</f>
        <v>51.645527459035712</v>
      </c>
      <c r="F50" s="3024"/>
      <c r="G50" s="3024"/>
      <c r="H50" s="3024"/>
      <c r="I50" s="3828"/>
      <c r="J50" s="87"/>
      <c r="K50" s="4292">
        <f t="shared" si="0"/>
        <v>51.645527459035712</v>
      </c>
      <c r="L50" s="19"/>
    </row>
    <row r="51" spans="2:12" ht="18" customHeight="1" x14ac:dyDescent="0.2">
      <c r="B51" s="1550" t="s">
        <v>1500</v>
      </c>
      <c r="C51" s="1927">
        <f>Summary1!C51</f>
        <v>31.331062638344687</v>
      </c>
      <c r="D51" s="1927">
        <f>IFERROR(Summary1!D51*28,Summary1!D51)</f>
        <v>12690.974487738671</v>
      </c>
      <c r="E51" s="1927">
        <f>IFERROR(Summary1!E51*265,Summary1!E51)</f>
        <v>361.29732898150644</v>
      </c>
      <c r="F51" s="1929"/>
      <c r="G51" s="1929"/>
      <c r="H51" s="1929"/>
      <c r="I51" s="4215"/>
      <c r="J51" s="627"/>
      <c r="K51" s="4290">
        <f t="shared" si="0"/>
        <v>13083.602879358523</v>
      </c>
      <c r="L51" s="19"/>
    </row>
    <row r="52" spans="2:12" ht="18" customHeight="1" x14ac:dyDescent="0.2">
      <c r="B52" s="620" t="s">
        <v>1530</v>
      </c>
      <c r="C52" s="628"/>
      <c r="D52" s="1924">
        <f>IFERROR(Summary1!D52*28,Summary1!D52)</f>
        <v>9880.7231065200012</v>
      </c>
      <c r="E52" s="1931"/>
      <c r="F52" s="628"/>
      <c r="G52" s="628"/>
      <c r="H52" s="628"/>
      <c r="I52" s="69"/>
      <c r="J52" s="69"/>
      <c r="K52" s="4291">
        <f t="shared" si="0"/>
        <v>9880.7231065200012</v>
      </c>
      <c r="L52" s="19"/>
    </row>
    <row r="53" spans="2:12" ht="18" customHeight="1" x14ac:dyDescent="0.2">
      <c r="B53" s="1396" t="s">
        <v>1531</v>
      </c>
      <c r="C53" s="628"/>
      <c r="D53" s="1924">
        <f>IFERROR(Summary1!D53*28,Summary1!D53)</f>
        <v>120.89709014956233</v>
      </c>
      <c r="E53" s="1924">
        <f>IFERROR(Summary1!E53*265,Summary1!E53)</f>
        <v>146.45818920975552</v>
      </c>
      <c r="F53" s="628"/>
      <c r="G53" s="628"/>
      <c r="H53" s="628"/>
      <c r="I53" s="69"/>
      <c r="J53" s="69"/>
      <c r="K53" s="4291">
        <f t="shared" si="0"/>
        <v>267.35527935931782</v>
      </c>
      <c r="L53" s="19"/>
    </row>
    <row r="54" spans="2:12" ht="18" customHeight="1" x14ac:dyDescent="0.2">
      <c r="B54" s="1397" t="s">
        <v>1532</v>
      </c>
      <c r="C54" s="1924">
        <f>Summary1!C54</f>
        <v>31.331062638344687</v>
      </c>
      <c r="D54" s="1924" t="str">
        <f>IFERROR(Summary1!D54*28,Summary1!D54)</f>
        <v>NO,NE</v>
      </c>
      <c r="E54" s="1924" t="str">
        <f>IFERROR(Summary1!E54*265,Summary1!E54)</f>
        <v>NO,NE</v>
      </c>
      <c r="F54" s="628"/>
      <c r="G54" s="628"/>
      <c r="H54" s="628"/>
      <c r="I54" s="69"/>
      <c r="J54" s="69"/>
      <c r="K54" s="4291">
        <f t="shared" si="0"/>
        <v>31.331062638344687</v>
      </c>
      <c r="L54" s="19"/>
    </row>
    <row r="55" spans="2:12" ht="18" customHeight="1" x14ac:dyDescent="0.2">
      <c r="B55" s="620" t="s">
        <v>1533</v>
      </c>
      <c r="C55" s="628"/>
      <c r="D55" s="1924">
        <f>IFERROR(Summary1!D55*28,Summary1!D55)</f>
        <v>2689.3542910691085</v>
      </c>
      <c r="E55" s="1924">
        <f>IFERROR(Summary1!E55*265,Summary1!E55)</f>
        <v>214.83913977175092</v>
      </c>
      <c r="F55" s="628"/>
      <c r="G55" s="628"/>
      <c r="H55" s="628"/>
      <c r="I55" s="69"/>
      <c r="J55" s="69"/>
      <c r="K55" s="4291">
        <f t="shared" si="0"/>
        <v>2904.1934308408595</v>
      </c>
      <c r="L55" s="19"/>
    </row>
    <row r="56" spans="2:12" ht="18" customHeight="1" thickBot="1" x14ac:dyDescent="0.25">
      <c r="B56" s="1552" t="s">
        <v>1534</v>
      </c>
      <c r="C56" s="4266" t="str">
        <f>Summary1!C56</f>
        <v>NE</v>
      </c>
      <c r="D56" s="4266" t="str">
        <f>IFERROR(Summary1!D56*28,Summary1!D56)</f>
        <v>NE</v>
      </c>
      <c r="E56" s="4266" t="str">
        <f>IFERROR(Summary1!E56*265,Summary1!E56)</f>
        <v>NE</v>
      </c>
      <c r="F56" s="1923"/>
      <c r="G56" s="1923"/>
      <c r="H56" s="1923"/>
      <c r="I56" s="87"/>
      <c r="J56" s="87"/>
      <c r="K56" s="4292" t="str">
        <f>IF(SUM(C56:J56)=0,"NE",SUM(C56:J56))</f>
        <v>NE</v>
      </c>
      <c r="L56" s="19"/>
    </row>
    <row r="57" spans="2:12" ht="18" customHeight="1" thickBot="1" x14ac:dyDescent="0.25">
      <c r="B57" s="1391" t="s">
        <v>2069</v>
      </c>
      <c r="C57" s="4296" t="str">
        <f>Summary1!C57</f>
        <v>NO</v>
      </c>
      <c r="D57" s="4296" t="str">
        <f>IFERROR(Summary1!D57*28,Summary1!D57)</f>
        <v>NO</v>
      </c>
      <c r="E57" s="4296"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7"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30"/>
      <c r="D59" s="2522"/>
      <c r="E59" s="2522"/>
      <c r="F59" s="2522"/>
      <c r="G59" s="2522"/>
      <c r="H59" s="2522"/>
      <c r="I59" s="2523"/>
      <c r="J59" s="2524"/>
      <c r="K59" s="629"/>
    </row>
    <row r="60" spans="2:12" ht="18" customHeight="1" x14ac:dyDescent="0.2">
      <c r="B60" s="1385" t="s">
        <v>110</v>
      </c>
      <c r="C60" s="4219">
        <f>Summary1!C61</f>
        <v>15011.326463288071</v>
      </c>
      <c r="D60" s="4219">
        <f>IFERROR(Summary1!D61*28,Summary1!D61)</f>
        <v>7.1696424398201879</v>
      </c>
      <c r="E60" s="4219">
        <f>IFERROR(Summary1!E61*265,Summary1!E61)</f>
        <v>33.969545016435134</v>
      </c>
      <c r="F60" s="1931"/>
      <c r="G60" s="1931"/>
      <c r="H60" s="1932"/>
      <c r="I60" s="630"/>
      <c r="J60" s="630"/>
      <c r="K60" s="4220">
        <f t="shared" ref="K60:K66" si="2">IF(SUM(C60:J60)=0,"NO",SUM(C60:J60))</f>
        <v>15052.465650744325</v>
      </c>
    </row>
    <row r="61" spans="2:12" ht="18" customHeight="1" x14ac:dyDescent="0.2">
      <c r="B61" s="1386" t="s">
        <v>111</v>
      </c>
      <c r="C61" s="4219">
        <f>Summary1!C62</f>
        <v>12627.611555322994</v>
      </c>
      <c r="D61" s="4219">
        <f>IFERROR(Summary1!D62*28,Summary1!D62)</f>
        <v>0.80088123684210544</v>
      </c>
      <c r="E61" s="4219">
        <f>IFERROR(Summary1!E62*265,Summary1!E62)</f>
        <v>16.747894824708691</v>
      </c>
      <c r="F61" s="628"/>
      <c r="G61" s="628"/>
      <c r="H61" s="628"/>
      <c r="I61" s="631"/>
      <c r="J61" s="631"/>
      <c r="K61" s="4234">
        <f t="shared" si="2"/>
        <v>12645.160331384544</v>
      </c>
    </row>
    <row r="62" spans="2:12" ht="18" customHeight="1" x14ac:dyDescent="0.2">
      <c r="B62" s="1387" t="s">
        <v>1503</v>
      </c>
      <c r="C62" s="4219">
        <f>Summary1!C63</f>
        <v>2383.7149079650771</v>
      </c>
      <c r="D62" s="4219">
        <f>IFERROR(Summary1!D63*28,Summary1!D63)</f>
        <v>6.3687612029780816</v>
      </c>
      <c r="E62" s="4219">
        <f>IFERROR(Summary1!E63*265,Summary1!E63)</f>
        <v>17.221650191726443</v>
      </c>
      <c r="F62" s="628"/>
      <c r="G62" s="628"/>
      <c r="H62" s="628"/>
      <c r="I62" s="632"/>
      <c r="J62" s="632"/>
      <c r="K62" s="4220">
        <f t="shared" si="2"/>
        <v>2407.3053193597816</v>
      </c>
    </row>
    <row r="63" spans="2:12" ht="18" customHeight="1" x14ac:dyDescent="0.2">
      <c r="B63" s="1388" t="s">
        <v>113</v>
      </c>
      <c r="C63" s="3820" t="str">
        <f>Summary1!C64</f>
        <v>NE</v>
      </c>
      <c r="D63" s="3820" t="str">
        <f>IFERROR(Summary1!D64*28,Summary1!D64)</f>
        <v>NE</v>
      </c>
      <c r="E63" s="3820" t="str">
        <f>IFERROR(Summary1!E64*265,Summary1!E64)</f>
        <v>NE</v>
      </c>
      <c r="F63" s="1931"/>
      <c r="G63" s="1931"/>
      <c r="H63" s="1932"/>
      <c r="I63" s="4298"/>
      <c r="J63" s="4298"/>
      <c r="K63" s="4299" t="str">
        <f>IF(SUM(C63:J63)=0,C63,SUM(C63:J63))</f>
        <v>NE</v>
      </c>
    </row>
    <row r="64" spans="2:12" ht="18" customHeight="1" x14ac:dyDescent="0.2">
      <c r="B64" s="1385" t="s">
        <v>114</v>
      </c>
      <c r="C64" s="3820">
        <f>Summary1!C65</f>
        <v>19096.838530978872</v>
      </c>
      <c r="D64" s="1931"/>
      <c r="E64" s="1931"/>
      <c r="F64" s="1931"/>
      <c r="G64" s="1931"/>
      <c r="H64" s="1931"/>
      <c r="I64" s="3352"/>
      <c r="J64" s="3352"/>
      <c r="K64" s="3821">
        <f t="shared" si="2"/>
        <v>19096.838530978872</v>
      </c>
    </row>
    <row r="65" spans="2:14" ht="18" customHeight="1" x14ac:dyDescent="0.2">
      <c r="B65" s="1389" t="s">
        <v>1504</v>
      </c>
      <c r="C65" s="3820" t="str">
        <f>Summary1!C66</f>
        <v>NO</v>
      </c>
      <c r="D65" s="1931"/>
      <c r="E65" s="1931"/>
      <c r="F65" s="1931"/>
      <c r="G65" s="1931"/>
      <c r="H65" s="1931"/>
      <c r="I65" s="3352"/>
      <c r="J65" s="3352"/>
      <c r="K65" s="3821" t="str">
        <f t="shared" si="2"/>
        <v>NO</v>
      </c>
    </row>
    <row r="66" spans="2:14" ht="18" customHeight="1" x14ac:dyDescent="0.2">
      <c r="B66" s="1390" t="s">
        <v>1505</v>
      </c>
      <c r="C66" s="4300">
        <f>Summary1!C67</f>
        <v>-303716.67515599198</v>
      </c>
      <c r="D66" s="4301"/>
      <c r="E66" s="4301"/>
      <c r="F66" s="4301"/>
      <c r="G66" s="4301"/>
      <c r="H66" s="4301"/>
      <c r="I66" s="3824"/>
      <c r="J66" s="3824"/>
      <c r="K66" s="4302">
        <f t="shared" si="2"/>
        <v>-303716.67515599198</v>
      </c>
    </row>
    <row r="67" spans="2:14" ht="18" customHeight="1" thickBot="1" x14ac:dyDescent="0.3">
      <c r="B67" s="633" t="s">
        <v>1536</v>
      </c>
      <c r="C67" s="4304"/>
      <c r="D67" s="4304"/>
      <c r="E67" s="4305" t="str">
        <f>IFERROR(Summary1!E68*265,Summary1!E68)</f>
        <v>IE,NE,NO</v>
      </c>
      <c r="F67" s="4304"/>
      <c r="G67" s="4304"/>
      <c r="H67" s="4304"/>
      <c r="I67" s="4304"/>
      <c r="J67" s="4304"/>
      <c r="K67" s="3836" t="str">
        <f>IF(SUM(C67:J67)=0,E67,SUM(C67:J67))</f>
        <v>IE,NE,NO</v>
      </c>
    </row>
    <row r="68" spans="2:14" ht="18" customHeight="1" thickBot="1" x14ac:dyDescent="0.25">
      <c r="B68" s="622"/>
      <c r="C68" s="4306"/>
      <c r="D68" s="4306"/>
      <c r="E68" s="4306"/>
      <c r="F68" s="4306"/>
      <c r="G68" s="4306"/>
      <c r="H68" s="4306"/>
      <c r="I68" s="4306"/>
      <c r="J68" s="4306"/>
      <c r="K68" s="4306"/>
    </row>
    <row r="69" spans="2:14" ht="18" customHeight="1" thickBot="1" x14ac:dyDescent="0.25">
      <c r="B69" s="769" t="s">
        <v>1537</v>
      </c>
      <c r="C69" s="4307" t="str">
        <f>Summary1!C70</f>
        <v>NE,NO</v>
      </c>
      <c r="D69" s="4308"/>
      <c r="E69" s="4308"/>
      <c r="F69" s="4308"/>
      <c r="G69" s="4308"/>
      <c r="H69" s="4308"/>
      <c r="I69" s="4308"/>
      <c r="J69" s="4308"/>
      <c r="K69" s="3837" t="str">
        <f>IF(SUM(C69:J69)=0,C69,SUM(C69:J69))</f>
        <v>NE,NO</v>
      </c>
    </row>
    <row r="70" spans="2:14" s="634" customFormat="1" ht="18" customHeight="1" thickBot="1" x14ac:dyDescent="0.25">
      <c r="C70" s="4309"/>
      <c r="D70" s="4309"/>
      <c r="E70" s="4309"/>
      <c r="F70" s="4309"/>
      <c r="G70" s="4309"/>
      <c r="H70" s="4309"/>
      <c r="I70" s="4309"/>
      <c r="J70" s="4309"/>
      <c r="K70" s="4309"/>
    </row>
    <row r="71" spans="2:14" s="634" customFormat="1" ht="18" customHeight="1" x14ac:dyDescent="0.25">
      <c r="B71" s="636"/>
      <c r="C71" s="963"/>
      <c r="D71" s="963"/>
      <c r="E71" s="963"/>
      <c r="F71" s="963"/>
      <c r="G71" s="963"/>
      <c r="H71" s="963"/>
      <c r="I71" s="963"/>
      <c r="J71" s="2552" t="s">
        <v>2121</v>
      </c>
      <c r="K71" s="4217">
        <f>K10-K42</f>
        <v>552354.82909419993</v>
      </c>
      <c r="N71" s="1126"/>
    </row>
    <row r="72" spans="2:14" s="634" customFormat="1" ht="18" customHeight="1" x14ac:dyDescent="0.25">
      <c r="B72" s="637"/>
      <c r="C72" s="638"/>
      <c r="D72" s="638"/>
      <c r="E72" s="638"/>
      <c r="F72" s="638"/>
      <c r="G72" s="638"/>
      <c r="H72" s="638"/>
      <c r="I72" s="638"/>
      <c r="J72" s="2553" t="s">
        <v>2122</v>
      </c>
      <c r="K72" s="3821">
        <f>K10</f>
        <v>512483.00685838232</v>
      </c>
      <c r="N72" s="1126"/>
    </row>
    <row r="73" spans="2:14" s="634" customFormat="1" ht="18" customHeight="1" x14ac:dyDescent="0.2">
      <c r="B73" s="637"/>
      <c r="C73" s="638"/>
      <c r="D73" s="638"/>
      <c r="E73" s="638"/>
      <c r="F73" s="638"/>
      <c r="G73" s="638"/>
      <c r="H73" s="638"/>
      <c r="I73" s="638"/>
      <c r="J73" s="2553" t="s">
        <v>2123</v>
      </c>
      <c r="K73" s="3821" t="s">
        <v>2147</v>
      </c>
    </row>
    <row r="74" spans="2:14" s="634" customFormat="1" ht="18" customHeight="1" thickBot="1" x14ac:dyDescent="0.25">
      <c r="B74" s="639"/>
      <c r="C74" s="640"/>
      <c r="D74" s="640"/>
      <c r="E74" s="640"/>
      <c r="F74" s="640"/>
      <c r="G74" s="640"/>
      <c r="H74" s="640"/>
      <c r="I74" s="640"/>
      <c r="J74" s="2554" t="s">
        <v>2124</v>
      </c>
      <c r="K74" s="4303"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9"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7"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769872.53116785362</v>
      </c>
      <c r="D10" s="3076" t="s">
        <v>1814</v>
      </c>
      <c r="E10" s="628"/>
      <c r="F10" s="628"/>
      <c r="G10" s="628"/>
      <c r="H10" s="1913">
        <f>IF(SUM(H11:H15)=0,"NO",SUM(H11:H15))</f>
        <v>40998.826293984232</v>
      </c>
      <c r="I10" s="1913">
        <f t="shared" ref="I10:K10" si="0">IF(SUM(I11:I16)=0,"NO",SUM(I11:I16))</f>
        <v>2.4401913306976422</v>
      </c>
      <c r="J10" s="1847">
        <f t="shared" si="0"/>
        <v>1.4733786885629305</v>
      </c>
      <c r="K10" s="3065" t="str">
        <f t="shared" si="0"/>
        <v>NO</v>
      </c>
    </row>
    <row r="11" spans="2:11" ht="18" customHeight="1" x14ac:dyDescent="0.2">
      <c r="B11" s="282" t="s">
        <v>132</v>
      </c>
      <c r="C11" s="1913">
        <f>IF(SUM(C18,C25,C32,C39,C46,C53,C62,C69,C76,C83,C90,C97,C114,C104:C107)=0,"NO",SUM(C18,C25,C32,C39,C46,C53,C62,C69,C76,C83,C90,C97,C114,C104:C107))</f>
        <v>214570.63107623524</v>
      </c>
      <c r="D11" s="3077" t="s">
        <v>1814</v>
      </c>
      <c r="E11" s="1913">
        <f>IFERROR(H11*1000/$C11,"NA")</f>
        <v>68.936721394345241</v>
      </c>
      <c r="F11" s="1913">
        <f t="shared" ref="F11:G16" si="1">IFERROR(I11*1000000/$C11,"NA")</f>
        <v>4.4850498309782463</v>
      </c>
      <c r="G11" s="1913">
        <f t="shared" si="1"/>
        <v>2.533158501149412</v>
      </c>
      <c r="H11" s="1913">
        <f>IF(SUM(H18,H25,H32,H39,H46,H53,H62,H69,H76,H83,H90,H97,H114,H104:H107)=0,"NO",SUM(H18,H25,H32,H39,H46,H53,H62,H69,H76,H83,H90,H97,H114,H104:H107))</f>
        <v>14791.795813911267</v>
      </c>
      <c r="I11" s="1913">
        <f>IF(SUM(I18,I25,I32,I39,I46,I53,I62,I69,I76,I83,I90,I97,I114,I104:I107)=0,"NO",SUM(I18,I25,I32,I39,I46,I53,I62,I69,I76,I83,I90,I97,I114,I104:I107))</f>
        <v>0.96235997264136453</v>
      </c>
      <c r="J11" s="1913">
        <f>IF(SUM(J18,J25,J32,J39,J46,J53,J62,J69,J76,J83,J90,J97,J114,J104:J107)=0,"NO",SUM(J18,J25,J32,J39,J46,J53,J62,J69,J76,J83,J90,J97,J114,J104:J107))</f>
        <v>0.54354141820775947</v>
      </c>
      <c r="K11" s="3065"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119011.44444752966</v>
      </c>
      <c r="D12" s="3077" t="s">
        <v>1814</v>
      </c>
      <c r="E12" s="1913">
        <f t="shared" ref="E12:E16" si="2">IFERROR(H12*1000/$C12,"NA")</f>
        <v>82.123299565325496</v>
      </c>
      <c r="F12" s="1913">
        <f t="shared" si="1"/>
        <v>0.94812967567433737</v>
      </c>
      <c r="G12" s="1913">
        <f t="shared" si="1"/>
        <v>0.69762579345729137</v>
      </c>
      <c r="H12" s="1913">
        <f>IF(SUM(H19,H26,H33,H40,H47,H54,H63,H70,H77,H84,H91,H98,H115)=0,"NO",SUM(H19,H26,H33,H40,H47,H54,H63,H70,H77,H84,H91,H98,H115))</f>
        <v>9773.612504066572</v>
      </c>
      <c r="I12" s="1913">
        <f>IF(SUM(I19,I26,I33,I40,I47,I54,I63,I70,I77,I84,I91,I98,I115)=0,"NO",SUM(I19,I26,I33,I40,I47,I54,I63,I70,I77,I84,I91,I98,I115))</f>
        <v>0.11283828222557071</v>
      </c>
      <c r="J12" s="1913">
        <f>IF(SUM(J19,J26,J33,J40,J47,J54,J63,J70,J77,J84,J91,J98,J115)=0,"NO",SUM(J19,J26,J33,J40,J47,J54,J63,J70,J77,J84,J91,J98,J115))</f>
        <v>8.3025453363206242E-2</v>
      </c>
      <c r="K12" s="3065"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319642.15955962311</v>
      </c>
      <c r="D13" s="3077" t="s">
        <v>1814</v>
      </c>
      <c r="E13" s="1913">
        <f t="shared" si="2"/>
        <v>51.411922628250963</v>
      </c>
      <c r="F13" s="1913">
        <f t="shared" si="1"/>
        <v>0.9718350318119171</v>
      </c>
      <c r="G13" s="1913">
        <f t="shared" si="1"/>
        <v>0.54633326768123347</v>
      </c>
      <c r="H13" s="1913">
        <f t="shared" ref="H13:K14" si="3">IF(SUM(H20,H27,H34,H41,H48,H55,H64,H71,H78,H85,H92,H99,H116,H109)=0,"NO",SUM(H20,H27,H34,H41,H48,H55,H64,H71,H78,H85,H92,H99,H116,H109))</f>
        <v>16433.417976006393</v>
      </c>
      <c r="I13" s="1913">
        <f t="shared" si="3"/>
        <v>0.31063944830405621</v>
      </c>
      <c r="J13" s="1913">
        <f t="shared" si="3"/>
        <v>0.17463114552089512</v>
      </c>
      <c r="K13" s="3065" t="str">
        <f t="shared" si="3"/>
        <v>NO</v>
      </c>
    </row>
    <row r="14" spans="2:11" ht="18" customHeight="1" x14ac:dyDescent="0.2">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116648.29608446575</v>
      </c>
      <c r="D16" s="3092" t="s">
        <v>1814</v>
      </c>
      <c r="E16" s="1913">
        <f t="shared" si="2"/>
        <v>94.223279185162099</v>
      </c>
      <c r="F16" s="1913">
        <f t="shared" si="1"/>
        <v>9.0387400666631805</v>
      </c>
      <c r="G16" s="1913">
        <f t="shared" si="1"/>
        <v>5.7624559812201595</v>
      </c>
      <c r="H16" s="1913">
        <f>IF(SUM(H23,H30,H37,H44,H51,H58,H67,H74,H81,H88,H95,H102,H119,H111)=0,"NO",SUM(H23,H30,H37,H44,H51,H58,H67,H74,H81,H88,H95,H102,H119,H111))</f>
        <v>10990.984968440067</v>
      </c>
      <c r="I16" s="1913">
        <f>IF(SUM(I23,I30,I37,I44,I51,I58,I67,I74,I81,I88,I95,I102,I119,I111)=0,"NO",SUM(I23,I30,I37,I44,I51,I58,I67,I74,I81,I88,I95,I102,I119,I111))</f>
        <v>1.0543536275266505</v>
      </c>
      <c r="J16" s="1913">
        <f>IF(SUM(J23,J30,J37,J44,J51,J58,J67,J74,J81,J88,J95,J102,J119,J111)=0,"NO",SUM(J23,J30,J37,J44,J51,J58,J67,J74,J81,J88,J95,J102,J119,J111))</f>
        <v>0.67218067147106975</v>
      </c>
      <c r="K16" s="3065" t="str">
        <f>IF(SUM(K23,K30,K37,K44,K51,K58,K67,K74,K81,K88,K95,K102,K119,K111)=0,"NO",SUM(K23,K30,K37,K44,K51,K58,K67,K74,K81,K88,K95,K102,K119,K111))</f>
        <v>NO</v>
      </c>
    </row>
    <row r="17" spans="2:11" ht="18" customHeight="1" x14ac:dyDescent="0.2">
      <c r="B17" s="1241" t="s">
        <v>151</v>
      </c>
      <c r="C17" s="1913">
        <f>IF(SUM(C18:C23)=0,"NO",SUM(C18:C23))</f>
        <v>34232.242158286332</v>
      </c>
      <c r="D17" s="3076" t="s">
        <v>1814</v>
      </c>
      <c r="E17" s="628"/>
      <c r="F17" s="628"/>
      <c r="G17" s="628"/>
      <c r="H17" s="1913">
        <f>IF(SUM(H18:H22)=0,"NO",SUM(H18:H22))</f>
        <v>1550.6263755174602</v>
      </c>
      <c r="I17" s="1913">
        <f t="shared" ref="I17:K17" si="4">IF(SUM(I18:I23)=0,"NO",SUM(I18:I23))</f>
        <v>3.4881667976735954E-2</v>
      </c>
      <c r="J17" s="1913">
        <f t="shared" si="4"/>
        <v>1.9924556250995602E-2</v>
      </c>
      <c r="K17" s="3065" t="str">
        <f t="shared" si="4"/>
        <v>NO</v>
      </c>
    </row>
    <row r="18" spans="2:11" ht="18" customHeight="1" x14ac:dyDescent="0.2">
      <c r="B18" s="282" t="s">
        <v>132</v>
      </c>
      <c r="C18" s="691">
        <v>712.90803206666681</v>
      </c>
      <c r="D18" s="3077" t="s">
        <v>1814</v>
      </c>
      <c r="E18" s="1913">
        <f>IFERROR(H18*1000/$C18,"NA")</f>
        <v>71.326392000389518</v>
      </c>
      <c r="F18" s="1913">
        <f t="shared" ref="F18:G23" si="5">IFERROR(I18*1000000/$C18,"NA")</f>
        <v>4.0352688761434576</v>
      </c>
      <c r="G18" s="1913">
        <f t="shared" si="5"/>
        <v>1.4252883764273789</v>
      </c>
      <c r="H18" s="691">
        <v>50.849157755413337</v>
      </c>
      <c r="I18" s="691">
        <v>2.8767755933513028E-3</v>
      </c>
      <c r="J18" s="691">
        <v>1.0160995315663373E-3</v>
      </c>
      <c r="K18" s="3093" t="s">
        <v>2146</v>
      </c>
    </row>
    <row r="19" spans="2:11" ht="18" customHeight="1" x14ac:dyDescent="0.2">
      <c r="B19" s="282" t="s">
        <v>133</v>
      </c>
      <c r="C19" s="691">
        <v>19390.290614484114</v>
      </c>
      <c r="D19" s="3077" t="s">
        <v>1814</v>
      </c>
      <c r="E19" s="1913">
        <f t="shared" ref="E19:E23" si="6">IFERROR(H19*1000/$C19,"NA")</f>
        <v>39.884703220852295</v>
      </c>
      <c r="F19" s="1913">
        <f t="shared" si="5"/>
        <v>0.95495499250229432</v>
      </c>
      <c r="G19" s="1913">
        <f t="shared" si="5"/>
        <v>0.56913560308860789</v>
      </c>
      <c r="H19" s="691">
        <v>773.37598652477652</v>
      </c>
      <c r="I19" s="691">
        <v>1.8516854828371988E-2</v>
      </c>
      <c r="J19" s="691">
        <v>1.1035704742937791E-2</v>
      </c>
      <c r="K19" s="3093" t="s">
        <v>2146</v>
      </c>
    </row>
    <row r="20" spans="2:11" ht="18" customHeight="1" x14ac:dyDescent="0.2">
      <c r="B20" s="282" t="s">
        <v>134</v>
      </c>
      <c r="C20" s="691">
        <v>14129.043511735556</v>
      </c>
      <c r="D20" s="3077" t="s">
        <v>1814</v>
      </c>
      <c r="E20" s="1913">
        <f t="shared" si="6"/>
        <v>51.411918339265</v>
      </c>
      <c r="F20" s="1913">
        <f t="shared" si="5"/>
        <v>0.95463203463203472</v>
      </c>
      <c r="G20" s="1913">
        <f t="shared" si="5"/>
        <v>0.55720346320346326</v>
      </c>
      <c r="H20" s="691">
        <v>726.40123123727039</v>
      </c>
      <c r="I20" s="691">
        <v>1.3488037555012662E-2</v>
      </c>
      <c r="J20" s="691">
        <v>7.8727519764914735E-3</v>
      </c>
      <c r="K20" s="3093" t="s">
        <v>2146</v>
      </c>
    </row>
    <row r="21" spans="2:11" ht="18" customHeight="1" x14ac:dyDescent="0.2">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
      <c r="B23" s="282" t="s">
        <v>137</v>
      </c>
      <c r="C23" s="691" t="s">
        <v>2146</v>
      </c>
      <c r="D23" s="3077" t="s">
        <v>1814</v>
      </c>
      <c r="E23" s="1913" t="str">
        <f t="shared" si="6"/>
        <v>NA</v>
      </c>
      <c r="F23" s="1913" t="str">
        <f t="shared" si="5"/>
        <v>NA</v>
      </c>
      <c r="G23" s="1913" t="str">
        <f t="shared" si="5"/>
        <v>NA</v>
      </c>
      <c r="H23" s="691" t="s">
        <v>2146</v>
      </c>
      <c r="I23" s="691" t="s">
        <v>2146</v>
      </c>
      <c r="J23" s="691" t="s">
        <v>2146</v>
      </c>
      <c r="K23" s="3093" t="s">
        <v>2146</v>
      </c>
    </row>
    <row r="24" spans="2:11" ht="18" customHeight="1" x14ac:dyDescent="0.2">
      <c r="B24" s="1241" t="s">
        <v>152</v>
      </c>
      <c r="C24" s="1913">
        <f>IF(SUM(C25:C30)=0,"NO",SUM(C25:C30))</f>
        <v>198508.28998014808</v>
      </c>
      <c r="D24" s="3077" t="s">
        <v>1814</v>
      </c>
      <c r="E24" s="628"/>
      <c r="F24" s="628"/>
      <c r="G24" s="628"/>
      <c r="H24" s="1913">
        <f>IF(SUM(H25:H29)=0,"NO",SUM(H25:H29))</f>
        <v>12605.300916226341</v>
      </c>
      <c r="I24" s="1913">
        <f t="shared" ref="I24:K24" si="7">IF(SUM(I25:I30)=0,"NO",SUM(I25:I30))</f>
        <v>0.21499458900480309</v>
      </c>
      <c r="J24" s="1913">
        <f t="shared" si="7"/>
        <v>0.13861297965280586</v>
      </c>
      <c r="K24" s="3065" t="str">
        <f t="shared" si="7"/>
        <v>NO</v>
      </c>
    </row>
    <row r="25" spans="2:11" ht="18" customHeight="1" x14ac:dyDescent="0.2">
      <c r="B25" s="282" t="s">
        <v>132</v>
      </c>
      <c r="C25" s="691">
        <v>10168.588168999999</v>
      </c>
      <c r="D25" s="3077" t="s">
        <v>1814</v>
      </c>
      <c r="E25" s="1913">
        <f>IFERROR(H25*1000/$C25,"NA")</f>
        <v>71.25871950995186</v>
      </c>
      <c r="F25" s="1913">
        <f t="shared" ref="F25:G30" si="8">IFERROR(I25*1000000/$C25,"NA")</f>
        <v>1.6985478942976544</v>
      </c>
      <c r="G25" s="1913">
        <f t="shared" si="8"/>
        <v>1.1675743146958095</v>
      </c>
      <c r="H25" s="691">
        <v>724.60057214698588</v>
      </c>
      <c r="I25" s="691">
        <v>1.7271834022434988E-2</v>
      </c>
      <c r="J25" s="691">
        <v>1.1872582362844089E-2</v>
      </c>
      <c r="K25" s="3093" t="s">
        <v>2146</v>
      </c>
    </row>
    <row r="26" spans="2:11" ht="18" customHeight="1" x14ac:dyDescent="0.2">
      <c r="B26" s="282" t="s">
        <v>133</v>
      </c>
      <c r="C26" s="691">
        <v>58728.275713053503</v>
      </c>
      <c r="D26" s="3077" t="s">
        <v>1814</v>
      </c>
      <c r="E26" s="1913">
        <f t="shared" ref="E26:E30" si="9">IFERROR(H26*1000/$C26,"NA")</f>
        <v>90.724371582435921</v>
      </c>
      <c r="F26" s="1913">
        <f t="shared" si="8"/>
        <v>0.95238095238095222</v>
      </c>
      <c r="G26" s="1913">
        <f t="shared" si="8"/>
        <v>0.70609523809523811</v>
      </c>
      <c r="H26" s="691">
        <v>5328.085908186813</v>
      </c>
      <c r="I26" s="691">
        <v>5.5931691155289037E-2</v>
      </c>
      <c r="J26" s="691">
        <v>4.1467755822531302E-2</v>
      </c>
      <c r="K26" s="3093" t="s">
        <v>2146</v>
      </c>
    </row>
    <row r="27" spans="2:11" ht="18" customHeight="1" x14ac:dyDescent="0.2">
      <c r="B27" s="282" t="s">
        <v>134</v>
      </c>
      <c r="C27" s="691">
        <v>127453.21800000002</v>
      </c>
      <c r="D27" s="3077" t="s">
        <v>1814</v>
      </c>
      <c r="E27" s="1913">
        <f t="shared" si="9"/>
        <v>51.411918339265</v>
      </c>
      <c r="F27" s="1913">
        <f t="shared" si="8"/>
        <v>0.95727272727272728</v>
      </c>
      <c r="G27" s="1913">
        <f t="shared" si="8"/>
        <v>0.57027272727272726</v>
      </c>
      <c r="H27" s="691">
        <v>6552.6144358925412</v>
      </c>
      <c r="I27" s="691">
        <v>0.12200748959454548</v>
      </c>
      <c r="J27" s="691">
        <v>7.2683094228545464E-2</v>
      </c>
      <c r="K27" s="3093" t="s">
        <v>2146</v>
      </c>
    </row>
    <row r="28" spans="2:11" ht="18" customHeight="1" x14ac:dyDescent="0.2">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
      <c r="B30" s="282" t="s">
        <v>137</v>
      </c>
      <c r="C30" s="691">
        <v>2158.2080980945734</v>
      </c>
      <c r="D30" s="3077" t="s">
        <v>1814</v>
      </c>
      <c r="E30" s="1913">
        <f t="shared" si="9"/>
        <v>94</v>
      </c>
      <c r="F30" s="1913">
        <f t="shared" si="8"/>
        <v>9.1666666666666679</v>
      </c>
      <c r="G30" s="1913">
        <f t="shared" si="8"/>
        <v>5.8333333333333339</v>
      </c>
      <c r="H30" s="691">
        <v>202.8715612208899</v>
      </c>
      <c r="I30" s="691">
        <v>1.9783574232533591E-2</v>
      </c>
      <c r="J30" s="691">
        <v>1.2589547238885012E-2</v>
      </c>
      <c r="K30" s="3093" t="s">
        <v>2146</v>
      </c>
    </row>
    <row r="31" spans="2:11" ht="18" customHeight="1" x14ac:dyDescent="0.2">
      <c r="B31" s="1241" t="s">
        <v>153</v>
      </c>
      <c r="C31" s="1913">
        <f>IF(SUM(C32:C37)=0,"NO",SUM(C32:C37))</f>
        <v>123123.19627856603</v>
      </c>
      <c r="D31" s="3077" t="s">
        <v>1814</v>
      </c>
      <c r="E31" s="628"/>
      <c r="F31" s="628"/>
      <c r="G31" s="628"/>
      <c r="H31" s="1913">
        <f>IF(SUM(H32:H36)=0,"NO",SUM(H32:H36))</f>
        <v>7434.4972029614146</v>
      </c>
      <c r="I31" s="1913">
        <f t="shared" ref="I31:K31" si="10">IF(SUM(I32:I37)=0,"NO",SUM(I32:I37))</f>
        <v>0.19389980608995586</v>
      </c>
      <c r="J31" s="1913">
        <f t="shared" si="10"/>
        <v>8.074721899002224E-2</v>
      </c>
      <c r="K31" s="3065" t="str">
        <f t="shared" si="10"/>
        <v>NO</v>
      </c>
    </row>
    <row r="32" spans="2:11" ht="18" customHeight="1" x14ac:dyDescent="0.2">
      <c r="B32" s="282" t="s">
        <v>132</v>
      </c>
      <c r="C32" s="691">
        <v>59891.759747908662</v>
      </c>
      <c r="D32" s="3077" t="s">
        <v>1814</v>
      </c>
      <c r="E32" s="1913">
        <f>IFERROR(H32*1000/$C32,"NA")</f>
        <v>67.878627207100749</v>
      </c>
      <c r="F32" s="1913">
        <f t="shared" ref="F32:G37" si="11">IFERROR(I32*1000000/$C32,"NA")</f>
        <v>2.163424065604743</v>
      </c>
      <c r="G32" s="1913">
        <f t="shared" si="11"/>
        <v>0.71895495969429823</v>
      </c>
      <c r="H32" s="691">
        <v>4065.3704327055348</v>
      </c>
      <c r="I32" s="691">
        <v>0.12957127437004304</v>
      </c>
      <c r="J32" s="691">
        <v>4.3059477715578262E-2</v>
      </c>
      <c r="K32" s="3093" t="s">
        <v>2146</v>
      </c>
    </row>
    <row r="33" spans="2:11" ht="18" customHeight="1" x14ac:dyDescent="0.2">
      <c r="B33" s="282" t="s">
        <v>133</v>
      </c>
      <c r="C33" s="691">
        <v>4611.9829912473733</v>
      </c>
      <c r="D33" s="3077" t="s">
        <v>1814</v>
      </c>
      <c r="E33" s="1913">
        <f t="shared" ref="E33:E37" si="12">IFERROR(H33*1000/$C33,"NA")</f>
        <v>85.043489404810217</v>
      </c>
      <c r="F33" s="1913">
        <f t="shared" si="11"/>
        <v>0.88275914521350107</v>
      </c>
      <c r="G33" s="1913">
        <f t="shared" si="11"/>
        <v>0.63840983074294622</v>
      </c>
      <c r="H33" s="691">
        <v>392.21912665131094</v>
      </c>
      <c r="I33" s="691">
        <v>4.0712701630927373E-3</v>
      </c>
      <c r="J33" s="691">
        <v>2.9443352808315826E-3</v>
      </c>
      <c r="K33" s="3093" t="s">
        <v>2146</v>
      </c>
    </row>
    <row r="34" spans="2:11" ht="18" customHeight="1" x14ac:dyDescent="0.2">
      <c r="B34" s="282" t="s">
        <v>134</v>
      </c>
      <c r="C34" s="691">
        <v>57903.057195734538</v>
      </c>
      <c r="D34" s="3077" t="s">
        <v>1814</v>
      </c>
      <c r="E34" s="1913">
        <f t="shared" si="12"/>
        <v>51.411925169019653</v>
      </c>
      <c r="F34" s="1913">
        <f t="shared" si="11"/>
        <v>0.95077361363416901</v>
      </c>
      <c r="G34" s="1913">
        <f t="shared" si="11"/>
        <v>0.53811483865589738</v>
      </c>
      <c r="H34" s="691">
        <v>2976.9076436045693</v>
      </c>
      <c r="I34" s="691">
        <v>5.5052698930454502E-2</v>
      </c>
      <c r="J34" s="691">
        <v>3.1158494280565892E-2</v>
      </c>
      <c r="K34" s="3093" t="s">
        <v>2146</v>
      </c>
    </row>
    <row r="35" spans="2:11" ht="18" customHeight="1" x14ac:dyDescent="0.2">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
      <c r="B37" s="282" t="s">
        <v>137</v>
      </c>
      <c r="C37" s="691">
        <v>716.39634367545364</v>
      </c>
      <c r="D37" s="3077" t="s">
        <v>1814</v>
      </c>
      <c r="E37" s="1913">
        <f t="shared" si="12"/>
        <v>88.365599227251977</v>
      </c>
      <c r="F37" s="1913">
        <f t="shared" si="11"/>
        <v>7.2649206997116913</v>
      </c>
      <c r="G37" s="1913">
        <f t="shared" si="11"/>
        <v>5.0040899073468319</v>
      </c>
      <c r="H37" s="691">
        <v>63.304792193093803</v>
      </c>
      <c r="I37" s="691">
        <v>5.2045626263655742E-3</v>
      </c>
      <c r="J37" s="691">
        <v>3.5849117130465099E-3</v>
      </c>
      <c r="K37" s="3093" t="s">
        <v>2146</v>
      </c>
    </row>
    <row r="38" spans="2:11" ht="18" customHeight="1" x14ac:dyDescent="0.2">
      <c r="B38" s="1241" t="s">
        <v>154</v>
      </c>
      <c r="C38" s="1913">
        <f>IF(SUM(C39:C44)=0,"NO",SUM(C39:C44))</f>
        <v>38122.067000000003</v>
      </c>
      <c r="D38" s="3077" t="s">
        <v>1814</v>
      </c>
      <c r="E38" s="628"/>
      <c r="F38" s="628"/>
      <c r="G38" s="628"/>
      <c r="H38" s="1913">
        <f>IF(SUM(H39:H43)=0,"NO",SUM(H39:H43))</f>
        <v>936.25342171475791</v>
      </c>
      <c r="I38" s="1913">
        <f t="shared" ref="I38:K38" si="13">IF(SUM(I39:I44)=0,"NO",SUM(I39:I44))</f>
        <v>0.2155631195113098</v>
      </c>
      <c r="J38" s="1913">
        <f t="shared" si="13"/>
        <v>0.14195250013498281</v>
      </c>
      <c r="K38" s="3065" t="str">
        <f t="shared" si="13"/>
        <v>NO</v>
      </c>
    </row>
    <row r="39" spans="2:11" ht="18" customHeight="1" x14ac:dyDescent="0.2">
      <c r="B39" s="282" t="s">
        <v>132</v>
      </c>
      <c r="C39" s="691">
        <v>531.096</v>
      </c>
      <c r="D39" s="3077" t="s">
        <v>1814</v>
      </c>
      <c r="E39" s="1913">
        <f>IFERROR(H39*1000/$C39,"NA")</f>
        <v>67.122977677341296</v>
      </c>
      <c r="F39" s="1913">
        <f t="shared" ref="F39:G44" si="14">IFERROR(I39*1000000/$C39,"NA")</f>
        <v>1.0050413667151881</v>
      </c>
      <c r="G39" s="1913">
        <f t="shared" si="14"/>
        <v>1.1767007201378616</v>
      </c>
      <c r="H39" s="691">
        <v>35.648744952525256</v>
      </c>
      <c r="I39" s="691">
        <v>5.3377344969696963E-4</v>
      </c>
      <c r="J39" s="691">
        <v>6.2494104566233769E-4</v>
      </c>
      <c r="K39" s="3093" t="s">
        <v>2146</v>
      </c>
    </row>
    <row r="40" spans="2:11" ht="18" customHeight="1" x14ac:dyDescent="0.2">
      <c r="B40" s="282" t="s">
        <v>133</v>
      </c>
      <c r="C40" s="691">
        <v>3180.1230000000005</v>
      </c>
      <c r="D40" s="3077" t="s">
        <v>1814</v>
      </c>
      <c r="E40" s="1913">
        <f t="shared" ref="E40:E44" si="15">IFERROR(H40*1000/$C40,"NA")</f>
        <v>89.545782235466987</v>
      </c>
      <c r="F40" s="1913">
        <f t="shared" si="14"/>
        <v>0.93524603563177511</v>
      </c>
      <c r="G40" s="1913">
        <f t="shared" si="14"/>
        <v>0.655243388833882</v>
      </c>
      <c r="H40" s="691">
        <v>284.76660164000003</v>
      </c>
      <c r="I40" s="691">
        <v>2.9741974285714284E-3</v>
      </c>
      <c r="J40" s="691">
        <v>2.0837545714285717E-3</v>
      </c>
      <c r="K40" s="3093" t="s">
        <v>2146</v>
      </c>
    </row>
    <row r="41" spans="2:11" ht="18" customHeight="1" x14ac:dyDescent="0.2">
      <c r="B41" s="282" t="s">
        <v>134</v>
      </c>
      <c r="C41" s="691">
        <v>11978.508000000002</v>
      </c>
      <c r="D41" s="3077" t="s">
        <v>1814</v>
      </c>
      <c r="E41" s="1913">
        <f t="shared" si="15"/>
        <v>51.411918339264993</v>
      </c>
      <c r="F41" s="1913">
        <f t="shared" si="14"/>
        <v>0.91363636363636358</v>
      </c>
      <c r="G41" s="1913">
        <f t="shared" si="14"/>
        <v>0.86863636363636343</v>
      </c>
      <c r="H41" s="691">
        <v>615.83807512223257</v>
      </c>
      <c r="I41" s="691">
        <v>1.0944000490909092E-2</v>
      </c>
      <c r="J41" s="691">
        <v>1.040496763090909E-2</v>
      </c>
      <c r="K41" s="3093" t="s">
        <v>2146</v>
      </c>
    </row>
    <row r="42" spans="2:11" ht="18" customHeight="1" x14ac:dyDescent="0.2">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
      <c r="B44" s="282" t="s">
        <v>137</v>
      </c>
      <c r="C44" s="691">
        <v>22432.34</v>
      </c>
      <c r="D44" s="3076" t="s">
        <v>1814</v>
      </c>
      <c r="E44" s="1913">
        <f t="shared" si="15"/>
        <v>93.609881786987302</v>
      </c>
      <c r="F44" s="1913">
        <f t="shared" si="14"/>
        <v>8.9652327016322104</v>
      </c>
      <c r="G44" s="1913">
        <f t="shared" si="14"/>
        <v>5.743441695649353</v>
      </c>
      <c r="H44" s="691">
        <v>2099.8886956055067</v>
      </c>
      <c r="I44" s="691">
        <v>0.2011111481421323</v>
      </c>
      <c r="J44" s="691">
        <v>0.1288388368869828</v>
      </c>
      <c r="K44" s="3093" t="s">
        <v>2146</v>
      </c>
    </row>
    <row r="45" spans="2:11" ht="18" customHeight="1" x14ac:dyDescent="0.2">
      <c r="B45" s="1241" t="s">
        <v>155</v>
      </c>
      <c r="C45" s="1913">
        <f>IF(SUM(C46:C51)=0,"NO",SUM(C46:C51))</f>
        <v>135213.40552558983</v>
      </c>
      <c r="D45" s="3076" t="s">
        <v>1814</v>
      </c>
      <c r="E45" s="628"/>
      <c r="F45" s="628"/>
      <c r="G45" s="628"/>
      <c r="H45" s="1913">
        <f>IF(SUM(H46:H50)=0,"NO",SUM(H46:H50))</f>
        <v>2727.8694377636239</v>
      </c>
      <c r="I45" s="1913">
        <f t="shared" ref="I45:K45" si="16">IF(SUM(I46:I51)=0,"NO",SUM(I46:I51))</f>
        <v>0.86596340682193196</v>
      </c>
      <c r="J45" s="1913">
        <f t="shared" si="16"/>
        <v>0.55854414310060863</v>
      </c>
      <c r="K45" s="3065" t="str">
        <f t="shared" si="16"/>
        <v>NO</v>
      </c>
    </row>
    <row r="46" spans="2:11" ht="18" customHeight="1" x14ac:dyDescent="0.2">
      <c r="B46" s="282" t="s">
        <v>132</v>
      </c>
      <c r="C46" s="691">
        <v>3383.7133807885616</v>
      </c>
      <c r="D46" s="3076" t="s">
        <v>1814</v>
      </c>
      <c r="E46" s="1913">
        <f>IFERROR(H46*1000/$C46,"NA")</f>
        <v>67.948273438778969</v>
      </c>
      <c r="F46" s="1913">
        <f t="shared" ref="F46:G51" si="17">IFERROR(I46*1000000/$C46,"NA")</f>
        <v>5.5187438546194985</v>
      </c>
      <c r="G46" s="1913">
        <f t="shared" si="17"/>
        <v>2.5284340275565236</v>
      </c>
      <c r="H46" s="691">
        <v>229.9174820362764</v>
      </c>
      <c r="I46" s="691">
        <v>1.8673847426020643E-2</v>
      </c>
      <c r="J46" s="691">
        <v>8.5554960514841235E-3</v>
      </c>
      <c r="K46" s="3093" t="s">
        <v>2146</v>
      </c>
    </row>
    <row r="47" spans="2:11" ht="18" customHeight="1" x14ac:dyDescent="0.2">
      <c r="B47" s="282" t="s">
        <v>133</v>
      </c>
      <c r="C47" s="691">
        <v>7418.5319999999992</v>
      </c>
      <c r="D47" s="3076" t="s">
        <v>1814</v>
      </c>
      <c r="E47" s="1913">
        <f t="shared" ref="E47:E51" si="18">IFERROR(H47*1000/$C47,"NA")</f>
        <v>90.041024339183167</v>
      </c>
      <c r="F47" s="1913">
        <f t="shared" si="17"/>
        <v>0.95238095238095244</v>
      </c>
      <c r="G47" s="1913">
        <f t="shared" si="17"/>
        <v>0.67523809523809519</v>
      </c>
      <c r="H47" s="691">
        <v>667.97222037300912</v>
      </c>
      <c r="I47" s="691">
        <v>7.0652685714285707E-3</v>
      </c>
      <c r="J47" s="691">
        <v>5.0092754171428564E-3</v>
      </c>
      <c r="K47" s="3093" t="s">
        <v>2146</v>
      </c>
    </row>
    <row r="48" spans="2:11" ht="18" customHeight="1" x14ac:dyDescent="0.2">
      <c r="B48" s="282" t="s">
        <v>134</v>
      </c>
      <c r="C48" s="691">
        <v>35594.465144801288</v>
      </c>
      <c r="D48" s="3076" t="s">
        <v>1814</v>
      </c>
      <c r="E48" s="1913">
        <f t="shared" si="18"/>
        <v>51.411918339265007</v>
      </c>
      <c r="F48" s="1913">
        <f t="shared" si="17"/>
        <v>0.9140909090909094</v>
      </c>
      <c r="G48" s="1913">
        <f t="shared" si="17"/>
        <v>0.8645909090909093</v>
      </c>
      <c r="H48" s="691">
        <v>1829.9797353543386</v>
      </c>
      <c r="I48" s="691">
        <v>3.2536577002816099E-2</v>
      </c>
      <c r="J48" s="691">
        <v>3.0774650978148431E-2</v>
      </c>
      <c r="K48" s="3093" t="s">
        <v>2146</v>
      </c>
    </row>
    <row r="49" spans="2:11" ht="18" customHeight="1" x14ac:dyDescent="0.2">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
      <c r="B51" s="282" t="s">
        <v>137</v>
      </c>
      <c r="C51" s="691">
        <v>88816.694999999978</v>
      </c>
      <c r="D51" s="3076" t="s">
        <v>1814</v>
      </c>
      <c r="E51" s="1913">
        <f t="shared" si="18"/>
        <v>94.576497274828895</v>
      </c>
      <c r="F51" s="1913">
        <f t="shared" si="17"/>
        <v>9.0938726533526921</v>
      </c>
      <c r="G51" s="1913">
        <f t="shared" si="17"/>
        <v>5.7895052349542331</v>
      </c>
      <c r="H51" s="691">
        <v>8399.9719126268064</v>
      </c>
      <c r="I51" s="691">
        <v>0.8076877138216666</v>
      </c>
      <c r="J51" s="691">
        <v>0.51420472065383327</v>
      </c>
      <c r="K51" s="3093" t="s">
        <v>2146</v>
      </c>
    </row>
    <row r="52" spans="2:11" ht="18" customHeight="1" x14ac:dyDescent="0.2">
      <c r="B52" s="1241" t="s">
        <v>156</v>
      </c>
      <c r="C52" s="3094">
        <f>IF(SUM(C53:C58)=0,"NO",SUM(C53:C58))</f>
        <v>86154.089993140646</v>
      </c>
      <c r="D52" s="3076" t="s">
        <v>1814</v>
      </c>
      <c r="E52" s="628"/>
      <c r="F52" s="628"/>
      <c r="G52" s="628"/>
      <c r="H52" s="1913">
        <f>IF(SUM(H53:H57)=0,"NO",SUM(H53:H57))</f>
        <v>5169.370142165144</v>
      </c>
      <c r="I52" s="1913">
        <f t="shared" ref="I52:K52" si="19">IF(SUM(I53:I58)=0,"NO",SUM(I53:I58))</f>
        <v>0.36241012276081941</v>
      </c>
      <c r="J52" s="1913">
        <f t="shared" si="19"/>
        <v>5.1293755063716903E-2</v>
      </c>
      <c r="K52" s="3065" t="str">
        <f t="shared" si="19"/>
        <v>NO</v>
      </c>
    </row>
    <row r="53" spans="2:11" ht="18" customHeight="1" x14ac:dyDescent="0.2">
      <c r="B53" s="282" t="s">
        <v>132</v>
      </c>
      <c r="C53" s="2147">
        <v>8453.1632789923242</v>
      </c>
      <c r="D53" s="3076" t="s">
        <v>1814</v>
      </c>
      <c r="E53" s="1913">
        <f>IFERROR(H53*1000/$C53,"NA")</f>
        <v>63.357265716217121</v>
      </c>
      <c r="F53" s="1913">
        <f t="shared" ref="F53:G58" si="20">IFERROR(I53*1000000/$C53,"NA")</f>
        <v>31.702374225267317</v>
      </c>
      <c r="G53" s="1913">
        <f t="shared" si="20"/>
        <v>1.8435896492452126</v>
      </c>
      <c r="H53" s="691">
        <v>535.56931200968586</v>
      </c>
      <c r="I53" s="691">
        <v>0.26798534565790244</v>
      </c>
      <c r="J53" s="691">
        <v>1.5584164324529972E-2</v>
      </c>
      <c r="K53" s="3093" t="s">
        <v>2146</v>
      </c>
    </row>
    <row r="54" spans="2:11" ht="18" customHeight="1" x14ac:dyDescent="0.2">
      <c r="B54" s="282" t="s">
        <v>133</v>
      </c>
      <c r="C54" s="691">
        <v>20319.742981047184</v>
      </c>
      <c r="D54" s="3076" t="s">
        <v>1814</v>
      </c>
      <c r="E54" s="1913">
        <f t="shared" ref="E54:E58" si="21">IFERROR(H54*1000/$C54,"NA")</f>
        <v>89.213429482369278</v>
      </c>
      <c r="F54" s="1913">
        <f t="shared" si="20"/>
        <v>0.9435089782402688</v>
      </c>
      <c r="G54" s="1913">
        <f t="shared" si="20"/>
        <v>0.80979149721191224</v>
      </c>
      <c r="H54" s="691">
        <v>1812.7939575395212</v>
      </c>
      <c r="I54" s="691">
        <v>1.9171859938152701E-2</v>
      </c>
      <c r="J54" s="691">
        <v>1.6454755091583444E-2</v>
      </c>
      <c r="K54" s="3093" t="s">
        <v>2146</v>
      </c>
    </row>
    <row r="55" spans="2:11" ht="18" customHeight="1" x14ac:dyDescent="0.2">
      <c r="B55" s="282" t="s">
        <v>134</v>
      </c>
      <c r="C55" s="691">
        <v>54870.6790904054</v>
      </c>
      <c r="D55" s="3076" t="s">
        <v>1814</v>
      </c>
      <c r="E55" s="1913">
        <f t="shared" si="21"/>
        <v>51.411918339264993</v>
      </c>
      <c r="F55" s="1913">
        <f t="shared" si="20"/>
        <v>0.99821841302723968</v>
      </c>
      <c r="G55" s="1913">
        <f t="shared" si="20"/>
        <v>0.11585612405756734</v>
      </c>
      <c r="H55" s="691">
        <v>2821.0068726159375</v>
      </c>
      <c r="I55" s="691">
        <v>5.4772922203351421E-2</v>
      </c>
      <c r="J55" s="691">
        <v>6.3571042038209746E-3</v>
      </c>
      <c r="K55" s="3093" t="s">
        <v>2146</v>
      </c>
    </row>
    <row r="56" spans="2:11" ht="18" customHeight="1" x14ac:dyDescent="0.2">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
      <c r="B58" s="282" t="s">
        <v>137</v>
      </c>
      <c r="C58" s="2190">
        <v>2510.5046426957369</v>
      </c>
      <c r="D58" s="3076" t="s">
        <v>1814</v>
      </c>
      <c r="E58" s="3095">
        <f t="shared" si="21"/>
        <v>89.153211376322815</v>
      </c>
      <c r="F58" s="3095">
        <f t="shared" si="20"/>
        <v>8.1577204093204774</v>
      </c>
      <c r="G58" s="3095">
        <f t="shared" si="20"/>
        <v>5.1375055136058831</v>
      </c>
      <c r="H58" s="2190">
        <v>223.81955107149281</v>
      </c>
      <c r="I58" s="691">
        <v>2.0479994961412826E-2</v>
      </c>
      <c r="J58" s="691">
        <v>1.2897731443782517E-2</v>
      </c>
      <c r="K58" s="3093" t="s">
        <v>2146</v>
      </c>
    </row>
    <row r="59" spans="2:11" ht="18" customHeight="1" x14ac:dyDescent="0.2">
      <c r="B59" s="1241" t="s">
        <v>157</v>
      </c>
      <c r="C59" s="3094">
        <f>IF(SUM(C61,C68,C75,C82,C89,C96,C103,C112)=0,"NO",SUM(C61,C68,C75,C82,C89,C96,C103,C112))</f>
        <v>154519.24023212274</v>
      </c>
      <c r="D59" s="3076" t="s">
        <v>1814</v>
      </c>
      <c r="E59" s="1914"/>
      <c r="F59" s="1914"/>
      <c r="G59" s="1914"/>
      <c r="H59" s="1913">
        <f>IF(SUM(H61,H68,H75,H82,H89,H96,H103,H112)=0,"NO",SUM(H61,H68,H75,H82,H89,H96,H103,H112))</f>
        <v>10574.908797635488</v>
      </c>
      <c r="I59" s="1913">
        <f>IF(SUM(I61,I68,I75,I82,I89,I96,I103,I112)=0,"NO",SUM(I61,I68,I75,I82,I89,I96,I103,I112))</f>
        <v>0.55247861853208613</v>
      </c>
      <c r="J59" s="1913">
        <f>IF(SUM(J61,J68,J75,J82,J89,J96,J103,J112)=0,"NO",SUM(J61,J68,J75,J82,J89,J96,J103,J112))</f>
        <v>0.48230353536979853</v>
      </c>
      <c r="K59" s="3065" t="str">
        <f>IF(SUM(K61,K68,K75,K82,K89,K96,K103,K112)=0,"NO",SUM(K61,K68,K75,K82,K89,K96,K103,K112))</f>
        <v>NO</v>
      </c>
    </row>
    <row r="60" spans="2:11" ht="18" customHeight="1" x14ac:dyDescent="0.2">
      <c r="B60" s="1242" t="s">
        <v>158</v>
      </c>
      <c r="C60" s="3096"/>
      <c r="D60" s="3097"/>
      <c r="E60" s="3097"/>
      <c r="F60" s="3097"/>
      <c r="G60" s="3097"/>
      <c r="H60" s="3097"/>
      <c r="I60" s="3097"/>
      <c r="J60" s="3097"/>
      <c r="K60" s="3098"/>
    </row>
    <row r="61" spans="2:11" ht="18" customHeight="1" x14ac:dyDescent="0.2">
      <c r="B61" s="1242" t="s">
        <v>159</v>
      </c>
      <c r="C61" s="1913">
        <f>IF(SUM(C62:C67)=0,"NO",SUM(C62:C67))</f>
        <v>3834.2284274699527</v>
      </c>
      <c r="D61" s="3076" t="s">
        <v>1814</v>
      </c>
      <c r="E61" s="628"/>
      <c r="F61" s="628"/>
      <c r="G61" s="628"/>
      <c r="H61" s="1913">
        <f>IF(SUM(H62:H66)=0,"NO",SUM(H62:H66))</f>
        <v>212.65960260346412</v>
      </c>
      <c r="I61" s="1913">
        <f t="shared" ref="I61:K61" si="22">IF(SUM(I62:I67)=0,"NO",SUM(I62:I67))</f>
        <v>3.1576471215340574E-2</v>
      </c>
      <c r="J61" s="1913">
        <f t="shared" si="22"/>
        <v>5.3195409320690949E-3</v>
      </c>
      <c r="K61" s="3065" t="str">
        <f t="shared" si="22"/>
        <v>NO</v>
      </c>
    </row>
    <row r="62" spans="2:11" ht="18" customHeight="1" x14ac:dyDescent="0.2">
      <c r="B62" s="158" t="s">
        <v>132</v>
      </c>
      <c r="C62" s="691">
        <v>1125.0082770278668</v>
      </c>
      <c r="D62" s="3076" t="s">
        <v>1814</v>
      </c>
      <c r="E62" s="1913">
        <f>IFERROR(H62*1000/$C62,"NA")</f>
        <v>65.229046435210734</v>
      </c>
      <c r="F62" s="1913">
        <f t="shared" ref="F62:G67" si="23">IFERROR(I62*1000000/$C62,"NA")</f>
        <v>25.827835211939497</v>
      </c>
      <c r="G62" s="1913">
        <f t="shared" si="23"/>
        <v>2.7706383620014265</v>
      </c>
      <c r="H62" s="691">
        <v>73.383217142247148</v>
      </c>
      <c r="I62" s="691">
        <v>2.9056528391143723E-2</v>
      </c>
      <c r="J62" s="691">
        <v>3.1169910899025359E-3</v>
      </c>
      <c r="K62" s="3093" t="s">
        <v>2146</v>
      </c>
    </row>
    <row r="63" spans="2:11" ht="18" customHeight="1" x14ac:dyDescent="0.2">
      <c r="B63" s="158" t="s">
        <v>133</v>
      </c>
      <c r="C63" s="691" t="s">
        <v>2146</v>
      </c>
      <c r="D63" s="3076" t="s">
        <v>1814</v>
      </c>
      <c r="E63" s="1913" t="str">
        <f t="shared" ref="E63:E67" si="24">IFERROR(H63*1000/$C63,"NA")</f>
        <v>NA</v>
      </c>
      <c r="F63" s="1913" t="str">
        <f t="shared" si="23"/>
        <v>NA</v>
      </c>
      <c r="G63" s="1913" t="str">
        <f t="shared" si="23"/>
        <v>NA</v>
      </c>
      <c r="H63" s="691" t="s">
        <v>2146</v>
      </c>
      <c r="I63" s="691" t="s">
        <v>2146</v>
      </c>
      <c r="J63" s="691" t="s">
        <v>2146</v>
      </c>
      <c r="K63" s="3093" t="s">
        <v>2146</v>
      </c>
    </row>
    <row r="64" spans="2:11" ht="18" customHeight="1" x14ac:dyDescent="0.2">
      <c r="B64" s="158" t="s">
        <v>134</v>
      </c>
      <c r="C64" s="691">
        <v>2709.0291504420861</v>
      </c>
      <c r="D64" s="3076" t="s">
        <v>1814</v>
      </c>
      <c r="E64" s="1913">
        <f t="shared" si="24"/>
        <v>51.411918339265</v>
      </c>
      <c r="F64" s="1913">
        <f t="shared" si="23"/>
        <v>0.92999999999999983</v>
      </c>
      <c r="G64" s="1913">
        <f t="shared" si="23"/>
        <v>0.81299999999999994</v>
      </c>
      <c r="H64" s="691">
        <v>139.27638546121696</v>
      </c>
      <c r="I64" s="691">
        <v>2.5193971099111397E-3</v>
      </c>
      <c r="J64" s="691">
        <v>2.2024406993094159E-3</v>
      </c>
      <c r="K64" s="3093" t="s">
        <v>2146</v>
      </c>
    </row>
    <row r="65" spans="2:11" ht="18" customHeight="1" x14ac:dyDescent="0.2">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
      <c r="B67" s="158" t="s">
        <v>137</v>
      </c>
      <c r="C67" s="691">
        <v>0.19099999999999998</v>
      </c>
      <c r="D67" s="3076" t="s">
        <v>1814</v>
      </c>
      <c r="E67" s="1913">
        <f t="shared" si="24"/>
        <v>67.260000000000005</v>
      </c>
      <c r="F67" s="1913">
        <f t="shared" si="23"/>
        <v>2.8571428571428577</v>
      </c>
      <c r="G67" s="1913">
        <f t="shared" si="23"/>
        <v>0.5714285714285714</v>
      </c>
      <c r="H67" s="691">
        <v>1.2846659999999999E-2</v>
      </c>
      <c r="I67" s="691">
        <v>5.4571428571428569E-7</v>
      </c>
      <c r="J67" s="691">
        <v>1.0914285714285712E-7</v>
      </c>
      <c r="K67" s="3093" t="s">
        <v>2146</v>
      </c>
    </row>
    <row r="68" spans="2:11" ht="18" customHeight="1" x14ac:dyDescent="0.2">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
      <c r="B75" s="1242" t="s">
        <v>161</v>
      </c>
      <c r="C75" s="1913">
        <f>IF(SUM(C76:C81)=0,"NO",SUM(C76:C81))</f>
        <v>111091.26899999999</v>
      </c>
      <c r="D75" s="3077" t="s">
        <v>1814</v>
      </c>
      <c r="E75" s="628"/>
      <c r="F75" s="628"/>
      <c r="G75" s="628"/>
      <c r="H75" s="1913">
        <f>IF(SUM(H76:H80)=0,"NO",SUM(H76:H80))</f>
        <v>7775.3539250752283</v>
      </c>
      <c r="I75" s="1913">
        <f t="shared" ref="I75:K75" si="28">IF(SUM(I76:I81)=0,"NO",SUM(I76:I81))</f>
        <v>0.37343143376777443</v>
      </c>
      <c r="J75" s="1913">
        <f t="shared" si="28"/>
        <v>0.36566734553145669</v>
      </c>
      <c r="K75" s="3065" t="str">
        <f t="shared" si="28"/>
        <v>NO</v>
      </c>
    </row>
    <row r="76" spans="2:11" ht="18" customHeight="1" x14ac:dyDescent="0.2">
      <c r="B76" s="158" t="s">
        <v>132</v>
      </c>
      <c r="C76" s="691">
        <v>100875.57499999998</v>
      </c>
      <c r="D76" s="3077" t="s">
        <v>1814</v>
      </c>
      <c r="E76" s="1913">
        <f>IFERROR(H76*1000/$C76,"NA")</f>
        <v>69.684137109008972</v>
      </c>
      <c r="F76" s="1913">
        <f t="shared" ref="F76:G81" si="29">IFERROR(I76*1000000/$C76,"NA")</f>
        <v>3.5511181021605247</v>
      </c>
      <c r="G76" s="1913">
        <f t="shared" si="29"/>
        <v>3.5409521867136</v>
      </c>
      <c r="H76" s="691">
        <v>7029.4273992501176</v>
      </c>
      <c r="I76" s="691">
        <v>0.3582210804483516</v>
      </c>
      <c r="J76" s="691">
        <v>0.35719558788224171</v>
      </c>
      <c r="K76" s="3093" t="s">
        <v>2146</v>
      </c>
    </row>
    <row r="77" spans="2:11" ht="18" customHeight="1" x14ac:dyDescent="0.2">
      <c r="B77" s="158" t="s">
        <v>133</v>
      </c>
      <c r="C77" s="691">
        <v>4913.7659999999987</v>
      </c>
      <c r="D77" s="3077" t="s">
        <v>1814</v>
      </c>
      <c r="E77" s="1913">
        <f t="shared" ref="E77:E81" si="30">IFERROR(H77*1000/$C77,"NA")</f>
        <v>96.466315216957497</v>
      </c>
      <c r="F77" s="1913">
        <f t="shared" si="29"/>
        <v>0.95238095238095255</v>
      </c>
      <c r="G77" s="1913">
        <f t="shared" si="29"/>
        <v>0.75923809523809549</v>
      </c>
      <c r="H77" s="691">
        <v>474.01289985836826</v>
      </c>
      <c r="I77" s="691">
        <v>4.6797771428571423E-3</v>
      </c>
      <c r="J77" s="691">
        <v>3.7307183382857146E-3</v>
      </c>
      <c r="K77" s="3093" t="s">
        <v>2146</v>
      </c>
    </row>
    <row r="78" spans="2:11" ht="18" customHeight="1" x14ac:dyDescent="0.2">
      <c r="B78" s="158" t="s">
        <v>134</v>
      </c>
      <c r="C78" s="691">
        <v>5288.9220000000005</v>
      </c>
      <c r="D78" s="3077" t="s">
        <v>1814</v>
      </c>
      <c r="E78" s="1913">
        <f t="shared" si="30"/>
        <v>51.411918339264993</v>
      </c>
      <c r="F78" s="1913">
        <f t="shared" si="29"/>
        <v>1.9754545454545456</v>
      </c>
      <c r="G78" s="1913">
        <f t="shared" si="29"/>
        <v>0.88481818181818161</v>
      </c>
      <c r="H78" s="691">
        <v>271.91362596674213</v>
      </c>
      <c r="I78" s="691">
        <v>1.0448025005454546E-2</v>
      </c>
      <c r="J78" s="691">
        <v>4.679734347818181E-3</v>
      </c>
      <c r="K78" s="3093" t="s">
        <v>2146</v>
      </c>
    </row>
    <row r="79" spans="2:11" ht="18" customHeight="1" x14ac:dyDescent="0.2">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
      <c r="B81" s="158" t="s">
        <v>137</v>
      </c>
      <c r="C81" s="691">
        <v>13.005999999999998</v>
      </c>
      <c r="D81" s="3076" t="s">
        <v>1814</v>
      </c>
      <c r="E81" s="1913">
        <f t="shared" si="30"/>
        <v>80.776143722322402</v>
      </c>
      <c r="F81" s="1913">
        <f t="shared" si="29"/>
        <v>6.3471606267192922</v>
      </c>
      <c r="G81" s="1913">
        <f t="shared" si="29"/>
        <v>4.7135908896748511</v>
      </c>
      <c r="H81" s="691">
        <v>1.0505745252525251</v>
      </c>
      <c r="I81" s="691">
        <v>8.2551171111111109E-5</v>
      </c>
      <c r="J81" s="691">
        <v>6.1304963111111108E-5</v>
      </c>
      <c r="K81" s="3093" t="s">
        <v>2146</v>
      </c>
    </row>
    <row r="82" spans="2:11" ht="18" customHeight="1" x14ac:dyDescent="0.2">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
      <c r="B89" s="1242" t="s">
        <v>164</v>
      </c>
      <c r="C89" s="1913">
        <f>IF(SUM(C90:C95)=0,"NO",SUM(C90:C95))</f>
        <v>30623.147432140966</v>
      </c>
      <c r="D89" s="3077" t="s">
        <v>1814</v>
      </c>
      <c r="E89" s="628"/>
      <c r="F89" s="628"/>
      <c r="G89" s="628"/>
      <c r="H89" s="1913">
        <f>IF(SUM(H90:H94)=0,"NO",SUM(H90:H94))</f>
        <v>2085.8415399801684</v>
      </c>
      <c r="I89" s="1913">
        <f t="shared" ref="I89:K89" si="36">IF(SUM(I90:I95)=0,"NO",SUM(I90:I95))</f>
        <v>0.10573977811780245</v>
      </c>
      <c r="J89" s="1913">
        <f t="shared" si="36"/>
        <v>0.10276087427394681</v>
      </c>
      <c r="K89" s="3065" t="str">
        <f t="shared" si="36"/>
        <v>NO</v>
      </c>
    </row>
    <row r="90" spans="2:11" ht="18" customHeight="1" x14ac:dyDescent="0.2">
      <c r="B90" s="158" t="s">
        <v>132</v>
      </c>
      <c r="C90" s="691">
        <v>27716.417050388551</v>
      </c>
      <c r="D90" s="3077" t="s">
        <v>1814</v>
      </c>
      <c r="E90" s="1913">
        <f>IFERROR(H90*1000/$C90,"NA")</f>
        <v>69.866536133468941</v>
      </c>
      <c r="F90" s="1913">
        <f t="shared" ref="F90:G95" si="37">IFERROR(I90*1000000/$C90,"NA")</f>
        <v>3.7196231781987512</v>
      </c>
      <c r="G90" s="1913">
        <f t="shared" si="37"/>
        <v>3.612146212115126</v>
      </c>
      <c r="H90" s="691">
        <v>1936.4500533412665</v>
      </c>
      <c r="I90" s="691">
        <v>0.10309462727724832</v>
      </c>
      <c r="J90" s="691">
        <v>0.1001157508619641</v>
      </c>
      <c r="K90" s="3093" t="s">
        <v>2146</v>
      </c>
    </row>
    <row r="91" spans="2:11" ht="18" customHeight="1" x14ac:dyDescent="0.2">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
      <c r="B92" s="158" t="s">
        <v>134</v>
      </c>
      <c r="C92" s="691">
        <v>2905.775381752414</v>
      </c>
      <c r="D92" s="3077" t="s">
        <v>1814</v>
      </c>
      <c r="E92" s="1913">
        <f t="shared" si="38"/>
        <v>51.411918339264993</v>
      </c>
      <c r="F92" s="1913">
        <f t="shared" si="37"/>
        <v>0.90909090909090917</v>
      </c>
      <c r="G92" s="1913">
        <f t="shared" si="37"/>
        <v>0.90909090909090917</v>
      </c>
      <c r="H92" s="691">
        <v>149.39148663890168</v>
      </c>
      <c r="I92" s="691">
        <v>2.6416139834112857E-3</v>
      </c>
      <c r="J92" s="691">
        <v>2.6416139834112857E-3</v>
      </c>
      <c r="K92" s="3093" t="s">
        <v>2146</v>
      </c>
    </row>
    <row r="93" spans="2:11" ht="18" customHeight="1" x14ac:dyDescent="0.2">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
      <c r="B95" s="158" t="s">
        <v>137</v>
      </c>
      <c r="C95" s="691">
        <v>0.95499999999999985</v>
      </c>
      <c r="D95" s="3076" t="s">
        <v>1814</v>
      </c>
      <c r="E95" s="1913">
        <f t="shared" si="38"/>
        <v>68.098991651745564</v>
      </c>
      <c r="F95" s="1913">
        <f t="shared" si="37"/>
        <v>3.703515332834705</v>
      </c>
      <c r="G95" s="1913">
        <f t="shared" si="37"/>
        <v>3.6747943156320124</v>
      </c>
      <c r="H95" s="691">
        <v>6.5034537027417003E-2</v>
      </c>
      <c r="I95" s="691">
        <v>3.5368571428571429E-6</v>
      </c>
      <c r="J95" s="691">
        <v>3.5094285714285714E-6</v>
      </c>
      <c r="K95" s="3093" t="s">
        <v>2146</v>
      </c>
    </row>
    <row r="96" spans="2:11" ht="18" customHeight="1" x14ac:dyDescent="0.2">
      <c r="B96" s="1242" t="s">
        <v>165</v>
      </c>
      <c r="C96" s="1913">
        <f>IF(SUM(C97:C102)=0,"NO",SUM(C97:C102))</f>
        <v>6324.1939505575501</v>
      </c>
      <c r="D96" s="3076" t="s">
        <v>1814</v>
      </c>
      <c r="E96" s="628"/>
      <c r="F96" s="628"/>
      <c r="G96" s="628"/>
      <c r="H96" s="1913">
        <f>IF(SUM(H97:H101)=0,"NO",SUM(H97:H101))</f>
        <v>356.01219784771467</v>
      </c>
      <c r="I96" s="1913">
        <f t="shared" ref="I96:K96" si="42">IF(SUM(I97:I102)=0,"NO",SUM(I97:I102))</f>
        <v>5.7147048371295481E-3</v>
      </c>
      <c r="J96" s="1913">
        <f t="shared" si="42"/>
        <v>5.5068989850432038E-3</v>
      </c>
      <c r="K96" s="3065" t="str">
        <f t="shared" si="42"/>
        <v>NO</v>
      </c>
    </row>
    <row r="97" spans="2:11" ht="18" customHeight="1" x14ac:dyDescent="0.2">
      <c r="B97" s="158" t="s">
        <v>132</v>
      </c>
      <c r="C97" s="691">
        <v>837.5770207064952</v>
      </c>
      <c r="D97" s="3076" t="s">
        <v>1814</v>
      </c>
      <c r="E97" s="1913">
        <f>IFERROR(H97*1000/$C97,"NA")</f>
        <v>67.598585826243266</v>
      </c>
      <c r="F97" s="1913">
        <f t="shared" ref="F97:G102" si="43">IFERROR(I97*1000000/$C97,"NA")</f>
        <v>0.80088933652655259</v>
      </c>
      <c r="G97" s="1913">
        <f t="shared" si="43"/>
        <v>1.1389249040878866</v>
      </c>
      <c r="H97" s="691">
        <v>56.619022120317155</v>
      </c>
      <c r="I97" s="691">
        <v>6.7080650440351161E-4</v>
      </c>
      <c r="J97" s="691">
        <v>9.5393732797436292E-4</v>
      </c>
      <c r="K97" s="3093" t="s">
        <v>2146</v>
      </c>
    </row>
    <row r="98" spans="2:11" ht="18" customHeight="1" x14ac:dyDescent="0.2">
      <c r="B98" s="158" t="s">
        <v>133</v>
      </c>
      <c r="C98" s="691">
        <v>448.73114769749276</v>
      </c>
      <c r="D98" s="3076" t="s">
        <v>1814</v>
      </c>
      <c r="E98" s="1913">
        <f t="shared" ref="E98:E102" si="44">IFERROR(H98*1000/$C98,"NA")</f>
        <v>90</v>
      </c>
      <c r="F98" s="1913">
        <f t="shared" si="43"/>
        <v>0.95238095238095244</v>
      </c>
      <c r="G98" s="1913">
        <f t="shared" si="43"/>
        <v>0.66666666666666663</v>
      </c>
      <c r="H98" s="691">
        <v>40.385803292774348</v>
      </c>
      <c r="I98" s="691">
        <v>4.2736299780713599E-4</v>
      </c>
      <c r="J98" s="691">
        <v>2.9915409846499515E-4</v>
      </c>
      <c r="K98" s="3093" t="s">
        <v>2146</v>
      </c>
    </row>
    <row r="99" spans="2:11" ht="18" customHeight="1" x14ac:dyDescent="0.2">
      <c r="B99" s="158" t="s">
        <v>134</v>
      </c>
      <c r="C99" s="691">
        <v>5037.8857821535621</v>
      </c>
      <c r="D99" s="3076" t="s">
        <v>1814</v>
      </c>
      <c r="E99" s="1913">
        <f t="shared" si="44"/>
        <v>51.411918339265007</v>
      </c>
      <c r="F99" s="1913">
        <f t="shared" si="43"/>
        <v>0.91636363636363638</v>
      </c>
      <c r="G99" s="1913">
        <f t="shared" si="43"/>
        <v>0.84436363636363665</v>
      </c>
      <c r="H99" s="691">
        <v>259.00737243462316</v>
      </c>
      <c r="I99" s="691">
        <v>4.6165353349189005E-3</v>
      </c>
      <c r="J99" s="691">
        <v>4.2538075586038455E-3</v>
      </c>
      <c r="K99" s="3093" t="s">
        <v>2146</v>
      </c>
    </row>
    <row r="100" spans="2:11" ht="18" customHeight="1" x14ac:dyDescent="0.2">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
      <c r="B112" s="1242" t="s">
        <v>171</v>
      </c>
      <c r="C112" s="1913">
        <f>C113</f>
        <v>2646.4014219542873</v>
      </c>
      <c r="D112" s="3076" t="s">
        <v>1814</v>
      </c>
      <c r="E112" s="628"/>
      <c r="F112" s="628"/>
      <c r="G112" s="628"/>
      <c r="H112" s="1913">
        <f>H113</f>
        <v>145.04153212891342</v>
      </c>
      <c r="I112" s="1913">
        <f>I113</f>
        <v>3.6016230594039161E-2</v>
      </c>
      <c r="J112" s="1913">
        <f>J113</f>
        <v>3.0488756472827287E-3</v>
      </c>
      <c r="K112" s="3065" t="str">
        <f>K113</f>
        <v>NO</v>
      </c>
    </row>
    <row r="113" spans="2:11" ht="18" customHeight="1" x14ac:dyDescent="0.2">
      <c r="B113" s="3090" t="s">
        <v>2259</v>
      </c>
      <c r="C113" s="3099">
        <f>IF(SUM(C114:C119)=0,"NO",SUM(C114:C119))</f>
        <v>2646.4014219542873</v>
      </c>
      <c r="D113" s="3099" t="s">
        <v>1814</v>
      </c>
      <c r="E113" s="628"/>
      <c r="F113" s="628"/>
      <c r="G113" s="628"/>
      <c r="H113" s="3099">
        <f>IF(SUM(H114:H118)=0,"NO",SUM(H114:H118))</f>
        <v>145.04153212891342</v>
      </c>
      <c r="I113" s="3099">
        <f t="shared" ref="I113" si="51">IF(SUM(I114:I119)=0,"NO",SUM(I114:I119))</f>
        <v>3.6016230594039161E-2</v>
      </c>
      <c r="J113" s="3099">
        <f t="shared" ref="J113" si="52">IF(SUM(J114:J119)=0,"NO",SUM(J114:J119))</f>
        <v>3.0488756472827287E-3</v>
      </c>
      <c r="K113" s="3100" t="str">
        <f t="shared" ref="K113" si="53">IF(SUM(K114:K119)=0,"NO",SUM(K114:K119))</f>
        <v>NO</v>
      </c>
    </row>
    <row r="114" spans="2:11" ht="18" customHeight="1" x14ac:dyDescent="0.2">
      <c r="B114" s="158" t="s">
        <v>132</v>
      </c>
      <c r="C114" s="691">
        <v>874.82511935613036</v>
      </c>
      <c r="D114" s="3076" t="s">
        <v>1814</v>
      </c>
      <c r="E114" s="1913">
        <f>IFERROR(H114*1000/$C114,"NA")</f>
        <v>61.681379806069565</v>
      </c>
      <c r="F114" s="1913">
        <f t="shared" ref="F114:G119" si="54">IFERROR(I114*1000000/$C114,"NA")</f>
        <v>39.326807998025302</v>
      </c>
      <c r="G114" s="1913">
        <f t="shared" si="54"/>
        <v>1.6533476028628638</v>
      </c>
      <c r="H114" s="691">
        <v>53.960420450895619</v>
      </c>
      <c r="I114" s="691">
        <v>3.4404079500768112E-2</v>
      </c>
      <c r="J114" s="691">
        <v>1.4463900140116769E-3</v>
      </c>
      <c r="K114" s="3093" t="s">
        <v>2146</v>
      </c>
    </row>
    <row r="115" spans="2:11" ht="18" customHeight="1" x14ac:dyDescent="0.2">
      <c r="B115" s="158" t="s">
        <v>133</v>
      </c>
      <c r="C115" s="691" t="s">
        <v>2146</v>
      </c>
      <c r="D115" s="3076" t="s">
        <v>1814</v>
      </c>
      <c r="E115" s="1913" t="str">
        <f t="shared" ref="E115:E119" si="55">IFERROR(H115*1000/$C115,"NA")</f>
        <v>NA</v>
      </c>
      <c r="F115" s="1913" t="str">
        <f t="shared" si="54"/>
        <v>NA</v>
      </c>
      <c r="G115" s="1913" t="str">
        <f t="shared" si="54"/>
        <v>NA</v>
      </c>
      <c r="H115" s="691" t="s">
        <v>2146</v>
      </c>
      <c r="I115" s="691" t="s">
        <v>2146</v>
      </c>
      <c r="J115" s="691" t="s">
        <v>2146</v>
      </c>
      <c r="K115" s="3093" t="s">
        <v>2146</v>
      </c>
    </row>
    <row r="116" spans="2:11" ht="18" customHeight="1" x14ac:dyDescent="0.2">
      <c r="B116" s="158" t="s">
        <v>134</v>
      </c>
      <c r="C116" s="691">
        <v>1771.5763025981571</v>
      </c>
      <c r="D116" s="3076" t="s">
        <v>1814</v>
      </c>
      <c r="E116" s="1913">
        <f t="shared" si="55"/>
        <v>51.412468965880912</v>
      </c>
      <c r="F116" s="1913">
        <f t="shared" si="54"/>
        <v>0.91000940287285637</v>
      </c>
      <c r="G116" s="1913">
        <f t="shared" si="54"/>
        <v>0.90455354980808866</v>
      </c>
      <c r="H116" s="691">
        <v>91.081111678017805</v>
      </c>
      <c r="I116" s="691">
        <v>1.6121510932710517E-3</v>
      </c>
      <c r="J116" s="691">
        <v>1.6024856332710518E-3</v>
      </c>
      <c r="K116" s="3093" t="s">
        <v>2146</v>
      </c>
    </row>
    <row r="117" spans="2:11" ht="18" customHeight="1" x14ac:dyDescent="0.2">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25">
      <c r="B119" s="2191" t="s">
        <v>137</v>
      </c>
      <c r="C119" s="2190" t="s">
        <v>2146</v>
      </c>
      <c r="D119" s="3101" t="s">
        <v>1814</v>
      </c>
      <c r="E119" s="3095" t="str">
        <f t="shared" si="55"/>
        <v>NA</v>
      </c>
      <c r="F119" s="3095" t="str">
        <f t="shared" si="54"/>
        <v>NA</v>
      </c>
      <c r="G119" s="3095" t="str">
        <f t="shared" si="54"/>
        <v>NA</v>
      </c>
      <c r="H119" s="2190" t="s">
        <v>2146</v>
      </c>
      <c r="I119" s="2190" t="s">
        <v>2146</v>
      </c>
      <c r="J119" s="2190" t="s">
        <v>2146</v>
      </c>
      <c r="K119" s="3102" t="s">
        <v>2146</v>
      </c>
    </row>
    <row r="120" spans="2:11" ht="12" customHeight="1" x14ac:dyDescent="0.2">
      <c r="B120" s="2015"/>
      <c r="C120" s="1"/>
      <c r="D120" s="1"/>
      <c r="E120" s="1"/>
      <c r="F120" s="1"/>
      <c r="G120" s="1"/>
      <c r="H120" s="1"/>
      <c r="I120" s="1"/>
      <c r="J120" s="1"/>
      <c r="K120" s="1"/>
    </row>
    <row r="121" spans="2:11" ht="12" customHeight="1" x14ac:dyDescent="0.2">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2"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
      <c r="B72" s="2247"/>
      <c r="C72" s="2243"/>
      <c r="D72" s="2243"/>
      <c r="E72" s="2243"/>
      <c r="F72" s="2243"/>
      <c r="G72" s="2243"/>
      <c r="H72" s="2243"/>
      <c r="I72" s="2243"/>
      <c r="J72" s="2243"/>
      <c r="K72" s="2243"/>
      <c r="L72" s="2243"/>
      <c r="M72" s="2248"/>
      <c r="N72" s="1609"/>
      <c r="O72" s="1609"/>
      <c r="P72" s="1609"/>
      <c r="Q72" s="1609"/>
      <c r="R72" s="1609"/>
    </row>
    <row r="73" spans="2:18" ht="12" customHeight="1" x14ac:dyDescent="0.2">
      <c r="B73" s="2247"/>
      <c r="C73" s="2243"/>
      <c r="D73" s="2243"/>
      <c r="E73" s="2243"/>
      <c r="F73" s="2243"/>
      <c r="G73" s="2243"/>
      <c r="H73" s="2243"/>
      <c r="I73" s="2243"/>
      <c r="J73" s="2243"/>
      <c r="K73" s="2243"/>
      <c r="L73" s="2243"/>
      <c r="M73" s="2248"/>
      <c r="N73" s="1609"/>
      <c r="O73" s="1609"/>
      <c r="P73" s="1609"/>
      <c r="Q73" s="1609"/>
      <c r="R73" s="1609"/>
    </row>
    <row r="74" spans="2:18" ht="12" customHeight="1" x14ac:dyDescent="0.2">
      <c r="B74" s="2247"/>
      <c r="C74" s="2243"/>
      <c r="D74" s="2243"/>
      <c r="E74" s="2243"/>
      <c r="F74" s="2243"/>
      <c r="G74" s="2243"/>
      <c r="H74" s="2243"/>
      <c r="I74" s="2243"/>
      <c r="J74" s="2243"/>
      <c r="K74" s="2243"/>
      <c r="L74" s="2243"/>
      <c r="M74" s="2248"/>
      <c r="N74" s="1609"/>
      <c r="O74" s="1609"/>
      <c r="P74" s="1609"/>
      <c r="Q74" s="1609"/>
      <c r="R74" s="1609"/>
    </row>
    <row r="75" spans="2:18" ht="12" customHeight="1" x14ac:dyDescent="0.2">
      <c r="B75" s="2247"/>
      <c r="C75" s="2243"/>
      <c r="D75" s="2243"/>
      <c r="E75" s="2243"/>
      <c r="F75" s="2243"/>
      <c r="G75" s="2243"/>
      <c r="H75" s="2243"/>
      <c r="I75" s="2243"/>
      <c r="J75" s="2243"/>
      <c r="K75" s="2243"/>
      <c r="L75" s="2243"/>
      <c r="M75" s="2248"/>
      <c r="N75" s="1609"/>
      <c r="O75" s="1609"/>
      <c r="P75" s="1609"/>
      <c r="Q75" s="1609"/>
      <c r="R75" s="1609"/>
    </row>
    <row r="76" spans="2:18" ht="12" customHeight="1" x14ac:dyDescent="0.2">
      <c r="B76" s="2252"/>
      <c r="C76" s="2253"/>
      <c r="D76" s="2253"/>
      <c r="E76" s="2253"/>
      <c r="F76" s="2253"/>
      <c r="G76" s="2253"/>
      <c r="H76" s="2253"/>
      <c r="I76" s="2253"/>
      <c r="J76" s="2253"/>
      <c r="K76" s="2253"/>
      <c r="L76" s="2253"/>
      <c r="M76" s="2254"/>
      <c r="N76" s="1609"/>
      <c r="O76" s="1609"/>
      <c r="P76" s="1609"/>
      <c r="Q76" s="1609"/>
      <c r="R76" s="1609"/>
    </row>
    <row r="77" spans="2:18" ht="12" customHeight="1" x14ac:dyDescent="0.2">
      <c r="B77" s="2249"/>
      <c r="M77" s="2250"/>
      <c r="N77" s="1609"/>
      <c r="O77" s="1609"/>
      <c r="P77" s="1609"/>
      <c r="Q77" s="1609"/>
      <c r="R77" s="1609"/>
    </row>
    <row r="78" spans="2:18" ht="12" customHeight="1" thickBot="1" x14ac:dyDescent="0.25">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6" t="s">
        <v>64</v>
      </c>
      <c r="I6" s="2"/>
    </row>
    <row r="7" spans="2:9" ht="18" customHeight="1" thickBot="1" x14ac:dyDescent="0.25">
      <c r="B7" s="2545"/>
      <c r="C7" s="683" t="s">
        <v>1547</v>
      </c>
      <c r="D7" s="2544"/>
      <c r="E7" s="2544"/>
      <c r="F7" s="2544"/>
      <c r="G7" s="684"/>
      <c r="H7" s="683" t="s">
        <v>1548</v>
      </c>
      <c r="I7" s="684"/>
    </row>
    <row r="8" spans="2:9" ht="18" customHeight="1" x14ac:dyDescent="0.2">
      <c r="B8" s="2546" t="s">
        <v>1546</v>
      </c>
      <c r="C8" s="2541" t="s">
        <v>424</v>
      </c>
      <c r="D8" s="2542" t="s">
        <v>70</v>
      </c>
      <c r="E8" s="2543" t="s">
        <v>71</v>
      </c>
      <c r="F8" s="2543" t="s">
        <v>1549</v>
      </c>
      <c r="G8" s="2543" t="s">
        <v>1550</v>
      </c>
      <c r="H8" s="685" t="s">
        <v>1995</v>
      </c>
      <c r="I8" s="686" t="s">
        <v>1994</v>
      </c>
    </row>
    <row r="9" spans="2:9" ht="18" customHeight="1" thickBot="1" x14ac:dyDescent="0.25">
      <c r="B9" s="2547"/>
      <c r="C9" s="687" t="s">
        <v>73</v>
      </c>
      <c r="D9" s="687"/>
      <c r="E9" s="687"/>
      <c r="F9" s="687"/>
      <c r="G9" s="687"/>
      <c r="H9" s="688" t="s">
        <v>73</v>
      </c>
      <c r="I9" s="689"/>
    </row>
    <row r="10" spans="2:9" ht="18" customHeight="1" thickTop="1" thickBot="1" x14ac:dyDescent="0.25">
      <c r="B10" s="690" t="s">
        <v>1514</v>
      </c>
      <c r="C10" s="4412">
        <f>SUM(C11:C16)</f>
        <v>4733.0941634071914</v>
      </c>
      <c r="D10" s="4413">
        <f t="shared" ref="D10:F10" si="0">SUM(D11:D16)</f>
        <v>23215.827006430583</v>
      </c>
      <c r="E10" s="4413">
        <f t="shared" si="0"/>
        <v>1799.8496401886205</v>
      </c>
      <c r="F10" s="4413">
        <f t="shared" si="0"/>
        <v>3397.993519089423</v>
      </c>
      <c r="G10" s="4414" t="s">
        <v>2146</v>
      </c>
      <c r="H10" s="4415" t="s">
        <v>2312</v>
      </c>
      <c r="I10" s="4416" t="s">
        <v>2313</v>
      </c>
    </row>
    <row r="11" spans="2:9" ht="18" customHeight="1" x14ac:dyDescent="0.2">
      <c r="B11" s="1558" t="s">
        <v>1476</v>
      </c>
      <c r="C11" s="4417">
        <f>Table1!D10</f>
        <v>1413.6206561987417</v>
      </c>
      <c r="D11" s="4418">
        <f>Table1!G10</f>
        <v>2334.288963993683</v>
      </c>
      <c r="E11" s="4418">
        <f>Table1!H10</f>
        <v>756.3609225997518</v>
      </c>
      <c r="F11" s="4418">
        <f>Table1!F10</f>
        <v>2587.3118903647869</v>
      </c>
      <c r="G11" s="4419" t="s">
        <v>2146</v>
      </c>
      <c r="H11" s="4420" t="s">
        <v>2154</v>
      </c>
      <c r="I11" s="4421" t="s">
        <v>2154</v>
      </c>
    </row>
    <row r="12" spans="2:9" ht="18" customHeight="1" x14ac:dyDescent="0.2">
      <c r="B12" s="2393" t="s">
        <v>1551</v>
      </c>
      <c r="C12" s="4422">
        <f>'Table2(I)'!D10</f>
        <v>2.7870911391122748</v>
      </c>
      <c r="D12" s="4388">
        <f>'Table2(I)'!L10</f>
        <v>16.176381696900314</v>
      </c>
      <c r="E12" s="4388">
        <f>'Table2(I)'!M10</f>
        <v>239.50317016076968</v>
      </c>
      <c r="F12" s="4388">
        <f>'Table2(I)'!K10</f>
        <v>6.7562154829764678</v>
      </c>
      <c r="G12" s="4423" t="s">
        <v>2146</v>
      </c>
      <c r="H12" s="4424" t="s">
        <v>2146</v>
      </c>
      <c r="I12" s="4425" t="s">
        <v>2146</v>
      </c>
    </row>
    <row r="13" spans="2:9" ht="18" customHeight="1" x14ac:dyDescent="0.2">
      <c r="B13" s="2393" t="s">
        <v>1552</v>
      </c>
      <c r="C13" s="4422">
        <f>Table3!D10</f>
        <v>2249.5777747439324</v>
      </c>
      <c r="D13" s="4388">
        <f>Table3!G10</f>
        <v>300.36637330069351</v>
      </c>
      <c r="E13" s="4388">
        <f>Table3!H10</f>
        <v>17.521371775873792</v>
      </c>
      <c r="F13" s="4388">
        <f>Table3!F10</f>
        <v>18.434460559700462</v>
      </c>
      <c r="G13" s="4426"/>
      <c r="H13" s="4424" t="s">
        <v>2154</v>
      </c>
      <c r="I13" s="4425" t="s">
        <v>2153</v>
      </c>
    </row>
    <row r="14" spans="2:9" ht="18" customHeight="1" x14ac:dyDescent="0.2">
      <c r="B14" s="2393" t="s">
        <v>1553</v>
      </c>
      <c r="C14" s="4422">
        <f>Table4!D10</f>
        <v>613.85955247759591</v>
      </c>
      <c r="D14" s="4388">
        <f>Table4!G10</f>
        <v>20564.995287439306</v>
      </c>
      <c r="E14" s="4423">
        <f>Table4!H10</f>
        <v>542.48623215079715</v>
      </c>
      <c r="F14" s="4423">
        <f>Table4!F10</f>
        <v>785.49095268195924</v>
      </c>
      <c r="G14" s="4426"/>
      <c r="H14" s="4427" t="s">
        <v>2154</v>
      </c>
      <c r="I14" s="4425" t="s">
        <v>2154</v>
      </c>
    </row>
    <row r="15" spans="2:9" ht="18" customHeight="1" x14ac:dyDescent="0.2">
      <c r="B15" s="2393" t="s">
        <v>1554</v>
      </c>
      <c r="C15" s="4422">
        <f>Table5!D10</f>
        <v>453.24908884780967</v>
      </c>
      <c r="D15" s="4388" t="str">
        <f>Table5!G10</f>
        <v>NO</v>
      </c>
      <c r="E15" s="4423">
        <f>Table5!H10</f>
        <v>243.97794350142794</v>
      </c>
      <c r="F15" s="4423" t="str">
        <f>Table5!F10</f>
        <v>NO</v>
      </c>
      <c r="G15" s="4423" t="s">
        <v>2147</v>
      </c>
      <c r="H15" s="4427" t="s">
        <v>2154</v>
      </c>
      <c r="I15" s="4425" t="s">
        <v>2154</v>
      </c>
    </row>
    <row r="16" spans="2:9" ht="18" customHeight="1" thickBot="1" x14ac:dyDescent="0.25">
      <c r="B16" s="2394" t="s">
        <v>2073</v>
      </c>
      <c r="C16" s="4428" t="s">
        <v>2146</v>
      </c>
      <c r="D16" s="4390" t="s">
        <v>2146</v>
      </c>
      <c r="E16" s="4429" t="s">
        <v>2146</v>
      </c>
      <c r="F16" s="4429" t="s">
        <v>2146</v>
      </c>
      <c r="G16" s="4429" t="s">
        <v>2146</v>
      </c>
      <c r="H16" s="4430" t="s">
        <v>2146</v>
      </c>
      <c r="I16" s="4399"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6" t="s">
        <v>64</v>
      </c>
      <c r="G3" s="14" t="s">
        <v>2144</v>
      </c>
    </row>
    <row r="4" spans="2:8" ht="13.5" thickBot="1" x14ac:dyDescent="0.25">
      <c r="B4" s="2446"/>
      <c r="G4" s="2"/>
    </row>
    <row r="5" spans="2:8" hidden="1" x14ac:dyDescent="0.2">
      <c r="B5" s="2446"/>
      <c r="G5" s="2"/>
    </row>
    <row r="6" spans="2:8" ht="18.75" thickBot="1" x14ac:dyDescent="0.25">
      <c r="B6" s="2462"/>
      <c r="C6" s="549"/>
      <c r="D6" s="2516"/>
      <c r="E6" s="2517"/>
      <c r="F6" s="2518" t="s">
        <v>1996</v>
      </c>
      <c r="G6" s="3767">
        <v>0.95</v>
      </c>
    </row>
    <row r="7" spans="2:8" ht="13.5" thickBot="1" x14ac:dyDescent="0.25">
      <c r="B7" s="549"/>
      <c r="C7" s="549"/>
      <c r="H7" s="619"/>
    </row>
    <row r="8" spans="2:8" ht="28.5" x14ac:dyDescent="0.2">
      <c r="B8" s="1599" t="s">
        <v>1997</v>
      </c>
      <c r="C8" s="1600" t="s">
        <v>1555</v>
      </c>
      <c r="D8" s="1601" t="s">
        <v>1556</v>
      </c>
      <c r="E8" s="1602"/>
      <c r="F8" s="2490" t="s">
        <v>2070</v>
      </c>
      <c r="G8" s="2492" t="s">
        <v>2071</v>
      </c>
    </row>
    <row r="9" spans="2:8" ht="18" customHeight="1" thickBot="1" x14ac:dyDescent="0.25">
      <c r="B9" s="1603"/>
      <c r="C9" s="1604"/>
      <c r="D9" s="1605" t="s">
        <v>1557</v>
      </c>
      <c r="E9" s="1605" t="s">
        <v>1558</v>
      </c>
      <c r="F9" s="2491" t="s">
        <v>1831</v>
      </c>
      <c r="G9" s="2493" t="s">
        <v>1831</v>
      </c>
      <c r="H9" s="19"/>
    </row>
    <row r="10" spans="2:8" ht="18" customHeight="1" thickTop="1" x14ac:dyDescent="0.25">
      <c r="B10" s="1162" t="s">
        <v>1559</v>
      </c>
      <c r="C10" s="1443" t="s">
        <v>1560</v>
      </c>
      <c r="D10" s="3768" t="s">
        <v>2310</v>
      </c>
      <c r="E10" s="3768" t="s">
        <v>2310</v>
      </c>
      <c r="F10" s="3768" t="s">
        <v>2310</v>
      </c>
      <c r="G10" s="3769" t="s">
        <v>2310</v>
      </c>
    </row>
    <row r="11" spans="2:8" ht="18" customHeight="1" x14ac:dyDescent="0.25">
      <c r="B11" s="1162" t="s">
        <v>1559</v>
      </c>
      <c r="C11" s="1166" t="s">
        <v>1561</v>
      </c>
      <c r="D11" s="3768"/>
      <c r="E11" s="3768"/>
      <c r="F11" s="3768"/>
      <c r="G11" s="3769"/>
    </row>
    <row r="12" spans="2:8" ht="18" customHeight="1" x14ac:dyDescent="0.25">
      <c r="B12" s="1162" t="s">
        <v>1559</v>
      </c>
      <c r="C12" s="1166" t="s">
        <v>1562</v>
      </c>
      <c r="D12" s="3768"/>
      <c r="E12" s="3768"/>
      <c r="F12" s="3768"/>
      <c r="G12" s="3769"/>
    </row>
    <row r="13" spans="2:8" ht="18" customHeight="1" x14ac:dyDescent="0.25">
      <c r="B13" s="1162" t="s">
        <v>1563</v>
      </c>
      <c r="C13" s="1443" t="s">
        <v>1560</v>
      </c>
      <c r="D13" s="3768" t="s">
        <v>2310</v>
      </c>
      <c r="E13" s="3768" t="s">
        <v>2310</v>
      </c>
      <c r="F13" s="3768" t="s">
        <v>2310</v>
      </c>
      <c r="G13" s="3769" t="s">
        <v>2310</v>
      </c>
    </row>
    <row r="14" spans="2:8" ht="18" customHeight="1" x14ac:dyDescent="0.25">
      <c r="B14" s="1162" t="s">
        <v>1563</v>
      </c>
      <c r="C14" s="1166" t="s">
        <v>1561</v>
      </c>
      <c r="D14" s="3768"/>
      <c r="E14" s="3768"/>
      <c r="F14" s="3768"/>
      <c r="G14" s="3769"/>
    </row>
    <row r="15" spans="2:8" ht="18" customHeight="1" x14ac:dyDescent="0.25">
      <c r="B15" s="1162" t="s">
        <v>1563</v>
      </c>
      <c r="C15" s="1166" t="s">
        <v>1562</v>
      </c>
      <c r="D15" s="3768"/>
      <c r="E15" s="3768"/>
      <c r="F15" s="3768"/>
      <c r="G15" s="3769"/>
    </row>
    <row r="16" spans="2:8" ht="18" customHeight="1" x14ac:dyDescent="0.25">
      <c r="B16" s="1162" t="s">
        <v>1564</v>
      </c>
      <c r="C16" s="1443" t="s">
        <v>1560</v>
      </c>
      <c r="D16" s="3768" t="s">
        <v>2310</v>
      </c>
      <c r="E16" s="3768" t="s">
        <v>2310</v>
      </c>
      <c r="F16" s="3768" t="s">
        <v>2310</v>
      </c>
      <c r="G16" s="3769" t="s">
        <v>2310</v>
      </c>
    </row>
    <row r="17" spans="2:7" ht="18" customHeight="1" x14ac:dyDescent="0.25">
      <c r="B17" s="1162" t="s">
        <v>1564</v>
      </c>
      <c r="C17" s="1166" t="s">
        <v>1561</v>
      </c>
      <c r="D17" s="3768"/>
      <c r="E17" s="3768"/>
      <c r="F17" s="3768"/>
      <c r="G17" s="3769"/>
    </row>
    <row r="18" spans="2:7" ht="18" customHeight="1" x14ac:dyDescent="0.25">
      <c r="B18" s="1162" t="s">
        <v>1564</v>
      </c>
      <c r="C18" s="1166" t="s">
        <v>1562</v>
      </c>
      <c r="D18" s="3768"/>
      <c r="E18" s="3768"/>
      <c r="F18" s="3768"/>
      <c r="G18" s="3769"/>
    </row>
    <row r="19" spans="2:7" ht="18" customHeight="1" x14ac:dyDescent="0.25">
      <c r="B19" s="1162" t="s">
        <v>1565</v>
      </c>
      <c r="C19" s="1443" t="s">
        <v>1560</v>
      </c>
      <c r="D19" s="3768"/>
      <c r="E19" s="3768"/>
      <c r="F19" s="3768"/>
      <c r="G19" s="3769"/>
    </row>
    <row r="20" spans="2:7" ht="18" customHeight="1" x14ac:dyDescent="0.25">
      <c r="B20" s="1162" t="s">
        <v>1565</v>
      </c>
      <c r="C20" s="1166" t="s">
        <v>1561</v>
      </c>
      <c r="D20" s="3768"/>
      <c r="E20" s="3768"/>
      <c r="F20" s="3768"/>
      <c r="G20" s="3769"/>
    </row>
    <row r="21" spans="2:7" ht="18" customHeight="1" x14ac:dyDescent="0.25">
      <c r="B21" s="1162" t="s">
        <v>1565</v>
      </c>
      <c r="C21" s="1166" t="s">
        <v>1562</v>
      </c>
      <c r="D21" s="3768"/>
      <c r="E21" s="3768"/>
      <c r="F21" s="3768"/>
      <c r="G21" s="3769"/>
    </row>
    <row r="22" spans="2:7" ht="18" customHeight="1" x14ac:dyDescent="0.25">
      <c r="B22" s="1162" t="s">
        <v>1566</v>
      </c>
      <c r="C22" s="1443" t="s">
        <v>1560</v>
      </c>
      <c r="D22" s="3768"/>
      <c r="E22" s="3768"/>
      <c r="F22" s="3768"/>
      <c r="G22" s="3769"/>
    </row>
    <row r="23" spans="2:7" ht="18" customHeight="1" x14ac:dyDescent="0.25">
      <c r="B23" s="1162" t="s">
        <v>1566</v>
      </c>
      <c r="C23" s="1166" t="s">
        <v>1561</v>
      </c>
      <c r="D23" s="3768"/>
      <c r="E23" s="3768"/>
      <c r="F23" s="3768"/>
      <c r="G23" s="3769"/>
    </row>
    <row r="24" spans="2:7" ht="18" customHeight="1" x14ac:dyDescent="0.25">
      <c r="B24" s="1162" t="s">
        <v>1566</v>
      </c>
      <c r="C24" s="1166" t="s">
        <v>1562</v>
      </c>
      <c r="D24" s="3768"/>
      <c r="E24" s="3768"/>
      <c r="F24" s="3768"/>
      <c r="G24" s="3769"/>
    </row>
    <row r="25" spans="2:7" ht="18" customHeight="1" x14ac:dyDescent="0.25">
      <c r="B25" s="1162" t="s">
        <v>1567</v>
      </c>
      <c r="C25" s="1166" t="s">
        <v>1561</v>
      </c>
      <c r="D25" s="3768"/>
      <c r="E25" s="3768"/>
      <c r="F25" s="3768"/>
      <c r="G25" s="3769"/>
    </row>
    <row r="26" spans="2:7" ht="18" customHeight="1" x14ac:dyDescent="0.25">
      <c r="B26" s="1162" t="s">
        <v>1567</v>
      </c>
      <c r="C26" s="1166" t="s">
        <v>1562</v>
      </c>
      <c r="D26" s="3768"/>
      <c r="E26" s="3768"/>
      <c r="F26" s="3768"/>
      <c r="G26" s="3769"/>
    </row>
    <row r="27" spans="2:7" ht="18" customHeight="1" x14ac:dyDescent="0.25">
      <c r="B27" s="1163" t="s">
        <v>1568</v>
      </c>
      <c r="C27" s="1443" t="s">
        <v>1560</v>
      </c>
      <c r="D27" s="3768" t="s">
        <v>2310</v>
      </c>
      <c r="E27" s="3768" t="s">
        <v>2310</v>
      </c>
      <c r="F27" s="3768" t="s">
        <v>2310</v>
      </c>
      <c r="G27" s="3769" t="s">
        <v>2310</v>
      </c>
    </row>
    <row r="28" spans="2:7" ht="18" customHeight="1" x14ac:dyDescent="0.25">
      <c r="B28" s="1163" t="s">
        <v>1568</v>
      </c>
      <c r="C28" s="1166" t="s">
        <v>1561</v>
      </c>
      <c r="D28" s="3768"/>
      <c r="E28" s="3768"/>
      <c r="F28" s="3768"/>
      <c r="G28" s="3769"/>
    </row>
    <row r="29" spans="2:7" ht="18" customHeight="1" x14ac:dyDescent="0.25">
      <c r="B29" s="1163" t="s">
        <v>1568</v>
      </c>
      <c r="C29" s="1166" t="s">
        <v>1562</v>
      </c>
      <c r="D29" s="3768"/>
      <c r="E29" s="3768"/>
      <c r="F29" s="3768"/>
      <c r="G29" s="3769"/>
    </row>
    <row r="30" spans="2:7" ht="18" customHeight="1" x14ac:dyDescent="0.25">
      <c r="B30" s="1163" t="s">
        <v>1569</v>
      </c>
      <c r="C30" s="1443" t="s">
        <v>1560</v>
      </c>
      <c r="D30" s="3768" t="s">
        <v>2310</v>
      </c>
      <c r="E30" s="3768" t="s">
        <v>2310</v>
      </c>
      <c r="F30" s="3768" t="s">
        <v>2310</v>
      </c>
      <c r="G30" s="3769" t="s">
        <v>2310</v>
      </c>
    </row>
    <row r="31" spans="2:7" ht="18" customHeight="1" x14ac:dyDescent="0.25">
      <c r="B31" s="1163" t="s">
        <v>1569</v>
      </c>
      <c r="C31" s="1166" t="s">
        <v>1561</v>
      </c>
      <c r="D31" s="3768"/>
      <c r="E31" s="3768"/>
      <c r="F31" s="3768"/>
      <c r="G31" s="3769"/>
    </row>
    <row r="32" spans="2:7" ht="18" customHeight="1" x14ac:dyDescent="0.25">
      <c r="B32" s="1163" t="s">
        <v>1569</v>
      </c>
      <c r="C32" s="1166" t="s">
        <v>1562</v>
      </c>
      <c r="D32" s="3768"/>
      <c r="E32" s="3768"/>
      <c r="F32" s="3768"/>
      <c r="G32" s="3769"/>
    </row>
    <row r="33" spans="2:7" ht="18" customHeight="1" x14ac:dyDescent="0.25">
      <c r="B33" s="1163" t="s">
        <v>1570</v>
      </c>
      <c r="C33" s="1443" t="s">
        <v>1560</v>
      </c>
      <c r="D33" s="3768" t="s">
        <v>2310</v>
      </c>
      <c r="E33" s="3768" t="s">
        <v>2310</v>
      </c>
      <c r="F33" s="3768" t="s">
        <v>2310</v>
      </c>
      <c r="G33" s="3769" t="s">
        <v>2310</v>
      </c>
    </row>
    <row r="34" spans="2:7" ht="18" customHeight="1" x14ac:dyDescent="0.25">
      <c r="B34" s="1163" t="s">
        <v>1570</v>
      </c>
      <c r="C34" s="1166" t="s">
        <v>1561</v>
      </c>
      <c r="D34" s="3768"/>
      <c r="E34" s="3768"/>
      <c r="F34" s="3768"/>
      <c r="G34" s="3769"/>
    </row>
    <row r="35" spans="2:7" ht="18" customHeight="1" x14ac:dyDescent="0.25">
      <c r="B35" s="1163" t="s">
        <v>1570</v>
      </c>
      <c r="C35" s="1166" t="s">
        <v>1562</v>
      </c>
      <c r="D35" s="3768"/>
      <c r="E35" s="3768"/>
      <c r="F35" s="3768"/>
      <c r="G35" s="3769"/>
    </row>
    <row r="36" spans="2:7" ht="18" customHeight="1" x14ac:dyDescent="0.25">
      <c r="B36" s="1163" t="s">
        <v>1571</v>
      </c>
      <c r="C36" s="1443" t="s">
        <v>1560</v>
      </c>
      <c r="D36" s="3768"/>
      <c r="E36" s="3768"/>
      <c r="F36" s="3768"/>
      <c r="G36" s="3769"/>
    </row>
    <row r="37" spans="2:7" ht="18" customHeight="1" x14ac:dyDescent="0.25">
      <c r="B37" s="1163" t="s">
        <v>1571</v>
      </c>
      <c r="C37" s="1166" t="s">
        <v>1561</v>
      </c>
      <c r="D37" s="3768"/>
      <c r="E37" s="3768"/>
      <c r="F37" s="3768"/>
      <c r="G37" s="3769"/>
    </row>
    <row r="38" spans="2:7" ht="18" customHeight="1" x14ac:dyDescent="0.25">
      <c r="B38" s="1163" t="s">
        <v>1571</v>
      </c>
      <c r="C38" s="1166" t="s">
        <v>1562</v>
      </c>
      <c r="D38" s="3768"/>
      <c r="E38" s="3768"/>
      <c r="F38" s="3768"/>
      <c r="G38" s="3769"/>
    </row>
    <row r="39" spans="2:7" ht="18" customHeight="1" x14ac:dyDescent="0.25">
      <c r="B39" s="1163" t="s">
        <v>1572</v>
      </c>
      <c r="C39" s="1443" t="s">
        <v>1560</v>
      </c>
      <c r="D39" s="3768"/>
      <c r="E39" s="3768"/>
      <c r="F39" s="3768"/>
      <c r="G39" s="3769"/>
    </row>
    <row r="40" spans="2:7" ht="18" customHeight="1" x14ac:dyDescent="0.25">
      <c r="B40" s="1163" t="s">
        <v>1572</v>
      </c>
      <c r="C40" s="1166" t="s">
        <v>1561</v>
      </c>
      <c r="D40" s="3768"/>
      <c r="E40" s="3768"/>
      <c r="F40" s="3768"/>
      <c r="G40" s="3769"/>
    </row>
    <row r="41" spans="2:7" ht="18" customHeight="1" x14ac:dyDescent="0.25">
      <c r="B41" s="1163" t="s">
        <v>1572</v>
      </c>
      <c r="C41" s="1166" t="s">
        <v>1562</v>
      </c>
      <c r="D41" s="3768"/>
      <c r="E41" s="3768"/>
      <c r="F41" s="3768"/>
      <c r="G41" s="3769"/>
    </row>
    <row r="42" spans="2:7" ht="18" customHeight="1" x14ac:dyDescent="0.25">
      <c r="B42" s="1163" t="s">
        <v>1573</v>
      </c>
      <c r="C42" s="1166" t="s">
        <v>1561</v>
      </c>
      <c r="D42" s="3768"/>
      <c r="E42" s="3768"/>
      <c r="F42" s="3768"/>
      <c r="G42" s="3769"/>
    </row>
    <row r="43" spans="2:7" ht="18" customHeight="1" x14ac:dyDescent="0.25">
      <c r="B43" s="1163" t="s">
        <v>1573</v>
      </c>
      <c r="C43" s="1166" t="s">
        <v>1562</v>
      </c>
      <c r="D43" s="3768"/>
      <c r="E43" s="3768"/>
      <c r="F43" s="3768"/>
      <c r="G43" s="3769"/>
    </row>
    <row r="44" spans="2:7" ht="18" customHeight="1" x14ac:dyDescent="0.25">
      <c r="B44" s="1162" t="s">
        <v>1574</v>
      </c>
      <c r="C44" s="1443" t="s">
        <v>1560</v>
      </c>
      <c r="D44" s="3768" t="s">
        <v>2310</v>
      </c>
      <c r="E44" s="3768" t="s">
        <v>2310</v>
      </c>
      <c r="F44" s="3768" t="s">
        <v>2310</v>
      </c>
      <c r="G44" s="3769" t="s">
        <v>2310</v>
      </c>
    </row>
    <row r="45" spans="2:7" ht="18" customHeight="1" x14ac:dyDescent="0.25">
      <c r="B45" s="1162" t="s">
        <v>1574</v>
      </c>
      <c r="C45" s="1166" t="s">
        <v>1561</v>
      </c>
      <c r="D45" s="3768"/>
      <c r="E45" s="3768"/>
      <c r="F45" s="3768"/>
      <c r="G45" s="3769"/>
    </row>
    <row r="46" spans="2:7" ht="18" customHeight="1" x14ac:dyDescent="0.25">
      <c r="B46" s="1162" t="s">
        <v>1574</v>
      </c>
      <c r="C46" s="1166" t="s">
        <v>1562</v>
      </c>
      <c r="D46" s="3768"/>
      <c r="E46" s="3768"/>
      <c r="F46" s="3768"/>
      <c r="G46" s="3769"/>
    </row>
    <row r="47" spans="2:7" ht="18" customHeight="1" x14ac:dyDescent="0.25">
      <c r="B47" s="1162" t="s">
        <v>1575</v>
      </c>
      <c r="C47" s="1443" t="s">
        <v>1560</v>
      </c>
      <c r="D47" s="3768" t="s">
        <v>2310</v>
      </c>
      <c r="E47" s="3768" t="s">
        <v>2310</v>
      </c>
      <c r="F47" s="3768" t="s">
        <v>2310</v>
      </c>
      <c r="G47" s="3769" t="s">
        <v>2310</v>
      </c>
    </row>
    <row r="48" spans="2:7" ht="18" customHeight="1" x14ac:dyDescent="0.25">
      <c r="B48" s="1162" t="s">
        <v>1575</v>
      </c>
      <c r="C48" s="1166" t="s">
        <v>1561</v>
      </c>
      <c r="D48" s="3768"/>
      <c r="E48" s="3768" t="s">
        <v>2310</v>
      </c>
      <c r="F48" s="3768" t="s">
        <v>2310</v>
      </c>
      <c r="G48" s="3769"/>
    </row>
    <row r="49" spans="2:8" ht="18" customHeight="1" x14ac:dyDescent="0.25">
      <c r="B49" s="1162" t="s">
        <v>1575</v>
      </c>
      <c r="C49" s="1166" t="s">
        <v>1562</v>
      </c>
      <c r="D49" s="3768"/>
      <c r="E49" s="3768"/>
      <c r="F49" s="3768"/>
      <c r="G49" s="3769"/>
    </row>
    <row r="50" spans="2:8" ht="18" customHeight="1" x14ac:dyDescent="0.25">
      <c r="B50" s="1162" t="s">
        <v>1576</v>
      </c>
      <c r="C50" s="1443" t="s">
        <v>1560</v>
      </c>
      <c r="D50" s="3768" t="s">
        <v>2310</v>
      </c>
      <c r="E50" s="3768" t="s">
        <v>2310</v>
      </c>
      <c r="F50" s="3768" t="s">
        <v>2310</v>
      </c>
      <c r="G50" s="3769" t="s">
        <v>2310</v>
      </c>
    </row>
    <row r="51" spans="2:8" ht="18" customHeight="1" x14ac:dyDescent="0.25">
      <c r="B51" s="1162" t="s">
        <v>1576</v>
      </c>
      <c r="C51" s="1166" t="s">
        <v>1561</v>
      </c>
      <c r="D51" s="3768"/>
      <c r="E51" s="3768"/>
      <c r="F51" s="3768"/>
      <c r="G51" s="3769"/>
    </row>
    <row r="52" spans="2:8" ht="18" customHeight="1" x14ac:dyDescent="0.25">
      <c r="B52" s="1162" t="s">
        <v>1576</v>
      </c>
      <c r="C52" s="1166" t="s">
        <v>1562</v>
      </c>
      <c r="D52" s="3768"/>
      <c r="E52" s="3768"/>
      <c r="F52" s="3768"/>
      <c r="G52" s="3769"/>
    </row>
    <row r="53" spans="2:8" ht="18" customHeight="1" x14ac:dyDescent="0.25">
      <c r="B53" s="1162" t="s">
        <v>1577</v>
      </c>
      <c r="C53" s="1443" t="s">
        <v>1560</v>
      </c>
      <c r="D53" s="3768" t="s">
        <v>2310</v>
      </c>
      <c r="E53" s="3768" t="s">
        <v>2310</v>
      </c>
      <c r="F53" s="3768" t="s">
        <v>2310</v>
      </c>
      <c r="G53" s="3769" t="s">
        <v>2310</v>
      </c>
    </row>
    <row r="54" spans="2:8" ht="18" customHeight="1" x14ac:dyDescent="0.25">
      <c r="B54" s="1162" t="s">
        <v>1577</v>
      </c>
      <c r="C54" s="1166" t="s">
        <v>1561</v>
      </c>
      <c r="D54" s="3768"/>
      <c r="E54" s="3768"/>
      <c r="F54" s="3768"/>
      <c r="G54" s="3769"/>
    </row>
    <row r="55" spans="2:8" ht="18" customHeight="1" x14ac:dyDescent="0.25">
      <c r="B55" s="1162" t="s">
        <v>1577</v>
      </c>
      <c r="C55" s="1166" t="s">
        <v>1562</v>
      </c>
      <c r="D55" s="3768"/>
      <c r="E55" s="3768"/>
      <c r="F55" s="3768"/>
      <c r="G55" s="3769"/>
    </row>
    <row r="56" spans="2:8" ht="18" customHeight="1" x14ac:dyDescent="0.25">
      <c r="B56" s="1162" t="s">
        <v>1578</v>
      </c>
      <c r="C56" s="1443" t="s">
        <v>1560</v>
      </c>
      <c r="D56" s="3768"/>
      <c r="E56" s="3768"/>
      <c r="F56" s="3768"/>
      <c r="G56" s="3769"/>
    </row>
    <row r="57" spans="2:8" ht="18" customHeight="1" x14ac:dyDescent="0.25">
      <c r="B57" s="1162" t="s">
        <v>1578</v>
      </c>
      <c r="C57" s="1166" t="s">
        <v>1561</v>
      </c>
      <c r="D57" s="3768"/>
      <c r="E57" s="3768"/>
      <c r="F57" s="3768"/>
      <c r="G57" s="3769"/>
    </row>
    <row r="58" spans="2:8" ht="18" customHeight="1" x14ac:dyDescent="0.25">
      <c r="B58" s="1162" t="s">
        <v>1578</v>
      </c>
      <c r="C58" s="1166" t="s">
        <v>1562</v>
      </c>
      <c r="D58" s="3768"/>
      <c r="E58" s="3768"/>
      <c r="F58" s="3768"/>
      <c r="G58" s="3769"/>
    </row>
    <row r="59" spans="2:8" ht="18" customHeight="1" x14ac:dyDescent="0.25">
      <c r="B59" s="1162" t="s">
        <v>1579</v>
      </c>
      <c r="C59" s="1443" t="s">
        <v>1560</v>
      </c>
      <c r="D59" s="3768"/>
      <c r="E59" s="3768"/>
      <c r="F59" s="3768"/>
      <c r="G59" s="3769"/>
    </row>
    <row r="60" spans="2:8" ht="18" customHeight="1" x14ac:dyDescent="0.25">
      <c r="B60" s="1162" t="s">
        <v>1579</v>
      </c>
      <c r="C60" s="1166" t="s">
        <v>1561</v>
      </c>
      <c r="D60" s="3768"/>
      <c r="E60" s="3768"/>
      <c r="F60" s="3768"/>
      <c r="G60" s="3769"/>
    </row>
    <row r="61" spans="2:8" ht="18" customHeight="1" x14ac:dyDescent="0.25">
      <c r="B61" s="1162" t="s">
        <v>1579</v>
      </c>
      <c r="C61" s="1166" t="s">
        <v>1562</v>
      </c>
      <c r="D61" s="3768"/>
      <c r="E61" s="3768"/>
      <c r="F61" s="3768"/>
      <c r="G61" s="3769"/>
    </row>
    <row r="62" spans="2:8" ht="18" customHeight="1" x14ac:dyDescent="0.25">
      <c r="B62" s="1162" t="s">
        <v>1580</v>
      </c>
      <c r="C62" s="1166" t="s">
        <v>1561</v>
      </c>
      <c r="D62" s="3768"/>
      <c r="E62" s="3768"/>
      <c r="F62" s="3768"/>
      <c r="G62" s="3769"/>
    </row>
    <row r="63" spans="2:8" ht="18" customHeight="1" x14ac:dyDescent="0.25">
      <c r="B63" s="1162" t="s">
        <v>1580</v>
      </c>
      <c r="C63" s="1166" t="s">
        <v>1562</v>
      </c>
      <c r="D63" s="3768"/>
      <c r="E63" s="3768"/>
      <c r="F63" s="3768"/>
      <c r="G63" s="3769"/>
    </row>
    <row r="64" spans="2:8" ht="18" customHeight="1" x14ac:dyDescent="0.25">
      <c r="B64" s="1162" t="s">
        <v>1581</v>
      </c>
      <c r="C64" s="1443" t="s">
        <v>1560</v>
      </c>
      <c r="D64" s="3768"/>
      <c r="E64" s="3768" t="s">
        <v>2310</v>
      </c>
      <c r="F64" s="3768" t="s">
        <v>2310</v>
      </c>
      <c r="G64" s="3769"/>
      <c r="H64" s="4207"/>
    </row>
    <row r="65" spans="2:7" ht="18" customHeight="1" x14ac:dyDescent="0.25">
      <c r="B65" s="1162" t="s">
        <v>1581</v>
      </c>
      <c r="C65" s="1166" t="s">
        <v>1561</v>
      </c>
      <c r="D65" s="3768"/>
      <c r="E65" s="3768"/>
      <c r="F65" s="3768"/>
      <c r="G65" s="3769"/>
    </row>
    <row r="66" spans="2:7" ht="18" customHeight="1" x14ac:dyDescent="0.25">
      <c r="B66" s="1162" t="s">
        <v>1581</v>
      </c>
      <c r="C66" s="1166" t="s">
        <v>1562</v>
      </c>
      <c r="D66" s="3768"/>
      <c r="E66" s="3768"/>
      <c r="F66" s="3768"/>
      <c r="G66" s="3769"/>
    </row>
    <row r="67" spans="2:7" ht="18" customHeight="1" x14ac:dyDescent="0.25">
      <c r="B67" s="1162" t="s">
        <v>1582</v>
      </c>
      <c r="C67" s="1443" t="s">
        <v>1560</v>
      </c>
      <c r="D67" s="3768" t="s">
        <v>2310</v>
      </c>
      <c r="E67" s="3768" t="s">
        <v>2310</v>
      </c>
      <c r="F67" s="3768" t="s">
        <v>2310</v>
      </c>
      <c r="G67" s="3769" t="s">
        <v>2310</v>
      </c>
    </row>
    <row r="68" spans="2:7" ht="18" customHeight="1" x14ac:dyDescent="0.25">
      <c r="B68" s="1162" t="s">
        <v>1582</v>
      </c>
      <c r="C68" s="1166" t="s">
        <v>1561</v>
      </c>
      <c r="D68" s="3768"/>
      <c r="E68" s="3768"/>
      <c r="F68" s="3768"/>
      <c r="G68" s="3769"/>
    </row>
    <row r="69" spans="2:7" ht="18" customHeight="1" x14ac:dyDescent="0.25">
      <c r="B69" s="1162" t="s">
        <v>1582</v>
      </c>
      <c r="C69" s="1166" t="s">
        <v>1562</v>
      </c>
      <c r="D69" s="3768"/>
      <c r="E69" s="3768"/>
      <c r="F69" s="3768"/>
      <c r="G69" s="3769"/>
    </row>
    <row r="70" spans="2:7" ht="18" customHeight="1" x14ac:dyDescent="0.25">
      <c r="B70" s="1162" t="s">
        <v>1583</v>
      </c>
      <c r="C70" s="1443" t="s">
        <v>1560</v>
      </c>
      <c r="D70" s="3768"/>
      <c r="E70" s="3768" t="s">
        <v>2310</v>
      </c>
      <c r="F70" s="3768" t="s">
        <v>2310</v>
      </c>
      <c r="G70" s="3769"/>
    </row>
    <row r="71" spans="2:7" ht="18" customHeight="1" x14ac:dyDescent="0.25">
      <c r="B71" s="1162" t="s">
        <v>1583</v>
      </c>
      <c r="C71" s="1166" t="s">
        <v>1561</v>
      </c>
      <c r="D71" s="3768"/>
      <c r="E71" s="3768"/>
      <c r="F71" s="3768"/>
      <c r="G71" s="3769"/>
    </row>
    <row r="72" spans="2:7" ht="18" customHeight="1" x14ac:dyDescent="0.25">
      <c r="B72" s="1162" t="s">
        <v>1583</v>
      </c>
      <c r="C72" s="1166" t="s">
        <v>1562</v>
      </c>
      <c r="D72" s="3768"/>
      <c r="E72" s="3768"/>
      <c r="F72" s="3768"/>
      <c r="G72" s="3769"/>
    </row>
    <row r="73" spans="2:7" ht="18" customHeight="1" x14ac:dyDescent="0.25">
      <c r="B73" s="1162" t="s">
        <v>1584</v>
      </c>
      <c r="C73" s="1443" t="s">
        <v>1560</v>
      </c>
      <c r="D73" s="3768" t="s">
        <v>2310</v>
      </c>
      <c r="E73" s="3768" t="s">
        <v>2310</v>
      </c>
      <c r="F73" s="3768" t="s">
        <v>2310</v>
      </c>
      <c r="G73" s="3769" t="s">
        <v>2310</v>
      </c>
    </row>
    <row r="74" spans="2:7" ht="18" customHeight="1" x14ac:dyDescent="0.25">
      <c r="B74" s="1162" t="s">
        <v>1584</v>
      </c>
      <c r="C74" s="1166" t="s">
        <v>1561</v>
      </c>
      <c r="D74" s="3768"/>
      <c r="E74" s="3768"/>
      <c r="F74" s="3768"/>
      <c r="G74" s="3769"/>
    </row>
    <row r="75" spans="2:7" ht="18" customHeight="1" x14ac:dyDescent="0.25">
      <c r="B75" s="1162" t="s">
        <v>1584</v>
      </c>
      <c r="C75" s="1166" t="s">
        <v>1562</v>
      </c>
      <c r="D75" s="3768"/>
      <c r="E75" s="3768"/>
      <c r="F75" s="3768"/>
      <c r="G75" s="3769"/>
    </row>
    <row r="76" spans="2:7" ht="18" customHeight="1" x14ac:dyDescent="0.25">
      <c r="B76" s="1162" t="s">
        <v>1585</v>
      </c>
      <c r="C76" s="1443" t="s">
        <v>1560</v>
      </c>
      <c r="D76" s="3768"/>
      <c r="E76" s="3768"/>
      <c r="F76" s="3768"/>
      <c r="G76" s="3769"/>
    </row>
    <row r="77" spans="2:7" ht="18" customHeight="1" x14ac:dyDescent="0.25">
      <c r="B77" s="1162" t="s">
        <v>1585</v>
      </c>
      <c r="C77" s="1166" t="s">
        <v>1561</v>
      </c>
      <c r="D77" s="3768"/>
      <c r="E77" s="3768"/>
      <c r="F77" s="3768"/>
      <c r="G77" s="3769"/>
    </row>
    <row r="78" spans="2:7" ht="18" customHeight="1" x14ac:dyDescent="0.25">
      <c r="B78" s="1162" t="s">
        <v>1585</v>
      </c>
      <c r="C78" s="1166" t="s">
        <v>1562</v>
      </c>
      <c r="D78" s="3768"/>
      <c r="E78" s="3768"/>
      <c r="F78" s="3768"/>
      <c r="G78" s="3769"/>
    </row>
    <row r="79" spans="2:7" ht="18" customHeight="1" x14ac:dyDescent="0.25">
      <c r="B79" s="1162" t="s">
        <v>1586</v>
      </c>
      <c r="C79" s="1443" t="s">
        <v>1560</v>
      </c>
      <c r="D79" s="3768"/>
      <c r="E79" s="3768"/>
      <c r="F79" s="3768"/>
      <c r="G79" s="3769"/>
    </row>
    <row r="80" spans="2:7" ht="18" customHeight="1" x14ac:dyDescent="0.25">
      <c r="B80" s="1162" t="s">
        <v>1586</v>
      </c>
      <c r="C80" s="1166" t="s">
        <v>1561</v>
      </c>
      <c r="D80" s="3768"/>
      <c r="E80" s="3768"/>
      <c r="F80" s="3768"/>
      <c r="G80" s="3769"/>
    </row>
    <row r="81" spans="2:7" ht="18" customHeight="1" x14ac:dyDescent="0.25">
      <c r="B81" s="1162" t="s">
        <v>1586</v>
      </c>
      <c r="C81" s="1166" t="s">
        <v>1562</v>
      </c>
      <c r="D81" s="3768"/>
      <c r="E81" s="3768"/>
      <c r="F81" s="3768"/>
      <c r="G81" s="3769"/>
    </row>
    <row r="82" spans="2:7" ht="18" customHeight="1" x14ac:dyDescent="0.25">
      <c r="B82" s="1162" t="s">
        <v>1587</v>
      </c>
      <c r="C82" s="1166" t="s">
        <v>1561</v>
      </c>
      <c r="D82" s="3768"/>
      <c r="E82" s="3768" t="s">
        <v>2310</v>
      </c>
      <c r="F82" s="3768" t="s">
        <v>2310</v>
      </c>
      <c r="G82" s="3769" t="s">
        <v>2310</v>
      </c>
    </row>
    <row r="83" spans="2:7" ht="18" customHeight="1" x14ac:dyDescent="0.25">
      <c r="B83" s="1162" t="s">
        <v>1587</v>
      </c>
      <c r="C83" s="1166" t="s">
        <v>1562</v>
      </c>
      <c r="D83" s="3768"/>
      <c r="E83" s="3768"/>
      <c r="F83" s="3768"/>
      <c r="G83" s="3769"/>
    </row>
    <row r="84" spans="2:7" ht="18" customHeight="1" x14ac:dyDescent="0.25">
      <c r="B84" s="1162" t="s">
        <v>1588</v>
      </c>
      <c r="C84" s="1443" t="s">
        <v>1560</v>
      </c>
      <c r="D84" s="3768"/>
      <c r="E84" s="3768"/>
      <c r="F84" s="3768"/>
      <c r="G84" s="3769"/>
    </row>
    <row r="85" spans="2:7" ht="18" customHeight="1" x14ac:dyDescent="0.25">
      <c r="B85" s="1162" t="s">
        <v>1588</v>
      </c>
      <c r="C85" s="1166" t="s">
        <v>1561</v>
      </c>
      <c r="D85" s="3768"/>
      <c r="E85" s="3768"/>
      <c r="F85" s="3768"/>
      <c r="G85" s="3769"/>
    </row>
    <row r="86" spans="2:7" ht="18" customHeight="1" x14ac:dyDescent="0.25">
      <c r="B86" s="1162" t="s">
        <v>1588</v>
      </c>
      <c r="C86" s="1166" t="s">
        <v>1562</v>
      </c>
      <c r="D86" s="3768"/>
      <c r="E86" s="3768"/>
      <c r="F86" s="3768"/>
      <c r="G86" s="3769"/>
    </row>
    <row r="87" spans="2:7" ht="18" customHeight="1" x14ac:dyDescent="0.2">
      <c r="B87" s="1162" t="s">
        <v>1589</v>
      </c>
      <c r="C87" s="1166" t="s">
        <v>1590</v>
      </c>
      <c r="D87" s="3768"/>
      <c r="E87" s="3768"/>
      <c r="F87" s="3768"/>
      <c r="G87" s="3769"/>
    </row>
    <row r="88" spans="2:7" ht="18" customHeight="1" x14ac:dyDescent="0.25">
      <c r="B88" s="1162" t="s">
        <v>1589</v>
      </c>
      <c r="C88" s="1166" t="s">
        <v>1561</v>
      </c>
      <c r="D88" s="3768"/>
      <c r="E88" s="3768"/>
      <c r="F88" s="3768"/>
      <c r="G88" s="3769"/>
    </row>
    <row r="89" spans="2:7" ht="18" customHeight="1" x14ac:dyDescent="0.25">
      <c r="B89" s="1162" t="s">
        <v>1589</v>
      </c>
      <c r="C89" s="1166" t="s">
        <v>1562</v>
      </c>
      <c r="D89" s="3768"/>
      <c r="E89" s="3768"/>
      <c r="F89" s="3768"/>
      <c r="G89" s="3769"/>
    </row>
    <row r="90" spans="2:7" ht="18" customHeight="1" x14ac:dyDescent="0.25">
      <c r="B90" s="1162" t="s">
        <v>1591</v>
      </c>
      <c r="C90" s="1443" t="s">
        <v>1560</v>
      </c>
      <c r="D90" s="3768"/>
      <c r="E90" s="3768"/>
      <c r="F90" s="3768"/>
      <c r="G90" s="3769"/>
    </row>
    <row r="91" spans="2:7" ht="18" customHeight="1" x14ac:dyDescent="0.25">
      <c r="B91" s="1162" t="s">
        <v>1591</v>
      </c>
      <c r="C91" s="1166" t="s">
        <v>1561</v>
      </c>
      <c r="D91" s="3768"/>
      <c r="E91" s="3768"/>
      <c r="F91" s="3768"/>
      <c r="G91" s="3769"/>
    </row>
    <row r="92" spans="2:7" ht="18" customHeight="1" x14ac:dyDescent="0.25">
      <c r="B92" s="1162" t="s">
        <v>1591</v>
      </c>
      <c r="C92" s="1166" t="s">
        <v>1562</v>
      </c>
      <c r="D92" s="3768"/>
      <c r="E92" s="3768"/>
      <c r="F92" s="3768"/>
      <c r="G92" s="3769"/>
    </row>
    <row r="93" spans="2:7" ht="18" customHeight="1" x14ac:dyDescent="0.25">
      <c r="B93" s="1162" t="s">
        <v>1592</v>
      </c>
      <c r="C93" s="1443" t="s">
        <v>1560</v>
      </c>
      <c r="D93" s="3768"/>
      <c r="E93" s="3768"/>
      <c r="F93" s="3768"/>
      <c r="G93" s="3769"/>
    </row>
    <row r="94" spans="2:7" ht="18" customHeight="1" x14ac:dyDescent="0.25">
      <c r="B94" s="1162" t="s">
        <v>1592</v>
      </c>
      <c r="C94" s="1166" t="s">
        <v>1561</v>
      </c>
      <c r="D94" s="3768"/>
      <c r="E94" s="3768"/>
      <c r="F94" s="3768"/>
      <c r="G94" s="3769"/>
    </row>
    <row r="95" spans="2:7" ht="18" customHeight="1" x14ac:dyDescent="0.25">
      <c r="B95" s="1162" t="s">
        <v>1592</v>
      </c>
      <c r="C95" s="1166" t="s">
        <v>1562</v>
      </c>
      <c r="D95" s="3768"/>
      <c r="E95" s="3768"/>
      <c r="F95" s="3768"/>
      <c r="G95" s="3769"/>
    </row>
    <row r="96" spans="2:7" ht="18" customHeight="1" x14ac:dyDescent="0.25">
      <c r="B96" s="1162" t="s">
        <v>1593</v>
      </c>
      <c r="C96" s="1443" t="s">
        <v>1560</v>
      </c>
      <c r="D96" s="3768"/>
      <c r="E96" s="3768"/>
      <c r="F96" s="3768"/>
      <c r="G96" s="3769"/>
    </row>
    <row r="97" spans="2:7" ht="18" customHeight="1" x14ac:dyDescent="0.25">
      <c r="B97" s="1162" t="s">
        <v>1593</v>
      </c>
      <c r="C97" s="1166" t="s">
        <v>1561</v>
      </c>
      <c r="D97" s="3768"/>
      <c r="E97" s="3768"/>
      <c r="F97" s="3768"/>
      <c r="G97" s="3769"/>
    </row>
    <row r="98" spans="2:7" ht="18" customHeight="1" x14ac:dyDescent="0.25">
      <c r="B98" s="1162" t="s">
        <v>1593</v>
      </c>
      <c r="C98" s="1166" t="s">
        <v>1562</v>
      </c>
      <c r="D98" s="3768"/>
      <c r="E98" s="3768"/>
      <c r="F98" s="3768"/>
      <c r="G98" s="3769"/>
    </row>
    <row r="99" spans="2:7" ht="18" customHeight="1" x14ac:dyDescent="0.25">
      <c r="B99" s="1162" t="s">
        <v>1594</v>
      </c>
      <c r="C99" s="1166" t="s">
        <v>1561</v>
      </c>
      <c r="D99" s="3768"/>
      <c r="E99" s="3768"/>
      <c r="F99" s="3768"/>
      <c r="G99" s="3769"/>
    </row>
    <row r="100" spans="2:7" ht="18" customHeight="1" x14ac:dyDescent="0.25">
      <c r="B100" s="1162" t="s">
        <v>1594</v>
      </c>
      <c r="C100" s="1166" t="s">
        <v>1562</v>
      </c>
      <c r="D100" s="3768"/>
      <c r="E100" s="3768"/>
      <c r="F100" s="3768"/>
      <c r="G100" s="3769"/>
    </row>
    <row r="101" spans="2:7" ht="18" customHeight="1" x14ac:dyDescent="0.25">
      <c r="B101" s="1162" t="s">
        <v>1595</v>
      </c>
      <c r="C101" s="1443" t="s">
        <v>1560</v>
      </c>
      <c r="D101" s="3768" t="s">
        <v>2310</v>
      </c>
      <c r="E101" s="3768" t="s">
        <v>2310</v>
      </c>
      <c r="F101" s="3768" t="s">
        <v>2310</v>
      </c>
      <c r="G101" s="3769" t="s">
        <v>2310</v>
      </c>
    </row>
    <row r="102" spans="2:7" ht="18" customHeight="1" x14ac:dyDescent="0.25">
      <c r="B102" s="1162" t="s">
        <v>1595</v>
      </c>
      <c r="C102" s="1166" t="s">
        <v>1561</v>
      </c>
      <c r="D102" s="3768" t="s">
        <v>2310</v>
      </c>
      <c r="E102" s="3768" t="s">
        <v>2310</v>
      </c>
      <c r="F102" s="3768" t="s">
        <v>2310</v>
      </c>
      <c r="G102" s="3769" t="s">
        <v>2310</v>
      </c>
    </row>
    <row r="103" spans="2:7" ht="18" customHeight="1" x14ac:dyDescent="0.25">
      <c r="B103" s="1162" t="s">
        <v>1596</v>
      </c>
      <c r="C103" s="1443" t="s">
        <v>1560</v>
      </c>
      <c r="D103" s="3768"/>
      <c r="E103" s="3768"/>
      <c r="F103" s="3768"/>
      <c r="G103" s="3769"/>
    </row>
    <row r="104" spans="2:7" ht="18" customHeight="1" x14ac:dyDescent="0.25">
      <c r="B104" s="1162" t="s">
        <v>1597</v>
      </c>
      <c r="C104" s="1166" t="s">
        <v>1561</v>
      </c>
      <c r="D104" s="3768"/>
      <c r="E104" s="3768"/>
      <c r="F104" s="3768"/>
      <c r="G104" s="3769"/>
    </row>
    <row r="105" spans="2:7" ht="18" customHeight="1" x14ac:dyDescent="0.25">
      <c r="B105" s="1162" t="s">
        <v>1598</v>
      </c>
      <c r="C105" s="1443" t="s">
        <v>1560</v>
      </c>
      <c r="D105" s="3768"/>
      <c r="E105" s="3768"/>
      <c r="F105" s="3768"/>
      <c r="G105" s="3769"/>
    </row>
    <row r="106" spans="2:7" ht="18" customHeight="1" x14ac:dyDescent="0.25">
      <c r="B106" s="1162" t="s">
        <v>1598</v>
      </c>
      <c r="C106" s="1166" t="s">
        <v>1561</v>
      </c>
      <c r="D106" s="3768" t="s">
        <v>2310</v>
      </c>
      <c r="E106" s="3768" t="s">
        <v>2310</v>
      </c>
      <c r="F106" s="3768" t="s">
        <v>2310</v>
      </c>
      <c r="G106" s="3769" t="s">
        <v>2310</v>
      </c>
    </row>
    <row r="107" spans="2:7" ht="18" customHeight="1" x14ac:dyDescent="0.25">
      <c r="B107" s="1162" t="s">
        <v>1599</v>
      </c>
      <c r="C107" s="1443" t="s">
        <v>1560</v>
      </c>
      <c r="D107" s="3768" t="s">
        <v>2310</v>
      </c>
      <c r="E107" s="3768" t="s">
        <v>2310</v>
      </c>
      <c r="F107" s="3768" t="s">
        <v>2310</v>
      </c>
      <c r="G107" s="3769" t="s">
        <v>2310</v>
      </c>
    </row>
    <row r="108" spans="2:7" ht="18" customHeight="1" x14ac:dyDescent="0.25">
      <c r="B108" s="1162" t="s">
        <v>1599</v>
      </c>
      <c r="C108" s="1166" t="s">
        <v>1561</v>
      </c>
      <c r="D108" s="3768" t="s">
        <v>2310</v>
      </c>
      <c r="E108" s="3768" t="s">
        <v>2310</v>
      </c>
      <c r="F108" s="3768" t="s">
        <v>2310</v>
      </c>
      <c r="G108" s="3769" t="s">
        <v>2310</v>
      </c>
    </row>
    <row r="109" spans="2:7" ht="18" customHeight="1" x14ac:dyDescent="0.25">
      <c r="B109" s="1162" t="s">
        <v>1599</v>
      </c>
      <c r="C109" s="1166" t="s">
        <v>1562</v>
      </c>
      <c r="D109" s="3768"/>
      <c r="E109" s="3768"/>
      <c r="F109" s="3768"/>
      <c r="G109" s="3769"/>
    </row>
    <row r="110" spans="2:7" ht="18" customHeight="1" x14ac:dyDescent="0.25">
      <c r="B110" s="1162" t="s">
        <v>1600</v>
      </c>
      <c r="C110" s="1443" t="s">
        <v>1560</v>
      </c>
      <c r="D110" s="3768"/>
      <c r="E110" s="3768"/>
      <c r="F110" s="3768"/>
      <c r="G110" s="3769"/>
    </row>
    <row r="111" spans="2:7" ht="18" customHeight="1" x14ac:dyDescent="0.25">
      <c r="B111" s="1162" t="s">
        <v>1600</v>
      </c>
      <c r="C111" s="1166" t="s">
        <v>1561</v>
      </c>
      <c r="D111" s="3768"/>
      <c r="E111" s="3768"/>
      <c r="F111" s="3768"/>
      <c r="G111" s="3769"/>
    </row>
    <row r="112" spans="2:7" ht="18" customHeight="1" x14ac:dyDescent="0.25">
      <c r="B112" s="1162" t="s">
        <v>1600</v>
      </c>
      <c r="C112" s="1166" t="s">
        <v>1562</v>
      </c>
      <c r="D112" s="3768"/>
      <c r="E112" s="3768"/>
      <c r="F112" s="3768"/>
      <c r="G112" s="3769"/>
    </row>
    <row r="113" spans="2:7" ht="18" customHeight="1" x14ac:dyDescent="0.25">
      <c r="B113" s="1162" t="s">
        <v>1601</v>
      </c>
      <c r="C113" s="1443" t="s">
        <v>1560</v>
      </c>
      <c r="D113" s="3768"/>
      <c r="E113" s="3768"/>
      <c r="F113" s="3768"/>
      <c r="G113" s="3769"/>
    </row>
    <row r="114" spans="2:7" ht="18" customHeight="1" x14ac:dyDescent="0.25">
      <c r="B114" s="1163" t="s">
        <v>1602</v>
      </c>
      <c r="C114" s="1443" t="s">
        <v>1560</v>
      </c>
      <c r="D114" s="3768"/>
      <c r="E114" s="3768"/>
      <c r="F114" s="3768"/>
      <c r="G114" s="3769"/>
    </row>
    <row r="115" spans="2:7" ht="18" customHeight="1" x14ac:dyDescent="0.25">
      <c r="B115" s="1162" t="s">
        <v>1603</v>
      </c>
      <c r="C115" s="1443" t="s">
        <v>1560</v>
      </c>
      <c r="D115" s="3768" t="s">
        <v>2310</v>
      </c>
      <c r="E115" s="3768" t="s">
        <v>2310</v>
      </c>
      <c r="F115" s="3768" t="s">
        <v>2310</v>
      </c>
      <c r="G115" s="3769" t="s">
        <v>2310</v>
      </c>
    </row>
    <row r="116" spans="2:7" ht="18" customHeight="1" x14ac:dyDescent="0.25">
      <c r="B116" s="1162" t="s">
        <v>1604</v>
      </c>
      <c r="C116" s="1443" t="s">
        <v>1560</v>
      </c>
      <c r="D116" s="3768" t="s">
        <v>2310</v>
      </c>
      <c r="E116" s="3768"/>
      <c r="F116" s="3768" t="s">
        <v>2310</v>
      </c>
      <c r="G116" s="3769"/>
    </row>
    <row r="117" spans="2:7" ht="18" customHeight="1" x14ac:dyDescent="0.25">
      <c r="B117" s="1162" t="s">
        <v>1605</v>
      </c>
      <c r="C117" s="1443" t="s">
        <v>1560</v>
      </c>
      <c r="D117" s="3768"/>
      <c r="E117" s="3768"/>
      <c r="F117" s="3768"/>
      <c r="G117" s="3769"/>
    </row>
    <row r="118" spans="2:7" ht="18" customHeight="1" x14ac:dyDescent="0.25">
      <c r="B118" s="1162" t="s">
        <v>1606</v>
      </c>
      <c r="C118" s="1443" t="s">
        <v>1560</v>
      </c>
      <c r="D118" s="3768" t="s">
        <v>2310</v>
      </c>
      <c r="E118" s="3768"/>
      <c r="F118" s="3768" t="s">
        <v>2310</v>
      </c>
      <c r="G118" s="3769" t="s">
        <v>2310</v>
      </c>
    </row>
    <row r="119" spans="2:7" ht="18" customHeight="1" x14ac:dyDescent="0.25">
      <c r="B119" s="1162" t="s">
        <v>1607</v>
      </c>
      <c r="C119" s="1443" t="s">
        <v>1560</v>
      </c>
      <c r="D119" s="3768" t="s">
        <v>2310</v>
      </c>
      <c r="E119" s="3768" t="s">
        <v>2310</v>
      </c>
      <c r="F119" s="3768" t="s">
        <v>2310</v>
      </c>
      <c r="G119" s="3769" t="s">
        <v>2310</v>
      </c>
    </row>
    <row r="120" spans="2:7" ht="18" customHeight="1" x14ac:dyDescent="0.25">
      <c r="B120" s="1164" t="s">
        <v>1607</v>
      </c>
      <c r="C120" s="1166" t="s">
        <v>1561</v>
      </c>
      <c r="D120" s="3768"/>
      <c r="E120" s="3768"/>
      <c r="F120" s="3768"/>
      <c r="G120" s="3769"/>
    </row>
    <row r="121" spans="2:7" ht="18" customHeight="1" x14ac:dyDescent="0.25">
      <c r="B121" s="1164" t="s">
        <v>1607</v>
      </c>
      <c r="C121" s="1166" t="s">
        <v>1562</v>
      </c>
      <c r="D121" s="3768"/>
      <c r="E121" s="3768"/>
      <c r="F121" s="3768"/>
      <c r="G121" s="3769"/>
    </row>
    <row r="122" spans="2:7" ht="18" customHeight="1" x14ac:dyDescent="0.25">
      <c r="B122" s="1164" t="s">
        <v>1608</v>
      </c>
      <c r="C122" s="1166" t="s">
        <v>1562</v>
      </c>
      <c r="D122" s="3768" t="s">
        <v>2310</v>
      </c>
      <c r="E122" s="3768"/>
      <c r="F122" s="3768" t="s">
        <v>2310</v>
      </c>
      <c r="G122" s="3769" t="s">
        <v>2310</v>
      </c>
    </row>
    <row r="123" spans="2:7" ht="18" customHeight="1" x14ac:dyDescent="0.25">
      <c r="B123" s="1164" t="s">
        <v>1609</v>
      </c>
      <c r="C123" s="1443" t="s">
        <v>1560</v>
      </c>
      <c r="D123" s="3768"/>
      <c r="E123" s="3768"/>
      <c r="F123" s="3768"/>
      <c r="G123" s="3769"/>
    </row>
    <row r="124" spans="2:7" ht="18" customHeight="1" x14ac:dyDescent="0.25">
      <c r="B124" s="1164" t="s">
        <v>1609</v>
      </c>
      <c r="C124" s="1166" t="s">
        <v>1562</v>
      </c>
      <c r="D124" s="3768"/>
      <c r="E124" s="3768"/>
      <c r="F124" s="3768"/>
      <c r="G124" s="3769"/>
    </row>
    <row r="125" spans="2:7" ht="18" customHeight="1" x14ac:dyDescent="0.25">
      <c r="B125" s="1164" t="s">
        <v>1610</v>
      </c>
      <c r="C125" s="1443" t="s">
        <v>1560</v>
      </c>
      <c r="D125" s="3768"/>
      <c r="E125" s="3768"/>
      <c r="F125" s="3768"/>
      <c r="G125" s="3769"/>
    </row>
    <row r="126" spans="2:7" ht="18" customHeight="1" x14ac:dyDescent="0.25">
      <c r="B126" s="1164" t="s">
        <v>1610</v>
      </c>
      <c r="C126" s="1166" t="s">
        <v>1562</v>
      </c>
      <c r="D126" s="3768"/>
      <c r="E126" s="3768"/>
      <c r="F126" s="3768"/>
      <c r="G126" s="3769"/>
    </row>
    <row r="127" spans="2:7" ht="18" customHeight="1" x14ac:dyDescent="0.25">
      <c r="B127" s="1164" t="s">
        <v>1611</v>
      </c>
      <c r="C127" s="1443" t="s">
        <v>1560</v>
      </c>
      <c r="D127" s="3768"/>
      <c r="E127" s="3768"/>
      <c r="F127" s="3768"/>
      <c r="G127" s="3769"/>
    </row>
    <row r="128" spans="2:7" ht="18" customHeight="1" x14ac:dyDescent="0.25">
      <c r="B128" s="1164" t="s">
        <v>1611</v>
      </c>
      <c r="C128" s="1166" t="s">
        <v>1561</v>
      </c>
      <c r="D128" s="3768"/>
      <c r="E128" s="3768"/>
      <c r="F128" s="3768"/>
      <c r="G128" s="3769"/>
    </row>
    <row r="129" spans="2:7" ht="18" customHeight="1" x14ac:dyDescent="0.25">
      <c r="B129" s="1164" t="s">
        <v>1612</v>
      </c>
      <c r="C129" s="1443" t="s">
        <v>1560</v>
      </c>
      <c r="D129" s="3768"/>
      <c r="E129" s="3768"/>
      <c r="F129" s="3768"/>
      <c r="G129" s="3769"/>
    </row>
    <row r="130" spans="2:7" ht="18" customHeight="1" x14ac:dyDescent="0.25">
      <c r="B130" s="1164" t="s">
        <v>1613</v>
      </c>
      <c r="C130" s="1443" t="s">
        <v>1560</v>
      </c>
      <c r="D130" s="3768"/>
      <c r="E130" s="3768"/>
      <c r="F130" s="3768"/>
      <c r="G130" s="3769"/>
    </row>
    <row r="131" spans="2:7" ht="18" customHeight="1" x14ac:dyDescent="0.25">
      <c r="B131" s="1165" t="s">
        <v>1614</v>
      </c>
      <c r="C131" s="1443" t="s">
        <v>1560</v>
      </c>
      <c r="D131" s="3768"/>
      <c r="E131" s="3768"/>
      <c r="F131" s="3768"/>
      <c r="G131" s="3769"/>
    </row>
    <row r="132" spans="2:7" ht="18" customHeight="1" x14ac:dyDescent="0.25">
      <c r="B132" s="1165" t="s">
        <v>1614</v>
      </c>
      <c r="C132" s="1166" t="s">
        <v>1561</v>
      </c>
      <c r="D132" s="3768"/>
      <c r="E132" s="3768"/>
      <c r="F132" s="3768"/>
      <c r="G132" s="3769"/>
    </row>
    <row r="133" spans="2:7" ht="18" customHeight="1" x14ac:dyDescent="0.2">
      <c r="B133" s="1164" t="s">
        <v>1615</v>
      </c>
      <c r="C133" s="1166" t="s">
        <v>1616</v>
      </c>
      <c r="D133" s="3768"/>
      <c r="E133" s="3768" t="s">
        <v>2310</v>
      </c>
      <c r="F133" s="3768" t="s">
        <v>2310</v>
      </c>
      <c r="G133" s="3769" t="s">
        <v>2310</v>
      </c>
    </row>
    <row r="134" spans="2:7" ht="18" customHeight="1" x14ac:dyDescent="0.25">
      <c r="B134" s="1164" t="s">
        <v>1617</v>
      </c>
      <c r="C134" s="1443" t="s">
        <v>1560</v>
      </c>
      <c r="D134" s="3768"/>
      <c r="E134" s="3768"/>
      <c r="F134" s="3768"/>
      <c r="G134" s="3769"/>
    </row>
    <row r="135" spans="2:7" ht="18" customHeight="1" x14ac:dyDescent="0.25">
      <c r="B135" s="1164" t="s">
        <v>1617</v>
      </c>
      <c r="C135" s="1166" t="s">
        <v>1561</v>
      </c>
      <c r="D135" s="3768"/>
      <c r="E135" s="3768"/>
      <c r="F135" s="3768"/>
      <c r="G135" s="3769"/>
    </row>
    <row r="136" spans="2:7" ht="18" customHeight="1" x14ac:dyDescent="0.25">
      <c r="B136" s="1164" t="s">
        <v>1617</v>
      </c>
      <c r="C136" s="1166" t="s">
        <v>1562</v>
      </c>
      <c r="D136" s="3768"/>
      <c r="E136" s="3768"/>
      <c r="F136" s="3768"/>
      <c r="G136" s="3769"/>
    </row>
    <row r="137" spans="2:7" ht="18" customHeight="1" x14ac:dyDescent="0.2">
      <c r="B137" s="1164" t="s">
        <v>1617</v>
      </c>
      <c r="C137" s="1166" t="s">
        <v>1616</v>
      </c>
      <c r="D137" s="3768"/>
      <c r="E137" s="3768"/>
      <c r="F137" s="3768"/>
      <c r="G137" s="3769"/>
    </row>
    <row r="138" spans="2:7" ht="18" customHeight="1" x14ac:dyDescent="0.25">
      <c r="B138" s="1162" t="s">
        <v>1618</v>
      </c>
      <c r="C138" s="1443" t="s">
        <v>1560</v>
      </c>
      <c r="D138" s="3768" t="s">
        <v>2310</v>
      </c>
      <c r="E138" s="3768" t="s">
        <v>2310</v>
      </c>
      <c r="F138" s="3768" t="s">
        <v>2310</v>
      </c>
      <c r="G138" s="3769" t="s">
        <v>2310</v>
      </c>
    </row>
    <row r="139" spans="2:7" ht="18" customHeight="1" x14ac:dyDescent="0.25">
      <c r="B139" s="1162" t="s">
        <v>1618</v>
      </c>
      <c r="C139" s="1166" t="s">
        <v>1561</v>
      </c>
      <c r="D139" s="3768"/>
      <c r="E139" s="3768"/>
      <c r="F139" s="3768"/>
      <c r="G139" s="3769"/>
    </row>
    <row r="140" spans="2:7" ht="18" customHeight="1" x14ac:dyDescent="0.25">
      <c r="B140" s="1162" t="s">
        <v>1619</v>
      </c>
      <c r="C140" s="1443" t="s">
        <v>1560</v>
      </c>
      <c r="D140" s="3768"/>
      <c r="E140" s="3768"/>
      <c r="F140" s="3768"/>
      <c r="G140" s="3769"/>
    </row>
    <row r="141" spans="2:7" ht="18" customHeight="1" x14ac:dyDescent="0.25">
      <c r="B141" s="1162" t="s">
        <v>1619</v>
      </c>
      <c r="C141" s="1166" t="s">
        <v>1561</v>
      </c>
      <c r="D141" s="3768"/>
      <c r="E141" s="3768"/>
      <c r="F141" s="3768"/>
      <c r="G141" s="3769"/>
    </row>
    <row r="142" spans="2:7" ht="18" customHeight="1" x14ac:dyDescent="0.25">
      <c r="B142" s="1162" t="s">
        <v>1620</v>
      </c>
      <c r="C142" s="1443" t="s">
        <v>1560</v>
      </c>
      <c r="D142" s="3768" t="s">
        <v>2310</v>
      </c>
      <c r="E142" s="3768" t="s">
        <v>2310</v>
      </c>
      <c r="F142" s="3768" t="s">
        <v>2310</v>
      </c>
      <c r="G142" s="3769" t="s">
        <v>2310</v>
      </c>
    </row>
    <row r="143" spans="2:7" ht="18" customHeight="1" x14ac:dyDescent="0.2">
      <c r="B143" s="1162" t="s">
        <v>1620</v>
      </c>
      <c r="C143" s="1166" t="s">
        <v>1511</v>
      </c>
      <c r="D143" s="3768"/>
      <c r="E143" s="3768" t="s">
        <v>2310</v>
      </c>
      <c r="F143" s="3768" t="s">
        <v>2310</v>
      </c>
      <c r="G143" s="3769" t="s">
        <v>2310</v>
      </c>
    </row>
    <row r="144" spans="2:7" ht="18" customHeight="1" x14ac:dyDescent="0.25">
      <c r="B144" s="1164" t="s">
        <v>1620</v>
      </c>
      <c r="C144" s="1166" t="s">
        <v>1621</v>
      </c>
      <c r="D144" s="3768"/>
      <c r="E144" s="3768"/>
      <c r="F144" s="3768"/>
      <c r="G144" s="3769"/>
    </row>
    <row r="145" spans="2:7" ht="18" customHeight="1" x14ac:dyDescent="0.25">
      <c r="B145" s="1164" t="s">
        <v>1622</v>
      </c>
      <c r="C145" s="1443" t="s">
        <v>1560</v>
      </c>
      <c r="D145" s="3768"/>
      <c r="E145" s="3768"/>
      <c r="F145" s="3768"/>
      <c r="G145" s="3769"/>
    </row>
    <row r="146" spans="2:7" ht="18" customHeight="1" x14ac:dyDescent="0.2">
      <c r="B146" s="1164" t="s">
        <v>1622</v>
      </c>
      <c r="C146" s="1166" t="s">
        <v>1539</v>
      </c>
      <c r="D146" s="3768"/>
      <c r="E146" s="3768"/>
      <c r="F146" s="3768"/>
      <c r="G146" s="3769"/>
    </row>
    <row r="147" spans="2:7" ht="18" customHeight="1" x14ac:dyDescent="0.2">
      <c r="B147" s="1164" t="s">
        <v>1622</v>
      </c>
      <c r="C147" s="1166" t="s">
        <v>1511</v>
      </c>
      <c r="D147" s="3768"/>
      <c r="E147" s="3768"/>
      <c r="F147" s="3768"/>
      <c r="G147" s="3769"/>
    </row>
    <row r="148" spans="2:7" ht="18" customHeight="1" x14ac:dyDescent="0.25">
      <c r="B148" s="1164" t="s">
        <v>1622</v>
      </c>
      <c r="C148" s="1166" t="s">
        <v>1621</v>
      </c>
      <c r="D148" s="3768"/>
      <c r="E148" s="3768"/>
      <c r="F148" s="3768"/>
      <c r="G148" s="3769"/>
    </row>
    <row r="149" spans="2:7" ht="18" customHeight="1" x14ac:dyDescent="0.2">
      <c r="B149" s="1164" t="s">
        <v>1622</v>
      </c>
      <c r="C149" s="1166" t="s">
        <v>1512</v>
      </c>
      <c r="D149" s="3768"/>
      <c r="E149" s="3768"/>
      <c r="F149" s="3768"/>
      <c r="G149" s="3769"/>
    </row>
    <row r="150" spans="2:7" ht="18" customHeight="1" x14ac:dyDescent="0.25">
      <c r="B150" s="1164" t="s">
        <v>1623</v>
      </c>
      <c r="C150" s="1443" t="s">
        <v>1560</v>
      </c>
      <c r="D150" s="3768"/>
      <c r="E150" s="3768"/>
      <c r="F150" s="3768"/>
      <c r="G150" s="3769"/>
    </row>
    <row r="151" spans="2:7" ht="18" customHeight="1" x14ac:dyDescent="0.25">
      <c r="B151" s="1164" t="s">
        <v>1624</v>
      </c>
      <c r="C151" s="1443" t="s">
        <v>1560</v>
      </c>
      <c r="D151" s="3768"/>
      <c r="E151" s="3768"/>
      <c r="F151" s="3768"/>
      <c r="G151" s="3769"/>
    </row>
    <row r="152" spans="2:7" ht="18" customHeight="1" x14ac:dyDescent="0.25">
      <c r="B152" s="1164" t="s">
        <v>1625</v>
      </c>
      <c r="C152" s="1443" t="s">
        <v>1560</v>
      </c>
      <c r="D152" s="3768"/>
      <c r="E152" s="3768"/>
      <c r="F152" s="3768"/>
      <c r="G152" s="3769"/>
    </row>
    <row r="153" spans="2:7" ht="18" customHeight="1" x14ac:dyDescent="0.25">
      <c r="B153" s="1164" t="s">
        <v>1625</v>
      </c>
      <c r="C153" s="1166" t="s">
        <v>1561</v>
      </c>
      <c r="D153" s="3768"/>
      <c r="E153" s="3768"/>
      <c r="F153" s="3768"/>
      <c r="G153" s="3769"/>
    </row>
    <row r="154" spans="2:7" ht="18" customHeight="1" x14ac:dyDescent="0.25">
      <c r="B154" s="1164" t="s">
        <v>1625</v>
      </c>
      <c r="C154" s="1166" t="s">
        <v>1562</v>
      </c>
      <c r="D154" s="3768"/>
      <c r="E154" s="3768"/>
      <c r="F154" s="3768"/>
      <c r="G154" s="3769"/>
    </row>
    <row r="155" spans="2:7" ht="18" customHeight="1" x14ac:dyDescent="0.2">
      <c r="B155" s="1164" t="s">
        <v>1625</v>
      </c>
      <c r="C155" s="1166" t="s">
        <v>1616</v>
      </c>
      <c r="D155" s="3768"/>
      <c r="E155" s="3768"/>
      <c r="F155" s="3768"/>
      <c r="G155" s="3769"/>
    </row>
    <row r="156" spans="2:7" ht="18" customHeight="1" x14ac:dyDescent="0.25">
      <c r="B156" s="1164" t="s">
        <v>1626</v>
      </c>
      <c r="C156" s="1443" t="s">
        <v>1560</v>
      </c>
      <c r="D156" s="3768"/>
      <c r="E156" s="3768"/>
      <c r="F156" s="3768"/>
      <c r="G156" s="3769"/>
    </row>
    <row r="157" spans="2:7" ht="18" customHeight="1" x14ac:dyDescent="0.25">
      <c r="B157" s="1164" t="s">
        <v>1626</v>
      </c>
      <c r="C157" s="1166" t="s">
        <v>1561</v>
      </c>
      <c r="D157" s="3768"/>
      <c r="E157" s="3768"/>
      <c r="F157" s="3768"/>
      <c r="G157" s="3769"/>
    </row>
    <row r="158" spans="2:7" ht="18" customHeight="1" x14ac:dyDescent="0.25">
      <c r="B158" s="1164" t="s">
        <v>1626</v>
      </c>
      <c r="C158" s="1166" t="s">
        <v>1562</v>
      </c>
      <c r="D158" s="3768"/>
      <c r="E158" s="3768"/>
      <c r="F158" s="3768"/>
      <c r="G158" s="3769"/>
    </row>
    <row r="159" spans="2:7" ht="18" customHeight="1" x14ac:dyDescent="0.25">
      <c r="B159" s="1162" t="s">
        <v>1627</v>
      </c>
      <c r="C159" s="1166" t="s">
        <v>1562</v>
      </c>
      <c r="D159" s="3768"/>
      <c r="E159" s="3768"/>
      <c r="F159" s="3768"/>
      <c r="G159" s="3769"/>
    </row>
    <row r="160" spans="2:7" ht="18" customHeight="1" x14ac:dyDescent="0.2">
      <c r="B160" s="1162" t="s">
        <v>1627</v>
      </c>
      <c r="C160" s="1166" t="s">
        <v>1616</v>
      </c>
      <c r="D160" s="3768"/>
      <c r="E160" s="3768"/>
      <c r="F160" s="3768"/>
      <c r="G160" s="3769"/>
    </row>
    <row r="161" spans="2:7" ht="18" customHeight="1" x14ac:dyDescent="0.2">
      <c r="B161" s="1162" t="s">
        <v>1628</v>
      </c>
      <c r="C161" s="1166" t="s">
        <v>1616</v>
      </c>
      <c r="D161" s="3768" t="s">
        <v>2310</v>
      </c>
      <c r="E161" s="3768" t="s">
        <v>2310</v>
      </c>
      <c r="F161" s="3768" t="s">
        <v>2310</v>
      </c>
      <c r="G161" s="3769" t="s">
        <v>2310</v>
      </c>
    </row>
    <row r="162" spans="2:7" ht="18" customHeight="1" x14ac:dyDescent="0.2">
      <c r="B162" s="1162" t="s">
        <v>1629</v>
      </c>
      <c r="C162" s="1166" t="s">
        <v>1616</v>
      </c>
      <c r="D162" s="3768"/>
      <c r="E162" s="3768"/>
      <c r="F162" s="3768"/>
      <c r="G162" s="3769"/>
    </row>
    <row r="163" spans="2:7" ht="18" customHeight="1" x14ac:dyDescent="0.2">
      <c r="B163" s="1162" t="s">
        <v>1630</v>
      </c>
      <c r="C163" s="1166" t="s">
        <v>1616</v>
      </c>
      <c r="D163" s="3768"/>
      <c r="E163" s="3768"/>
      <c r="F163" s="3768"/>
      <c r="G163" s="3769"/>
    </row>
    <row r="164" spans="2:7" ht="18" customHeight="1" x14ac:dyDescent="0.2">
      <c r="B164" s="1162" t="s">
        <v>1631</v>
      </c>
      <c r="C164" s="1166" t="s">
        <v>1616</v>
      </c>
      <c r="D164" s="3768"/>
      <c r="E164" s="3768" t="s">
        <v>2310</v>
      </c>
      <c r="F164" s="3768" t="s">
        <v>2310</v>
      </c>
      <c r="G164" s="3769"/>
    </row>
    <row r="165" spans="2:7" ht="18" customHeight="1" x14ac:dyDescent="0.2">
      <c r="B165" s="1162" t="s">
        <v>1632</v>
      </c>
      <c r="C165" s="1166" t="s">
        <v>1616</v>
      </c>
      <c r="D165" s="3768"/>
      <c r="E165" s="3768"/>
      <c r="F165" s="3768"/>
      <c r="G165" s="3769"/>
    </row>
    <row r="166" spans="2:7" ht="18" customHeight="1" x14ac:dyDescent="0.2">
      <c r="B166" s="1162" t="s">
        <v>1633</v>
      </c>
      <c r="C166" s="1166" t="s">
        <v>1616</v>
      </c>
      <c r="D166" s="3768"/>
      <c r="E166" s="3768"/>
      <c r="F166" s="3768"/>
      <c r="G166" s="3769"/>
    </row>
    <row r="167" spans="2:7" ht="18" customHeight="1" x14ac:dyDescent="0.25">
      <c r="B167" s="1164" t="s">
        <v>1634</v>
      </c>
      <c r="C167" s="1443" t="s">
        <v>1560</v>
      </c>
      <c r="D167" s="3768"/>
      <c r="E167" s="3768"/>
      <c r="F167" s="3768"/>
      <c r="G167" s="3769"/>
    </row>
    <row r="168" spans="2:7" ht="18" customHeight="1" x14ac:dyDescent="0.25">
      <c r="B168" s="1164" t="s">
        <v>1634</v>
      </c>
      <c r="C168" s="1166" t="s">
        <v>1561</v>
      </c>
      <c r="D168" s="3768"/>
      <c r="E168" s="3768"/>
      <c r="F168" s="3768"/>
      <c r="G168" s="3769"/>
    </row>
    <row r="169" spans="2:7" ht="18" customHeight="1" x14ac:dyDescent="0.25">
      <c r="B169" s="1164" t="s">
        <v>1634</v>
      </c>
      <c r="C169" s="1166" t="s">
        <v>1562</v>
      </c>
      <c r="D169" s="3768"/>
      <c r="E169" s="3768"/>
      <c r="F169" s="3768"/>
      <c r="G169" s="3769"/>
    </row>
    <row r="170" spans="2:7" ht="18" customHeight="1" x14ac:dyDescent="0.2">
      <c r="B170" s="1164" t="s">
        <v>1634</v>
      </c>
      <c r="C170" s="1166" t="s">
        <v>1616</v>
      </c>
      <c r="D170" s="3768"/>
      <c r="E170" s="3768"/>
      <c r="F170" s="3768"/>
      <c r="G170" s="3769"/>
    </row>
    <row r="171" spans="2:7" ht="18" customHeight="1" x14ac:dyDescent="0.25">
      <c r="B171" s="1164" t="s">
        <v>1635</v>
      </c>
      <c r="C171" s="1443" t="s">
        <v>1560</v>
      </c>
      <c r="D171" s="3768"/>
      <c r="E171" s="3768"/>
      <c r="F171" s="3768"/>
      <c r="G171" s="3769"/>
    </row>
    <row r="172" spans="2:7" ht="18" customHeight="1" x14ac:dyDescent="0.25">
      <c r="B172" s="1164" t="s">
        <v>1635</v>
      </c>
      <c r="C172" s="1166" t="s">
        <v>1561</v>
      </c>
      <c r="D172" s="3768"/>
      <c r="E172" s="3768"/>
      <c r="F172" s="3768"/>
      <c r="G172" s="3769"/>
    </row>
    <row r="173" spans="2:7" ht="18" customHeight="1" x14ac:dyDescent="0.25">
      <c r="B173" s="1164" t="s">
        <v>1635</v>
      </c>
      <c r="C173" s="1166" t="s">
        <v>1562</v>
      </c>
      <c r="D173" s="3768"/>
      <c r="E173" s="3768"/>
      <c r="F173" s="3768"/>
      <c r="G173" s="3769"/>
    </row>
    <row r="174" spans="2:7" ht="18" customHeight="1" x14ac:dyDescent="0.2">
      <c r="B174" s="1164" t="s">
        <v>1635</v>
      </c>
      <c r="C174" s="1166" t="s">
        <v>1616</v>
      </c>
      <c r="D174" s="3768"/>
      <c r="E174" s="3768"/>
      <c r="F174" s="3768"/>
      <c r="G174" s="3769"/>
    </row>
    <row r="175" spans="2:7" ht="18" customHeight="1" x14ac:dyDescent="0.25">
      <c r="B175" s="1163" t="s">
        <v>1636</v>
      </c>
      <c r="C175" s="1443" t="s">
        <v>1560</v>
      </c>
      <c r="D175" s="3768"/>
      <c r="E175" s="3768"/>
      <c r="F175" s="3768"/>
      <c r="G175" s="3769"/>
    </row>
    <row r="176" spans="2:7" ht="18" customHeight="1" x14ac:dyDescent="0.25">
      <c r="B176" s="1164" t="s">
        <v>1637</v>
      </c>
      <c r="C176" s="1166" t="s">
        <v>1561</v>
      </c>
      <c r="D176" s="3768" t="s">
        <v>2310</v>
      </c>
      <c r="E176" s="3768" t="s">
        <v>2310</v>
      </c>
      <c r="F176" s="3768" t="s">
        <v>2310</v>
      </c>
      <c r="G176" s="3769" t="s">
        <v>2310</v>
      </c>
    </row>
    <row r="177" spans="2:7" ht="18" customHeight="1" x14ac:dyDescent="0.25">
      <c r="B177" s="1164" t="s">
        <v>1638</v>
      </c>
      <c r="C177" s="1166" t="s">
        <v>1561</v>
      </c>
      <c r="D177" s="3768" t="s">
        <v>2310</v>
      </c>
      <c r="E177" s="3768" t="s">
        <v>2310</v>
      </c>
      <c r="F177" s="3768" t="s">
        <v>2310</v>
      </c>
      <c r="G177" s="3769" t="s">
        <v>2310</v>
      </c>
    </row>
    <row r="178" spans="2:7" ht="18" customHeight="1" x14ac:dyDescent="0.25">
      <c r="B178" s="1164" t="s">
        <v>1638</v>
      </c>
      <c r="C178" s="1166" t="s">
        <v>1562</v>
      </c>
      <c r="D178" s="3768"/>
      <c r="E178" s="3768"/>
      <c r="F178" s="3768"/>
      <c r="G178" s="3769"/>
    </row>
    <row r="179" spans="2:7" ht="18" customHeight="1" x14ac:dyDescent="0.25">
      <c r="B179" s="1164" t="s">
        <v>1639</v>
      </c>
      <c r="C179" s="1166" t="s">
        <v>1561</v>
      </c>
      <c r="D179" s="3768"/>
      <c r="E179" s="3768"/>
      <c r="F179" s="3768"/>
      <c r="G179" s="3769"/>
    </row>
    <row r="180" spans="2:7" ht="18" customHeight="1" x14ac:dyDescent="0.25">
      <c r="B180" s="1164" t="s">
        <v>1640</v>
      </c>
      <c r="C180" s="1166" t="s">
        <v>1561</v>
      </c>
      <c r="D180" s="3768"/>
      <c r="E180" s="3768"/>
      <c r="F180" s="3768"/>
      <c r="G180" s="3769"/>
    </row>
    <row r="181" spans="2:7" ht="18" customHeight="1" x14ac:dyDescent="0.25">
      <c r="B181" s="1162" t="s">
        <v>1641</v>
      </c>
      <c r="C181" s="1166" t="s">
        <v>1562</v>
      </c>
      <c r="D181" s="3768" t="s">
        <v>2310</v>
      </c>
      <c r="E181" s="3768" t="s">
        <v>2310</v>
      </c>
      <c r="F181" s="3768" t="s">
        <v>2310</v>
      </c>
      <c r="G181" s="3769" t="s">
        <v>2310</v>
      </c>
    </row>
    <row r="182" spans="2:7" ht="18" customHeight="1" x14ac:dyDescent="0.25">
      <c r="B182" s="1163" t="s">
        <v>1642</v>
      </c>
      <c r="C182" s="1166" t="s">
        <v>1562</v>
      </c>
      <c r="D182" s="3768" t="s">
        <v>2310</v>
      </c>
      <c r="E182" s="3768" t="s">
        <v>2310</v>
      </c>
      <c r="F182" s="3768" t="s">
        <v>2310</v>
      </c>
      <c r="G182" s="3769" t="s">
        <v>2310</v>
      </c>
    </row>
    <row r="183" spans="2:7" ht="18" customHeight="1" x14ac:dyDescent="0.25">
      <c r="B183" s="1162" t="s">
        <v>1643</v>
      </c>
      <c r="C183" s="1166" t="s">
        <v>1561</v>
      </c>
      <c r="D183" s="3768"/>
      <c r="E183" s="3768"/>
      <c r="F183" s="3768"/>
      <c r="G183" s="3769"/>
    </row>
    <row r="184" spans="2:7" ht="18" customHeight="1" x14ac:dyDescent="0.25">
      <c r="B184" s="1162" t="s">
        <v>1643</v>
      </c>
      <c r="C184" s="1166" t="s">
        <v>1562</v>
      </c>
      <c r="D184" s="3768"/>
      <c r="E184" s="3768"/>
      <c r="F184" s="3768"/>
      <c r="G184" s="3769"/>
    </row>
    <row r="185" spans="2:7" ht="18" customHeight="1" x14ac:dyDescent="0.25">
      <c r="B185" s="1162" t="s">
        <v>1644</v>
      </c>
      <c r="C185" s="1166" t="s">
        <v>1561</v>
      </c>
      <c r="D185" s="3768"/>
      <c r="E185" s="3768"/>
      <c r="F185" s="3768"/>
      <c r="G185" s="3769"/>
    </row>
    <row r="186" spans="2:7" ht="18" customHeight="1" x14ac:dyDescent="0.25">
      <c r="B186" s="1162" t="s">
        <v>1644</v>
      </c>
      <c r="C186" s="1166" t="s">
        <v>1562</v>
      </c>
      <c r="D186" s="3768"/>
      <c r="E186" s="3768"/>
      <c r="F186" s="3768"/>
      <c r="G186" s="3769"/>
    </row>
    <row r="187" spans="2:7" ht="18" customHeight="1" x14ac:dyDescent="0.25">
      <c r="B187" s="1162" t="s">
        <v>1645</v>
      </c>
      <c r="C187" s="1443" t="s">
        <v>1560</v>
      </c>
      <c r="D187" s="3768" t="s">
        <v>2310</v>
      </c>
      <c r="E187" s="3768" t="s">
        <v>2310</v>
      </c>
      <c r="F187" s="3768" t="s">
        <v>2310</v>
      </c>
      <c r="G187" s="3769" t="s">
        <v>2310</v>
      </c>
    </row>
    <row r="188" spans="2:7" ht="18" customHeight="1" x14ac:dyDescent="0.25">
      <c r="B188" s="1162" t="s">
        <v>1646</v>
      </c>
      <c r="C188" s="1443" t="s">
        <v>1560</v>
      </c>
      <c r="D188" s="3768" t="s">
        <v>2310</v>
      </c>
      <c r="E188" s="3768" t="s">
        <v>2310</v>
      </c>
      <c r="F188" s="3768" t="s">
        <v>2310</v>
      </c>
      <c r="G188" s="3769" t="s">
        <v>2310</v>
      </c>
    </row>
    <row r="189" spans="2:7" ht="18" customHeight="1" x14ac:dyDescent="0.25">
      <c r="B189" s="1162" t="s">
        <v>1647</v>
      </c>
      <c r="C189" s="1443" t="s">
        <v>1560</v>
      </c>
      <c r="D189" s="3768"/>
      <c r="E189" s="3768"/>
      <c r="F189" s="3768"/>
      <c r="G189" s="3769"/>
    </row>
    <row r="190" spans="2:7" ht="18" customHeight="1" x14ac:dyDescent="0.25">
      <c r="B190" s="1162" t="s">
        <v>1648</v>
      </c>
      <c r="C190" s="1443" t="s">
        <v>1560</v>
      </c>
      <c r="D190" s="3768"/>
      <c r="E190" s="3768"/>
      <c r="F190" s="3768"/>
      <c r="G190" s="3769"/>
    </row>
    <row r="191" spans="2:7" ht="18" customHeight="1" x14ac:dyDescent="0.25">
      <c r="B191" s="1164" t="s">
        <v>1648</v>
      </c>
      <c r="C191" s="1166" t="s">
        <v>1561</v>
      </c>
      <c r="D191" s="3768"/>
      <c r="E191" s="3768"/>
      <c r="F191" s="3768"/>
      <c r="G191" s="3769"/>
    </row>
    <row r="192" spans="2:7" ht="18" customHeight="1" x14ac:dyDescent="0.25">
      <c r="B192" s="1164" t="s">
        <v>1648</v>
      </c>
      <c r="C192" s="1166" t="s">
        <v>1562</v>
      </c>
      <c r="D192" s="3768"/>
      <c r="E192" s="3768"/>
      <c r="F192" s="3768"/>
      <c r="G192" s="3769"/>
    </row>
    <row r="193" spans="2:7" ht="18" customHeight="1" x14ac:dyDescent="0.25">
      <c r="B193" s="1163" t="s">
        <v>1649</v>
      </c>
      <c r="C193" s="1443" t="s">
        <v>1560</v>
      </c>
      <c r="D193" s="3768"/>
      <c r="E193" s="3768"/>
      <c r="F193" s="3768"/>
      <c r="G193" s="3769"/>
    </row>
    <row r="194" spans="2:7" ht="18" customHeight="1" x14ac:dyDescent="0.25">
      <c r="B194" s="1164" t="s">
        <v>1650</v>
      </c>
      <c r="C194" s="1443" t="s">
        <v>1560</v>
      </c>
      <c r="D194" s="3768" t="s">
        <v>2310</v>
      </c>
      <c r="E194" s="3768" t="s">
        <v>2310</v>
      </c>
      <c r="F194" s="3768"/>
      <c r="G194" s="3769" t="s">
        <v>2310</v>
      </c>
    </row>
    <row r="195" spans="2:7" ht="18" customHeight="1" x14ac:dyDescent="0.25">
      <c r="B195" s="1164" t="s">
        <v>1651</v>
      </c>
      <c r="C195" s="1443" t="s">
        <v>1560</v>
      </c>
      <c r="D195" s="3768" t="s">
        <v>2310</v>
      </c>
      <c r="E195" s="3768" t="s">
        <v>2310</v>
      </c>
      <c r="F195" s="3768"/>
      <c r="G195" s="3769" t="s">
        <v>2310</v>
      </c>
    </row>
    <row r="196" spans="2:7" ht="18" customHeight="1" x14ac:dyDescent="0.25">
      <c r="B196" s="1164" t="s">
        <v>1652</v>
      </c>
      <c r="C196" s="1443" t="s">
        <v>1560</v>
      </c>
      <c r="D196" s="3768" t="s">
        <v>2310</v>
      </c>
      <c r="E196" s="3768" t="s">
        <v>2310</v>
      </c>
      <c r="F196" s="3768"/>
      <c r="G196" s="3769" t="s">
        <v>2310</v>
      </c>
    </row>
    <row r="197" spans="2:7" ht="18" customHeight="1" x14ac:dyDescent="0.25">
      <c r="B197" s="1164" t="s">
        <v>1653</v>
      </c>
      <c r="C197" s="1443" t="s">
        <v>1560</v>
      </c>
      <c r="D197" s="3768" t="s">
        <v>2310</v>
      </c>
      <c r="E197" s="3768" t="s">
        <v>2310</v>
      </c>
      <c r="F197" s="3768"/>
      <c r="G197" s="3769" t="s">
        <v>2310</v>
      </c>
    </row>
    <row r="198" spans="2:7" ht="18" customHeight="1" x14ac:dyDescent="0.25">
      <c r="B198" s="1164" t="s">
        <v>1654</v>
      </c>
      <c r="C198" s="1443" t="s">
        <v>1560</v>
      </c>
      <c r="D198" s="3768" t="s">
        <v>2310</v>
      </c>
      <c r="E198" s="3768" t="s">
        <v>2310</v>
      </c>
      <c r="F198" s="3768"/>
      <c r="G198" s="3769" t="s">
        <v>2310</v>
      </c>
    </row>
    <row r="199" spans="2:7" ht="18" customHeight="1" x14ac:dyDescent="0.25">
      <c r="B199" s="1164" t="s">
        <v>1655</v>
      </c>
      <c r="C199" s="1443" t="s">
        <v>1560</v>
      </c>
      <c r="D199" s="3768" t="s">
        <v>2310</v>
      </c>
      <c r="E199" s="3768" t="s">
        <v>2310</v>
      </c>
      <c r="F199" s="3768"/>
      <c r="G199" s="3769" t="s">
        <v>2310</v>
      </c>
    </row>
    <row r="200" spans="2:7" ht="18" customHeight="1" x14ac:dyDescent="0.25">
      <c r="B200" s="1164" t="s">
        <v>1656</v>
      </c>
      <c r="C200" s="1443" t="s">
        <v>1560</v>
      </c>
      <c r="D200" s="3768"/>
      <c r="E200" s="3768"/>
      <c r="F200" s="3768"/>
      <c r="G200" s="3769"/>
    </row>
    <row r="201" spans="2:7" ht="18" customHeight="1" x14ac:dyDescent="0.25">
      <c r="B201" s="1164" t="s">
        <v>1657</v>
      </c>
      <c r="C201" s="1443" t="s">
        <v>1560</v>
      </c>
      <c r="D201" s="3768"/>
      <c r="E201" s="3768"/>
      <c r="F201" s="3768"/>
      <c r="G201" s="3769"/>
    </row>
    <row r="202" spans="2:7" ht="18" customHeight="1" x14ac:dyDescent="0.25">
      <c r="B202" s="1164" t="s">
        <v>1658</v>
      </c>
      <c r="C202" s="1443" t="s">
        <v>1560</v>
      </c>
      <c r="D202" s="3768"/>
      <c r="E202" s="3768" t="s">
        <v>2310</v>
      </c>
      <c r="F202" s="3768"/>
      <c r="G202" s="3769" t="s">
        <v>2310</v>
      </c>
    </row>
    <row r="203" spans="2:7" ht="18" customHeight="1" x14ac:dyDescent="0.25">
      <c r="B203" s="1164" t="s">
        <v>1659</v>
      </c>
      <c r="C203" s="1443" t="s">
        <v>1560</v>
      </c>
      <c r="D203" s="3768"/>
      <c r="E203" s="3768"/>
      <c r="F203" s="3768"/>
      <c r="G203" s="3769"/>
    </row>
    <row r="204" spans="2:7" ht="18" customHeight="1" x14ac:dyDescent="0.25">
      <c r="B204" s="1164" t="s">
        <v>1660</v>
      </c>
      <c r="C204" s="1443" t="s">
        <v>1560</v>
      </c>
      <c r="D204" s="3768"/>
      <c r="E204" s="3768"/>
      <c r="F204" s="3768"/>
      <c r="G204" s="3769"/>
    </row>
    <row r="205" spans="2:7" ht="18" customHeight="1" x14ac:dyDescent="0.25">
      <c r="B205" s="1164" t="s">
        <v>1661</v>
      </c>
      <c r="C205" s="1443" t="s">
        <v>1560</v>
      </c>
      <c r="D205" s="3768" t="s">
        <v>2310</v>
      </c>
      <c r="E205" s="3768" t="s">
        <v>2310</v>
      </c>
      <c r="F205" s="3768"/>
      <c r="G205" s="3769" t="s">
        <v>2310</v>
      </c>
    </row>
    <row r="206" spans="2:7" ht="18" customHeight="1" x14ac:dyDescent="0.25">
      <c r="B206" s="1164" t="s">
        <v>1662</v>
      </c>
      <c r="C206" s="1443" t="s">
        <v>1560</v>
      </c>
      <c r="D206" s="3768"/>
      <c r="E206" s="3768"/>
      <c r="F206" s="3768"/>
      <c r="G206" s="3769"/>
    </row>
    <row r="207" spans="2:7" ht="18" customHeight="1" x14ac:dyDescent="0.25">
      <c r="B207" s="1164" t="s">
        <v>1663</v>
      </c>
      <c r="C207" s="1443" t="s">
        <v>1560</v>
      </c>
      <c r="D207" s="3768"/>
      <c r="E207" s="3768"/>
      <c r="F207" s="3768"/>
      <c r="G207" s="3769"/>
    </row>
    <row r="208" spans="2:7" ht="18" customHeight="1" x14ac:dyDescent="0.25">
      <c r="B208" s="1162" t="s">
        <v>1664</v>
      </c>
      <c r="C208" s="1443" t="s">
        <v>1560</v>
      </c>
      <c r="D208" s="3768" t="s">
        <v>2310</v>
      </c>
      <c r="E208" s="3768" t="s">
        <v>2310</v>
      </c>
      <c r="F208" s="3768"/>
      <c r="G208" s="3769" t="s">
        <v>2310</v>
      </c>
    </row>
    <row r="209" spans="2:7" ht="18" customHeight="1" x14ac:dyDescent="0.25">
      <c r="B209" s="1163" t="s">
        <v>1914</v>
      </c>
      <c r="C209" s="1166" t="s">
        <v>1562</v>
      </c>
      <c r="D209" s="3768"/>
      <c r="E209" s="3768"/>
      <c r="F209" s="3768"/>
      <c r="G209" s="3769"/>
    </row>
    <row r="210" spans="2:7" ht="18" customHeight="1" x14ac:dyDescent="0.25">
      <c r="B210" s="1163" t="s">
        <v>1665</v>
      </c>
      <c r="C210" s="1443" t="s">
        <v>1560</v>
      </c>
      <c r="D210" s="3768"/>
      <c r="E210" s="3768"/>
      <c r="F210" s="3768"/>
      <c r="G210" s="3769"/>
    </row>
    <row r="211" spans="2:7" ht="18" customHeight="1" x14ac:dyDescent="0.25">
      <c r="B211" s="1163" t="s">
        <v>1665</v>
      </c>
      <c r="C211" s="1166" t="s">
        <v>1561</v>
      </c>
      <c r="D211" s="3768" t="s">
        <v>2310</v>
      </c>
      <c r="E211" s="3768" t="s">
        <v>2310</v>
      </c>
      <c r="F211" s="3768"/>
      <c r="G211" s="3769" t="s">
        <v>2310</v>
      </c>
    </row>
    <row r="212" spans="2:7" ht="18" customHeight="1" x14ac:dyDescent="0.25">
      <c r="B212" s="1163" t="s">
        <v>1665</v>
      </c>
      <c r="C212" s="1166" t="s">
        <v>1562</v>
      </c>
      <c r="D212" s="3768"/>
      <c r="E212" s="3768"/>
      <c r="F212" s="3768"/>
      <c r="G212" s="3769"/>
    </row>
    <row r="213" spans="2:7" ht="18" customHeight="1" x14ac:dyDescent="0.25">
      <c r="B213" s="1165" t="s">
        <v>1915</v>
      </c>
      <c r="C213" s="1166" t="s">
        <v>1562</v>
      </c>
      <c r="D213" s="3768"/>
      <c r="E213" s="3768"/>
      <c r="F213" s="3768"/>
      <c r="G213" s="3769"/>
    </row>
    <row r="214" spans="2:7" ht="18" customHeight="1" x14ac:dyDescent="0.25">
      <c r="B214" s="1165" t="s">
        <v>1666</v>
      </c>
      <c r="C214" s="1443" t="s">
        <v>1560</v>
      </c>
      <c r="D214" s="3768"/>
      <c r="E214" s="3768"/>
      <c r="F214" s="3768"/>
      <c r="G214" s="3769"/>
    </row>
    <row r="215" spans="2:7" ht="18" customHeight="1" x14ac:dyDescent="0.25">
      <c r="B215" s="1164" t="s">
        <v>1666</v>
      </c>
      <c r="C215" s="1166" t="s">
        <v>1561</v>
      </c>
      <c r="D215" s="3768" t="s">
        <v>2310</v>
      </c>
      <c r="E215" s="3768" t="s">
        <v>2310</v>
      </c>
      <c r="F215" s="3768"/>
      <c r="G215" s="3769" t="s">
        <v>2310</v>
      </c>
    </row>
    <row r="216" spans="2:7" ht="18" customHeight="1" x14ac:dyDescent="0.25">
      <c r="B216" s="1164" t="s">
        <v>1666</v>
      </c>
      <c r="C216" s="1166" t="s">
        <v>1562</v>
      </c>
      <c r="D216" s="3768" t="s">
        <v>2310</v>
      </c>
      <c r="E216" s="3768"/>
      <c r="F216" s="3768"/>
      <c r="G216" s="3769" t="s">
        <v>2310</v>
      </c>
    </row>
    <row r="217" spans="2:7" ht="18" customHeight="1" x14ac:dyDescent="0.25">
      <c r="B217" s="1165" t="s">
        <v>1667</v>
      </c>
      <c r="C217" s="1443" t="s">
        <v>1560</v>
      </c>
      <c r="D217" s="3768"/>
      <c r="E217" s="3768"/>
      <c r="F217" s="3768"/>
      <c r="G217" s="3769"/>
    </row>
    <row r="218" spans="2:7" ht="18" customHeight="1" x14ac:dyDescent="0.25">
      <c r="B218" s="1165" t="s">
        <v>1667</v>
      </c>
      <c r="C218" s="1166" t="s">
        <v>1561</v>
      </c>
      <c r="D218" s="3768"/>
      <c r="E218" s="3768"/>
      <c r="F218" s="3768"/>
      <c r="G218" s="3769"/>
    </row>
    <row r="219" spans="2:7" ht="18" customHeight="1" x14ac:dyDescent="0.25">
      <c r="B219" s="1165" t="s">
        <v>1667</v>
      </c>
      <c r="C219" s="1166" t="s">
        <v>1562</v>
      </c>
      <c r="D219" s="3768"/>
      <c r="E219" s="3768"/>
      <c r="F219" s="3768"/>
      <c r="G219" s="3769"/>
    </row>
    <row r="220" spans="2:7" ht="18" customHeight="1" x14ac:dyDescent="0.25">
      <c r="B220" s="1163" t="s">
        <v>1668</v>
      </c>
      <c r="C220" s="1443" t="s">
        <v>1560</v>
      </c>
      <c r="D220" s="3768"/>
      <c r="E220" s="3768"/>
      <c r="F220" s="3768"/>
      <c r="G220" s="3769"/>
    </row>
    <row r="221" spans="2:7" ht="18" customHeight="1" x14ac:dyDescent="0.25">
      <c r="B221" s="1164" t="s">
        <v>1669</v>
      </c>
      <c r="C221" s="1166" t="s">
        <v>1561</v>
      </c>
      <c r="D221" s="3768" t="s">
        <v>2310</v>
      </c>
      <c r="E221" s="3768" t="s">
        <v>2310</v>
      </c>
      <c r="F221" s="3768" t="s">
        <v>2310</v>
      </c>
      <c r="G221" s="3769" t="s">
        <v>2310</v>
      </c>
    </row>
    <row r="222" spans="2:7" ht="18" customHeight="1" x14ac:dyDescent="0.25">
      <c r="B222" s="1164" t="s">
        <v>1670</v>
      </c>
      <c r="C222" s="1166" t="s">
        <v>1561</v>
      </c>
      <c r="D222" s="3768"/>
      <c r="E222" s="3768"/>
      <c r="F222" s="3768"/>
      <c r="G222" s="3769"/>
    </row>
    <row r="223" spans="2:7" ht="18" customHeight="1" x14ac:dyDescent="0.25">
      <c r="B223" s="1164" t="s">
        <v>1670</v>
      </c>
      <c r="C223" s="1166" t="s">
        <v>1562</v>
      </c>
      <c r="D223" s="3768"/>
      <c r="E223" s="3768"/>
      <c r="F223" s="3768"/>
      <c r="G223" s="3769"/>
    </row>
    <row r="224" spans="2:7" ht="18" customHeight="1" x14ac:dyDescent="0.25">
      <c r="B224" s="1164" t="s">
        <v>1671</v>
      </c>
      <c r="C224" s="1443" t="s">
        <v>1560</v>
      </c>
      <c r="D224" s="3768"/>
      <c r="E224" s="3768"/>
      <c r="F224" s="3768"/>
      <c r="G224" s="3769"/>
    </row>
    <row r="225" spans="2:7" ht="18" customHeight="1" x14ac:dyDescent="0.25">
      <c r="B225" s="1164" t="s">
        <v>1671</v>
      </c>
      <c r="C225" s="1166" t="s">
        <v>1561</v>
      </c>
      <c r="D225" s="3768"/>
      <c r="E225" s="3768"/>
      <c r="F225" s="3768"/>
      <c r="G225" s="3769"/>
    </row>
    <row r="226" spans="2:7" ht="18" customHeight="1" x14ac:dyDescent="0.25">
      <c r="B226" s="1164" t="s">
        <v>1671</v>
      </c>
      <c r="C226" s="1166" t="s">
        <v>1562</v>
      </c>
      <c r="D226" s="3768"/>
      <c r="E226" s="3768"/>
      <c r="F226" s="3768"/>
      <c r="G226" s="3769"/>
    </row>
    <row r="227" spans="2:7" ht="18" customHeight="1" x14ac:dyDescent="0.25">
      <c r="B227" s="1162" t="s">
        <v>1672</v>
      </c>
      <c r="C227" s="1166" t="s">
        <v>1561</v>
      </c>
      <c r="D227" s="3768" t="s">
        <v>2310</v>
      </c>
      <c r="E227" s="3768" t="s">
        <v>2310</v>
      </c>
      <c r="F227" s="3768" t="s">
        <v>2310</v>
      </c>
      <c r="G227" s="3769" t="s">
        <v>2310</v>
      </c>
    </row>
    <row r="228" spans="2:7" ht="18" customHeight="1" x14ac:dyDescent="0.25">
      <c r="B228" s="1162" t="s">
        <v>1672</v>
      </c>
      <c r="C228" s="1166" t="s">
        <v>1562</v>
      </c>
      <c r="D228" s="3768"/>
      <c r="E228" s="3768"/>
      <c r="F228" s="3768"/>
      <c r="G228" s="3769"/>
    </row>
    <row r="229" spans="2:7" ht="18" customHeight="1" x14ac:dyDescent="0.25">
      <c r="B229" s="1163" t="s">
        <v>1673</v>
      </c>
      <c r="C229" s="1443" t="s">
        <v>1560</v>
      </c>
      <c r="D229" s="3768"/>
      <c r="E229" s="3768"/>
      <c r="F229" s="3768"/>
      <c r="G229" s="3769"/>
    </row>
    <row r="230" spans="2:7" ht="18" customHeight="1" x14ac:dyDescent="0.25">
      <c r="B230" s="1163" t="s">
        <v>1673</v>
      </c>
      <c r="C230" s="1166" t="s">
        <v>1561</v>
      </c>
      <c r="D230" s="3768"/>
      <c r="E230" s="3768"/>
      <c r="F230" s="3768"/>
      <c r="G230" s="3769"/>
    </row>
    <row r="231" spans="2:7" ht="18" customHeight="1" x14ac:dyDescent="0.25">
      <c r="B231" s="1163" t="s">
        <v>1674</v>
      </c>
      <c r="C231" s="1443" t="s">
        <v>1560</v>
      </c>
      <c r="D231" s="3768"/>
      <c r="E231" s="3768"/>
      <c r="F231" s="3768"/>
      <c r="G231" s="3769"/>
    </row>
    <row r="232" spans="2:7" ht="18" customHeight="1" x14ac:dyDescent="0.25">
      <c r="B232" s="1163" t="s">
        <v>1675</v>
      </c>
      <c r="C232" s="1166" t="s">
        <v>1560</v>
      </c>
      <c r="D232" s="3768"/>
      <c r="E232" s="3768"/>
      <c r="F232" s="3768"/>
      <c r="G232" s="3769"/>
    </row>
    <row r="233" spans="2:7" ht="18" customHeight="1" x14ac:dyDescent="0.25">
      <c r="B233" s="1163" t="s">
        <v>1675</v>
      </c>
      <c r="C233" s="1166" t="s">
        <v>1561</v>
      </c>
      <c r="D233" s="3768"/>
      <c r="E233" s="3768"/>
      <c r="F233" s="3768"/>
      <c r="G233" s="3769"/>
    </row>
    <row r="234" spans="2:7" ht="18" customHeight="1" x14ac:dyDescent="0.25">
      <c r="B234" s="1163" t="s">
        <v>1675</v>
      </c>
      <c r="C234" s="1166" t="s">
        <v>1562</v>
      </c>
      <c r="D234" s="3768"/>
      <c r="E234" s="3768"/>
      <c r="F234" s="3768"/>
      <c r="G234" s="3769"/>
    </row>
    <row r="235" spans="2:7" ht="18" customHeight="1" x14ac:dyDescent="0.2">
      <c r="B235" s="1163" t="s">
        <v>1675</v>
      </c>
      <c r="C235" s="1166" t="s">
        <v>1616</v>
      </c>
      <c r="D235" s="3768"/>
      <c r="E235" s="3768"/>
      <c r="F235" s="3768"/>
      <c r="G235" s="3769"/>
    </row>
    <row r="236" spans="2:7" ht="18" customHeight="1" thickBot="1" x14ac:dyDescent="0.3">
      <c r="B236" s="1404" t="s">
        <v>1676</v>
      </c>
      <c r="C236" s="1444" t="s">
        <v>1560</v>
      </c>
      <c r="D236" s="3770"/>
      <c r="E236" s="3770"/>
      <c r="F236" s="3770"/>
      <c r="G236" s="3771"/>
    </row>
    <row r="237" spans="2:7" x14ac:dyDescent="0.2">
      <c r="B237" s="1"/>
      <c r="C237" s="1"/>
      <c r="D237" s="1"/>
      <c r="E237" s="1"/>
      <c r="F237" s="1"/>
      <c r="G237" s="1"/>
    </row>
    <row r="238" spans="2:7" ht="15" x14ac:dyDescent="0.2">
      <c r="B238" s="1933"/>
      <c r="C238" s="693"/>
      <c r="D238" s="693"/>
      <c r="E238" s="693"/>
      <c r="F238" s="693"/>
      <c r="G238" s="693"/>
    </row>
    <row r="239" spans="2:7" x14ac:dyDescent="0.2">
      <c r="B239" s="1934"/>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519" t="s">
        <v>2311</v>
      </c>
      <c r="C250" s="4520"/>
      <c r="D250" s="4520"/>
      <c r="E250" s="4520"/>
      <c r="F250" s="4520"/>
      <c r="G250" s="4521"/>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2016</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6"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25">
      <c r="B10" s="1940" t="s">
        <v>1475</v>
      </c>
      <c r="C10" s="4193">
        <f>SUM(C11,C22,C30,C41,C50,C56)</f>
        <v>357580.22052913549</v>
      </c>
      <c r="D10" s="4193">
        <f>SUM(D11,D22,D30,D41,D50,D56)</f>
        <v>349339.45979783888</v>
      </c>
      <c r="E10" s="3840">
        <f>IF(D10="NO",IF(C10="NO","NA",-C10),IF(C10="NO",D10,D10-C10))</f>
        <v>-8240.7607312966138</v>
      </c>
      <c r="F10" s="3838">
        <f>IF(E10="NA","NA",E10/C10*100)</f>
        <v>-2.3045907626272522</v>
      </c>
      <c r="G10" s="3841">
        <f>IF(E10="NA","NA",E10/Table8s2!$G$35*100)</f>
        <v>-1.4919324132298324</v>
      </c>
      <c r="H10" s="3842">
        <f>IF(E10="NA","NA",E10/Table8s2!$G$34*100)</f>
        <v>-1.6080066306615775</v>
      </c>
      <c r="I10" s="4194">
        <f>SUM(I11,I22,I30,I41,I50,I56)</f>
        <v>136771.55321318051</v>
      </c>
      <c r="J10" s="4193">
        <f>SUM(J11,J22,J30,J41,J50,J56)</f>
        <v>132526.63657540138</v>
      </c>
      <c r="K10" s="3840">
        <f t="shared" ref="K10:K12" si="0">IF(J10="NO",IF(I10="NO","NA",-I10),IF(I10="NO",J10,J10-I10))</f>
        <v>-4244.9166377791262</v>
      </c>
      <c r="L10" s="3838">
        <f t="shared" ref="L10:L12" si="1">IF(K10="NA","NA",K10/I10*100)</f>
        <v>-3.1036546255804667</v>
      </c>
      <c r="M10" s="3841">
        <f>IF(K10="NA","NA",K10/Table8s2!$G$35*100)</f>
        <v>-0.76851263249391955</v>
      </c>
      <c r="N10" s="3842">
        <f>IF(K10="NA","NA",K10/Table8s2!$G$34*100)</f>
        <v>-0.82830388148892342</v>
      </c>
      <c r="O10" s="4194">
        <f>SUM(O11,O22,O30,O41,O50,O56)</f>
        <v>20847.935746150826</v>
      </c>
      <c r="P10" s="4193">
        <f>SUM(P11,P22,P30,P41,P50,P56)</f>
        <v>20588.698420177716</v>
      </c>
      <c r="Q10" s="3840">
        <f t="shared" ref="Q10:Q12" si="2">IF(P10="NO",IF(O10="NO","NA",-O10),IF(O10="NO",P10,P10-O10))</f>
        <v>-259.23732597311027</v>
      </c>
      <c r="R10" s="3838">
        <f t="shared" ref="R10:R12" si="3">IF(Q10="NA","NA",Q10/O10*100)</f>
        <v>-1.2434675985653569</v>
      </c>
      <c r="S10" s="3841">
        <f>IF(Q10="NA","NA",Q10/Table8s2!$G$35*100)</f>
        <v>-4.6933114787505427E-2</v>
      </c>
      <c r="T10" s="3842">
        <f>IF(Q10="NA","NA",Q10/Table8s2!$G$34*100)</f>
        <v>-5.0584570123072777E-2</v>
      </c>
    </row>
    <row r="11" spans="2:20" ht="18" customHeight="1" x14ac:dyDescent="0.2">
      <c r="B11" s="1405" t="s">
        <v>1476</v>
      </c>
      <c r="C11" s="3839">
        <f>SUM(C12,C18,C21)</f>
        <v>389464.30250903266</v>
      </c>
      <c r="D11" s="3839">
        <f>Summary2!C11</f>
        <v>388379.139994025</v>
      </c>
      <c r="E11" s="3843">
        <f t="shared" ref="E11:E38" si="4">IF(D11="NO",IF(C11="NO","NA",-C11),IF(C11="NO",D11,D11-C11))</f>
        <v>-1085.1625150076579</v>
      </c>
      <c r="F11" s="3839">
        <f t="shared" ref="F11:F38" si="5">IF(E11="NA","NA",E11/C11*100)</f>
        <v>-0.27862951957772564</v>
      </c>
      <c r="G11" s="3844">
        <f>IF(E11="NA","NA",E11/Table8s2!$G$35*100)</f>
        <v>-0.19646112568386573</v>
      </c>
      <c r="H11" s="3845">
        <f>IF(E11="NA","NA",E11/Table8s2!$G$34*100)</f>
        <v>-0.21174604825629426</v>
      </c>
      <c r="I11" s="3846">
        <f>SUM(I12,I18,I21)</f>
        <v>39584.317105004026</v>
      </c>
      <c r="J11" s="3839">
        <f>Summary2!D11</f>
        <v>39581.378373564767</v>
      </c>
      <c r="K11" s="3843">
        <f t="shared" si="0"/>
        <v>-2.9387314392588451</v>
      </c>
      <c r="L11" s="3839">
        <f t="shared" si="1"/>
        <v>-7.4239791265398574E-3</v>
      </c>
      <c r="M11" s="3844">
        <f>IF(K11="NA","NA",K11/Table8s2!$G$35*100)</f>
        <v>-5.3203688724475092E-4</v>
      </c>
      <c r="N11" s="3845">
        <f>IF(K11="NA","NA",K11/Table8s2!$G$34*100)</f>
        <v>-5.734300259580945E-4</v>
      </c>
      <c r="O11" s="3846">
        <f>SUM(O12,O18,O21)</f>
        <v>2889.3149625473188</v>
      </c>
      <c r="P11" s="3839">
        <f>Summary2!E11</f>
        <v>2886.6351721993178</v>
      </c>
      <c r="Q11" s="3843">
        <f t="shared" si="2"/>
        <v>-2.6797903480010064</v>
      </c>
      <c r="R11" s="3839">
        <f t="shared" si="3"/>
        <v>-9.2748294413649235E-2</v>
      </c>
      <c r="S11" s="3844">
        <f>IF(Q11="NA","NA",Q11/Table8s2!$G$35*100)</f>
        <v>-4.8515740369203662E-4</v>
      </c>
      <c r="T11" s="3845">
        <f>IF(Q11="NA","NA",Q11/Table8s2!$G$34*100)</f>
        <v>-5.2290325964730574E-4</v>
      </c>
    </row>
    <row r="12" spans="2:20" ht="18" customHeight="1" x14ac:dyDescent="0.2">
      <c r="B12" s="620" t="s">
        <v>131</v>
      </c>
      <c r="C12" s="3839">
        <f>SUM(C13:C17)</f>
        <v>377024.39152391191</v>
      </c>
      <c r="D12" s="3839">
        <f>Summary2!C12</f>
        <v>375939.22900890425</v>
      </c>
      <c r="E12" s="3839">
        <f t="shared" si="4"/>
        <v>-1085.1625150076579</v>
      </c>
      <c r="F12" s="3847">
        <f t="shared" si="5"/>
        <v>-0.28782289406303146</v>
      </c>
      <c r="G12" s="3844">
        <f>IF(E12="NA","NA",E12/Table8s2!$G$35*100)</f>
        <v>-0.19646112568386573</v>
      </c>
      <c r="H12" s="3845">
        <f>IF(E12="NA","NA",E12/Table8s2!$G$34*100)</f>
        <v>-0.21174604825629426</v>
      </c>
      <c r="I12" s="3846">
        <f>SUM(I13:I17)</f>
        <v>2544.559163631699</v>
      </c>
      <c r="J12" s="3839">
        <f>Summary2!D12</f>
        <v>2541.2418315168397</v>
      </c>
      <c r="K12" s="3839">
        <f t="shared" si="0"/>
        <v>-3.3173321148592549</v>
      </c>
      <c r="L12" s="3847">
        <f t="shared" si="1"/>
        <v>-0.13036962010050585</v>
      </c>
      <c r="M12" s="3844">
        <f>IF(K12="NA","NA",K12/Table8s2!$G$35*100)</f>
        <v>-6.0057990627135609E-4</v>
      </c>
      <c r="N12" s="3845">
        <f>IF(K12="NA","NA",K12/Table8s2!$G$34*100)</f>
        <v>-6.4730577803840327E-4</v>
      </c>
      <c r="O12" s="3848">
        <f>SUM(O13:O17)</f>
        <v>2834.8563604795095</v>
      </c>
      <c r="P12" s="3847">
        <f>Summary2!E12</f>
        <v>2832.1765701315085</v>
      </c>
      <c r="Q12" s="3839">
        <f t="shared" si="2"/>
        <v>-2.6797903480010064</v>
      </c>
      <c r="R12" s="3847">
        <f t="shared" si="3"/>
        <v>-9.4530022238859604E-2</v>
      </c>
      <c r="S12" s="3844">
        <f>IF(Q12="NA","NA",Q12/Table8s2!$G$35*100)</f>
        <v>-4.8515740369203662E-4</v>
      </c>
      <c r="T12" s="3845">
        <f>IF(Q12="NA","NA",Q12/Table8s2!$G$34*100)</f>
        <v>-5.2290325964730574E-4</v>
      </c>
    </row>
    <row r="13" spans="2:20" ht="18" customHeight="1" x14ac:dyDescent="0.2">
      <c r="B13" s="1392" t="s">
        <v>1478</v>
      </c>
      <c r="C13" s="3847">
        <v>217547.74772426943</v>
      </c>
      <c r="D13" s="3839">
        <f>Summary2!C13</f>
        <v>217816.75285319224</v>
      </c>
      <c r="E13" s="3839">
        <f t="shared" si="4"/>
        <v>269.00512892281404</v>
      </c>
      <c r="F13" s="3847">
        <f t="shared" si="5"/>
        <v>0.12365337344874018</v>
      </c>
      <c r="G13" s="3844">
        <f>IF(E13="NA","NA",E13/Table8s2!$G$35*100)</f>
        <v>4.8701507573302528E-2</v>
      </c>
      <c r="H13" s="3845">
        <f>IF(E13="NA","NA",E13/Table8s2!$G$34*100)</f>
        <v>5.2490546090857987E-2</v>
      </c>
      <c r="I13" s="3846">
        <v>1026.6639465717531</v>
      </c>
      <c r="J13" s="3839">
        <f>Summary2!D13</f>
        <v>1026.9746537208127</v>
      </c>
      <c r="K13" s="3839">
        <f t="shared" ref="K13" si="6">IF(J13="NO",IF(I13="NO","NA",-I13),IF(I13="NO",J13,J13-I13))</f>
        <v>0.31070714905968089</v>
      </c>
      <c r="L13" s="3847">
        <f t="shared" ref="L13" si="7">IF(K13="NA","NA",K13/I13*100)</f>
        <v>3.0263763532088317E-2</v>
      </c>
      <c r="M13" s="3844">
        <f>IF(K13="NA","NA",K13/Table8s2!$G$35*100)</f>
        <v>5.62513682679675E-5</v>
      </c>
      <c r="N13" s="3845">
        <f>IF(K13="NA","NA",K13/Table8s2!$G$34*100)</f>
        <v>6.0627795439379431E-5</v>
      </c>
      <c r="O13" s="3848">
        <v>851.97318676199654</v>
      </c>
      <c r="P13" s="3847">
        <f>Summary2!E13</f>
        <v>852.90441860935334</v>
      </c>
      <c r="Q13" s="3839">
        <f t="shared" ref="Q13" si="8">IF(P13="NO",IF(O13="NO","NA",-O13),IF(O13="NO",P13,P13-O13))</f>
        <v>0.93123184735679843</v>
      </c>
      <c r="R13" s="3847">
        <f t="shared" ref="R13" si="9">IF(Q13="NA","NA",Q13/O13*100)</f>
        <v>0.10930295246685308</v>
      </c>
      <c r="S13" s="3844">
        <f>IF(Q13="NA","NA",Q13/Table8s2!$G$35*100)</f>
        <v>1.6859304894354131E-4</v>
      </c>
      <c r="T13" s="3845">
        <f>IF(Q13="NA","NA",Q13/Table8s2!$G$34*100)</f>
        <v>1.8170980010935887E-4</v>
      </c>
    </row>
    <row r="14" spans="2:20" ht="18" customHeight="1" x14ac:dyDescent="0.2">
      <c r="B14" s="1392" t="s">
        <v>1517</v>
      </c>
      <c r="C14" s="3847">
        <v>40998.826293984246</v>
      </c>
      <c r="D14" s="3839">
        <f>Summary2!C14</f>
        <v>40998.826293984224</v>
      </c>
      <c r="E14" s="3839">
        <f t="shared" si="4"/>
        <v>-2.1827872842550278E-11</v>
      </c>
      <c r="F14" s="3847">
        <f t="shared" si="5"/>
        <v>-5.3240238357147987E-14</v>
      </c>
      <c r="G14" s="3844">
        <f>IF(E14="NA","NA",E14/Table8s2!$G$35*100)</f>
        <v>-3.9517845581879941E-15</v>
      </c>
      <c r="H14" s="3845">
        <f>IF(E14="NA","NA",E14/Table8s2!$G$34*100)</f>
        <v>-4.2592383650648756E-15</v>
      </c>
      <c r="I14" s="3846">
        <v>68.325357259533973</v>
      </c>
      <c r="J14" s="3839">
        <f>Summary2!D14</f>
        <v>68.325357259533973</v>
      </c>
      <c r="K14" s="3839">
        <f t="shared" ref="K14:K20" si="10">IF(J14="NO",IF(I14="NO","NA",-I14),IF(I14="NO",J14,J14-I14))</f>
        <v>0</v>
      </c>
      <c r="L14" s="3847">
        <f t="shared" ref="L14:L20" si="11">IF(K14="NA","NA",K14/I14*100)</f>
        <v>0</v>
      </c>
      <c r="M14" s="3844">
        <f>IF(K14="NA","NA",K14/Table8s2!$G$35*100)</f>
        <v>0</v>
      </c>
      <c r="N14" s="3845">
        <f>IF(K14="NA","NA",K14/Table8s2!$G$34*100)</f>
        <v>0</v>
      </c>
      <c r="O14" s="3848">
        <v>390.4453524691765</v>
      </c>
      <c r="P14" s="3847">
        <f>Summary2!E14</f>
        <v>390.44535246917661</v>
      </c>
      <c r="Q14" s="3839">
        <f t="shared" ref="Q14:Q20" si="12">IF(P14="NO",IF(O14="NO","NA",-O14),IF(O14="NO",P14,P14-O14))</f>
        <v>1.1368683772161603E-13</v>
      </c>
      <c r="R14" s="3847">
        <f t="shared" ref="R14:R20" si="13">IF(Q14="NA","NA",Q14/O14*100)</f>
        <v>2.9117221399271485E-14</v>
      </c>
      <c r="S14" s="3844">
        <f>IF(Q14="NA","NA",Q14/Table8s2!$G$35*100)</f>
        <v>2.0582211240562468E-17</v>
      </c>
      <c r="T14" s="3845">
        <f>IF(Q14="NA","NA",Q14/Table8s2!$G$34*100)</f>
        <v>2.218353315137956E-17</v>
      </c>
    </row>
    <row r="15" spans="2:20" ht="18" customHeight="1" x14ac:dyDescent="0.2">
      <c r="B15" s="1392" t="s">
        <v>1480</v>
      </c>
      <c r="C15" s="3847">
        <v>94437.0165082241</v>
      </c>
      <c r="D15" s="3839">
        <f>Summary2!C15</f>
        <v>94438.226181054735</v>
      </c>
      <c r="E15" s="3839">
        <f t="shared" si="4"/>
        <v>1.2096728306350997</v>
      </c>
      <c r="F15" s="3847">
        <f t="shared" si="5"/>
        <v>1.280930799555442E-3</v>
      </c>
      <c r="G15" s="3844">
        <f>IF(E15="NA","NA",E15/Table8s2!$G$35*100)</f>
        <v>2.190028523184685E-4</v>
      </c>
      <c r="H15" s="3845">
        <f>IF(E15="NA","NA",E15/Table8s2!$G$34*100)</f>
        <v>2.3604154956290602E-4</v>
      </c>
      <c r="I15" s="3846">
        <v>418.82126968083293</v>
      </c>
      <c r="J15" s="3839">
        <f>Summary2!D15</f>
        <v>415.87143597022413</v>
      </c>
      <c r="K15" s="3839">
        <f t="shared" si="10"/>
        <v>-2.9498337106088002</v>
      </c>
      <c r="L15" s="3847">
        <f t="shared" si="11"/>
        <v>-0.70431802875168004</v>
      </c>
      <c r="M15" s="3844">
        <f>IF(K15="NA","NA",K15/Table8s2!$G$35*100)</f>
        <v>-5.3404687625275172E-4</v>
      </c>
      <c r="N15" s="3845">
        <f>IF(K15="NA","NA",K15/Table8s2!$G$34*100)</f>
        <v>-5.7559639463790975E-4</v>
      </c>
      <c r="O15" s="3848">
        <v>1390.969999458802</v>
      </c>
      <c r="P15" s="3847">
        <f>Summary2!E15</f>
        <v>1393.2722716215662</v>
      </c>
      <c r="Q15" s="3839">
        <f t="shared" si="12"/>
        <v>2.3022721627642113</v>
      </c>
      <c r="R15" s="3847">
        <f t="shared" si="13"/>
        <v>0.16551558722761658</v>
      </c>
      <c r="S15" s="3844">
        <f>IF(Q15="NA","NA",Q15/Table8s2!$G$35*100)</f>
        <v>4.168103620166913E-4</v>
      </c>
      <c r="T15" s="3845">
        <f>IF(Q15="NA","NA",Q15/Table8s2!$G$34*100)</f>
        <v>4.492387322025709E-4</v>
      </c>
    </row>
    <row r="16" spans="2:20" ht="18" customHeight="1" x14ac:dyDescent="0.2">
      <c r="B16" s="1392" t="s">
        <v>1481</v>
      </c>
      <c r="C16" s="3847">
        <v>22942.540984717773</v>
      </c>
      <c r="D16" s="3839">
        <f>Summary2!C16</f>
        <v>21587.163667956695</v>
      </c>
      <c r="E16" s="3839">
        <f t="shared" si="4"/>
        <v>-1355.377316761078</v>
      </c>
      <c r="F16" s="3847">
        <f t="shared" si="5"/>
        <v>-5.9077035872526356</v>
      </c>
      <c r="G16" s="3844">
        <f>IF(E16="NA","NA",E16/Table8s2!$G$35*100)</f>
        <v>-0.24538163610948149</v>
      </c>
      <c r="H16" s="3845">
        <f>IF(E16="NA","NA",E16/Table8s2!$G$34*100)</f>
        <v>-0.26447263589670944</v>
      </c>
      <c r="I16" s="3846">
        <v>1029.73628044664</v>
      </c>
      <c r="J16" s="3839">
        <f>Summary2!D16</f>
        <v>1029.0580748933298</v>
      </c>
      <c r="K16" s="3839">
        <f t="shared" si="10"/>
        <v>-0.67820555331013566</v>
      </c>
      <c r="L16" s="3847">
        <f t="shared" si="11"/>
        <v>-6.5862062567706117E-2</v>
      </c>
      <c r="M16" s="3844">
        <f>IF(K16="NA","NA",K16/Table8s2!$G$35*100)</f>
        <v>-1.2278439828657185E-4</v>
      </c>
      <c r="N16" s="3845">
        <f>IF(K16="NA","NA",K16/Table8s2!$G$34*100)</f>
        <v>-1.3233717883987293E-4</v>
      </c>
      <c r="O16" s="3848">
        <v>193.20526558763476</v>
      </c>
      <c r="P16" s="3847">
        <f>Summary2!E16</f>
        <v>187.2919712295128</v>
      </c>
      <c r="Q16" s="3839">
        <f t="shared" si="12"/>
        <v>-5.9132943581219592</v>
      </c>
      <c r="R16" s="3847">
        <f t="shared" si="13"/>
        <v>-3.0606279493142412</v>
      </c>
      <c r="S16" s="3844">
        <f>IF(Q16="NA","NA",Q16/Table8s2!$G$35*100)</f>
        <v>-1.070560814652259E-3</v>
      </c>
      <c r="T16" s="3845">
        <f>IF(Q16="NA","NA",Q16/Table8s2!$G$34*100)</f>
        <v>-1.1538517919592243E-3</v>
      </c>
    </row>
    <row r="17" spans="2:20" ht="18" customHeight="1" x14ac:dyDescent="0.2">
      <c r="B17" s="1392" t="s">
        <v>1482</v>
      </c>
      <c r="C17" s="3847">
        <v>1098.2600127163214</v>
      </c>
      <c r="D17" s="3839">
        <f>Summary2!C17</f>
        <v>1098.2600127163214</v>
      </c>
      <c r="E17" s="3839">
        <f t="shared" si="4"/>
        <v>0</v>
      </c>
      <c r="F17" s="3847">
        <f t="shared" si="5"/>
        <v>0</v>
      </c>
      <c r="G17" s="3844">
        <f>IF(E17="NA","NA",E17/Table8s2!$G$35*100)</f>
        <v>0</v>
      </c>
      <c r="H17" s="3845">
        <f>IF(E17="NA","NA",E17/Table8s2!$G$34*100)</f>
        <v>0</v>
      </c>
      <c r="I17" s="3846">
        <v>1.0123096729391079</v>
      </c>
      <c r="J17" s="3839">
        <f>Summary2!D17</f>
        <v>1.0123096729391077</v>
      </c>
      <c r="K17" s="3839">
        <f t="shared" si="10"/>
        <v>-2.2204460492503131E-16</v>
      </c>
      <c r="L17" s="3847">
        <f t="shared" si="11"/>
        <v>-2.1934454531127221E-14</v>
      </c>
      <c r="M17" s="3844">
        <f>IF(K17="NA","NA",K17/Table8s2!$G$35*100)</f>
        <v>-4.019963132922357E-20</v>
      </c>
      <c r="N17" s="3845">
        <f>IF(K17="NA","NA",K17/Table8s2!$G$34*100)</f>
        <v>-4.3327213186288204E-20</v>
      </c>
      <c r="O17" s="3848">
        <v>8.262556201899546</v>
      </c>
      <c r="P17" s="3847">
        <f>Summary2!E17</f>
        <v>8.262556201899546</v>
      </c>
      <c r="Q17" s="3839">
        <f t="shared" si="12"/>
        <v>0</v>
      </c>
      <c r="R17" s="3847">
        <f t="shared" si="13"/>
        <v>0</v>
      </c>
      <c r="S17" s="3844">
        <f>IF(Q17="NA","NA",Q17/Table8s2!$G$35*100)</f>
        <v>0</v>
      </c>
      <c r="T17" s="3845">
        <f>IF(Q17="NA","NA",Q17/Table8s2!$G$34*100)</f>
        <v>0</v>
      </c>
    </row>
    <row r="18" spans="2:20" ht="18" customHeight="1" x14ac:dyDescent="0.2">
      <c r="B18" s="620" t="s">
        <v>99</v>
      </c>
      <c r="C18" s="3847">
        <f>SUM(C19:C20)</f>
        <v>12439.910985120739</v>
      </c>
      <c r="D18" s="3839">
        <f>Summary2!C18</f>
        <v>12439.910985120738</v>
      </c>
      <c r="E18" s="3839">
        <f t="shared" si="4"/>
        <v>-1.8189894035458565E-12</v>
      </c>
      <c r="F18" s="3847">
        <f t="shared" si="5"/>
        <v>-1.462220594441176E-14</v>
      </c>
      <c r="G18" s="3844">
        <f>IF(E18="NA","NA",E18/Table8s2!$G$35*100)</f>
        <v>-3.2931537984899949E-16</v>
      </c>
      <c r="H18" s="3845">
        <f>IF(E18="NA","NA",E18/Table8s2!$G$34*100)</f>
        <v>-3.5493653042207297E-16</v>
      </c>
      <c r="I18" s="3846">
        <f>SUM(I19:I20)</f>
        <v>37039.757941372329</v>
      </c>
      <c r="J18" s="3839">
        <f>Summary2!D18</f>
        <v>37040.136542047927</v>
      </c>
      <c r="K18" s="3839">
        <f t="shared" si="10"/>
        <v>0.37860067559813615</v>
      </c>
      <c r="L18" s="3847">
        <f t="shared" si="11"/>
        <v>1.0221467327011073E-3</v>
      </c>
      <c r="M18" s="3844">
        <f>IF(K18="NA","NA",K18/Table8s2!$G$35*100)</f>
        <v>6.8543019026193514E-5</v>
      </c>
      <c r="N18" s="3845">
        <f>IF(K18="NA","NA",K18/Table8s2!$G$34*100)</f>
        <v>7.3875752079865026E-5</v>
      </c>
      <c r="O18" s="3848">
        <f>SUM(O19:O20)</f>
        <v>54.458602067809444</v>
      </c>
      <c r="P18" s="3847">
        <f>Summary2!E18</f>
        <v>54.458602067809437</v>
      </c>
      <c r="Q18" s="3839">
        <f t="shared" si="12"/>
        <v>-7.1054273576010019E-15</v>
      </c>
      <c r="R18" s="3847">
        <f t="shared" si="13"/>
        <v>-1.3047392125037725E-14</v>
      </c>
      <c r="S18" s="3844">
        <f>IF(Q18="NA","NA",Q18/Table8s2!$G$35*100)</f>
        <v>-1.2863882025351543E-18</v>
      </c>
      <c r="T18" s="3845">
        <f>IF(Q18="NA","NA",Q18/Table8s2!$G$34*100)</f>
        <v>-1.3864708219612225E-18</v>
      </c>
    </row>
    <row r="19" spans="2:20" ht="18" customHeight="1" x14ac:dyDescent="0.2">
      <c r="B19" s="1392" t="s">
        <v>1483</v>
      </c>
      <c r="C19" s="3847">
        <v>2063.8682509928403</v>
      </c>
      <c r="D19" s="3839">
        <f>Summary2!C19</f>
        <v>2063.8682509928403</v>
      </c>
      <c r="E19" s="3839">
        <f t="shared" si="4"/>
        <v>0</v>
      </c>
      <c r="F19" s="3847">
        <f t="shared" si="5"/>
        <v>0</v>
      </c>
      <c r="G19" s="3844">
        <f>IF(E19="NA","NA",E19/Table8s2!$G$35*100)</f>
        <v>0</v>
      </c>
      <c r="H19" s="3845">
        <f>IF(E19="NA","NA",E19/Table8s2!$G$34*100)</f>
        <v>0</v>
      </c>
      <c r="I19" s="3846">
        <v>30502.843683571573</v>
      </c>
      <c r="J19" s="3839">
        <f>Summary2!D19</f>
        <v>30502.843683571573</v>
      </c>
      <c r="K19" s="3839">
        <f t="shared" si="10"/>
        <v>0</v>
      </c>
      <c r="L19" s="3847">
        <f t="shared" si="11"/>
        <v>0</v>
      </c>
      <c r="M19" s="3844">
        <f>IF(K19="NA","NA",K19/Table8s2!$G$35*100)</f>
        <v>0</v>
      </c>
      <c r="N19" s="3845">
        <f>IF(K19="NA","NA",K19/Table8s2!$G$34*100)</f>
        <v>0</v>
      </c>
      <c r="O19" s="3848">
        <v>0.35772073398368937</v>
      </c>
      <c r="P19" s="3847">
        <f>Summary2!E19</f>
        <v>0.35772073398368937</v>
      </c>
      <c r="Q19" s="3839">
        <f t="shared" si="12"/>
        <v>0</v>
      </c>
      <c r="R19" s="3847">
        <f t="shared" si="13"/>
        <v>0</v>
      </c>
      <c r="S19" s="3844">
        <f>IF(Q19="NA","NA",Q19/Table8s2!$G$35*100)</f>
        <v>0</v>
      </c>
      <c r="T19" s="3845">
        <f>IF(Q19="NA","NA",Q19/Table8s2!$G$34*100)</f>
        <v>0</v>
      </c>
    </row>
    <row r="20" spans="2:20" ht="18" customHeight="1" x14ac:dyDescent="0.2">
      <c r="B20" s="1393" t="s">
        <v>1484</v>
      </c>
      <c r="C20" s="3849">
        <v>10376.042734127899</v>
      </c>
      <c r="D20" s="3850">
        <f>Summary2!C20</f>
        <v>10376.042734127897</v>
      </c>
      <c r="E20" s="3850">
        <f t="shared" si="4"/>
        <v>-1.8189894035458565E-12</v>
      </c>
      <c r="F20" s="3849">
        <f t="shared" si="5"/>
        <v>-1.7530666075256307E-14</v>
      </c>
      <c r="G20" s="3851">
        <f>IF(E20="NA","NA",E20/Table8s2!$G$35*100)</f>
        <v>-3.2931537984899949E-16</v>
      </c>
      <c r="H20" s="3852">
        <f>IF(E20="NA","NA",E20/Table8s2!$G$34*100)</f>
        <v>-3.5493653042207297E-16</v>
      </c>
      <c r="I20" s="3853">
        <v>6536.9142578007531</v>
      </c>
      <c r="J20" s="3850">
        <f>Summary2!D20</f>
        <v>6537.292858476354</v>
      </c>
      <c r="K20" s="3839">
        <f t="shared" si="10"/>
        <v>0.37860067560086463</v>
      </c>
      <c r="L20" s="3847">
        <f t="shared" si="11"/>
        <v>5.7917338467315185E-3</v>
      </c>
      <c r="M20" s="3844">
        <f>IF(K20="NA","NA",K20/Table8s2!$G$35*100)</f>
        <v>6.854301902668749E-5</v>
      </c>
      <c r="N20" s="3845">
        <f>IF(K20="NA","NA",K20/Table8s2!$G$34*100)</f>
        <v>7.3875752080397423E-5</v>
      </c>
      <c r="O20" s="3854">
        <v>54.100881333825754</v>
      </c>
      <c r="P20" s="3849">
        <f>Summary2!E20</f>
        <v>54.100881333825747</v>
      </c>
      <c r="Q20" s="3839">
        <f t="shared" si="12"/>
        <v>-7.1054273576010019E-15</v>
      </c>
      <c r="R20" s="3847">
        <f t="shared" si="13"/>
        <v>-1.313366285801788E-14</v>
      </c>
      <c r="S20" s="3844">
        <f>IF(Q20="NA","NA",Q20/Table8s2!$G$35*100)</f>
        <v>-1.2863882025351543E-18</v>
      </c>
      <c r="T20" s="3845">
        <f>IF(Q20="NA","NA",Q20/Table8s2!$G$34*100)</f>
        <v>-1.3864708219612225E-18</v>
      </c>
    </row>
    <row r="21" spans="2:20" ht="18" customHeight="1" thickBot="1" x14ac:dyDescent="0.25">
      <c r="B21" s="1407" t="s">
        <v>1518</v>
      </c>
      <c r="C21" s="3855" t="s">
        <v>2146</v>
      </c>
      <c r="D21" s="3855" t="str">
        <f>Summary2!C21</f>
        <v>NO</v>
      </c>
      <c r="E21" s="3856" t="str">
        <f t="shared" si="4"/>
        <v>NA</v>
      </c>
      <c r="F21" s="3856" t="str">
        <f t="shared" si="5"/>
        <v>NA</v>
      </c>
      <c r="G21" s="3857" t="str">
        <f>IF(E21="NA","NA",E21/Table8s2!$G$35*100)</f>
        <v>NA</v>
      </c>
      <c r="H21" s="3858" t="str">
        <f>IF(E21="NA","NA",E21/Table8s2!$G$34*100)</f>
        <v>NA</v>
      </c>
      <c r="I21" s="3859"/>
      <c r="J21" s="3860"/>
      <c r="K21" s="3860"/>
      <c r="L21" s="3860"/>
      <c r="M21" s="3860"/>
      <c r="N21" s="3860"/>
      <c r="O21" s="3860"/>
      <c r="P21" s="3860"/>
      <c r="Q21" s="3860"/>
      <c r="R21" s="3860"/>
      <c r="S21" s="3860"/>
      <c r="T21" s="3860"/>
    </row>
    <row r="22" spans="2:20" ht="18" customHeight="1" x14ac:dyDescent="0.2">
      <c r="B22" s="1406" t="s">
        <v>1486</v>
      </c>
      <c r="C22" s="3839">
        <f>SUM(C23:C29)</f>
        <v>19105.403837442096</v>
      </c>
      <c r="D22" s="3839">
        <f>Summary2!C22</f>
        <v>19179.871818340896</v>
      </c>
      <c r="E22" s="3861">
        <f t="shared" si="4"/>
        <v>74.467980898800306</v>
      </c>
      <c r="F22" s="3861">
        <f t="shared" si="5"/>
        <v>0.38977444042748044</v>
      </c>
      <c r="G22" s="3862">
        <f>IF(E22="NA","NA",E22/Table8s2!$G$35*100)</f>
        <v>1.3481909992697893E-2</v>
      </c>
      <c r="H22" s="3863">
        <f>IF(E22="NA","NA",E22/Table8s2!$G$34*100)</f>
        <v>1.4530819539813252E-2</v>
      </c>
      <c r="I22" s="3839">
        <f>SUM(I23:I29)</f>
        <v>78.038551895143684</v>
      </c>
      <c r="J22" s="3839">
        <f>Summary2!D22</f>
        <v>78.038551895143698</v>
      </c>
      <c r="K22" s="3861">
        <f t="shared" ref="K22" si="14">IF(J22="NO",IF(I22="NO","NA",-I22),IF(I22="NO",J22,J22-I22))</f>
        <v>1.4210854715202004E-14</v>
      </c>
      <c r="L22" s="3861">
        <f t="shared" ref="L22" si="15">IF(K22="NA","NA",K22/I22*100)</f>
        <v>1.8210044100121674E-14</v>
      </c>
      <c r="M22" s="3862">
        <f>IF(K22="NA","NA",K22/Table8s2!$G$35*100)</f>
        <v>2.5727764050703085E-18</v>
      </c>
      <c r="N22" s="3863">
        <f>IF(K22="NA","NA",K22/Table8s2!$G$34*100)</f>
        <v>2.772941643922445E-18</v>
      </c>
      <c r="O22" s="3839">
        <f>SUM(O23:O29)</f>
        <v>1270.5424903871221</v>
      </c>
      <c r="P22" s="3839">
        <f>Summary2!E22</f>
        <v>1270.5424903871224</v>
      </c>
      <c r="Q22" s="3861">
        <f t="shared" ref="Q22" si="16">IF(P22="NO",IF(O22="NO","NA",-O22),IF(O22="NO",P22,P22-O22))</f>
        <v>2.2737367544323206E-13</v>
      </c>
      <c r="R22" s="3864">
        <f t="shared" ref="R22" si="17">IF(Q22="NA","NA",Q22/O22*100)</f>
        <v>1.7895794683257975E-14</v>
      </c>
      <c r="S22" s="3865">
        <f>IF(Q22="NA","NA",Q22/Table8s2!$G$35*100)</f>
        <v>4.1164422481124936E-17</v>
      </c>
      <c r="T22" s="3866">
        <f>IF(Q22="NA","NA",Q22/Table8s2!$G$34*100)</f>
        <v>4.4367066302759121E-17</v>
      </c>
    </row>
    <row r="23" spans="2:20" ht="18" customHeight="1" x14ac:dyDescent="0.2">
      <c r="B23" s="1394" t="s">
        <v>1487</v>
      </c>
      <c r="C23" s="3839">
        <v>5691.7096465951727</v>
      </c>
      <c r="D23" s="3839">
        <f>Summary2!C23</f>
        <v>5691.6739853939707</v>
      </c>
      <c r="E23" s="3839">
        <f t="shared" si="4"/>
        <v>-3.5661201201946824E-2</v>
      </c>
      <c r="F23" s="3847">
        <f t="shared" si="5"/>
        <v>-6.2654638792545658E-4</v>
      </c>
      <c r="G23" s="3844">
        <f>IF(E23="NA","NA",E23/Table8s2!$G$35*100)</f>
        <v>-6.4562124423583307E-6</v>
      </c>
      <c r="H23" s="3845">
        <f>IF(E23="NA","NA",E23/Table8s2!$G$34*100)</f>
        <v>-6.9585138872324238E-6</v>
      </c>
      <c r="I23" s="1925"/>
      <c r="J23" s="1925"/>
      <c r="K23" s="1925"/>
      <c r="L23" s="1925"/>
      <c r="M23" s="1925"/>
      <c r="N23" s="1925"/>
      <c r="O23" s="1925"/>
      <c r="P23" s="1925"/>
      <c r="Q23" s="1925"/>
      <c r="R23" s="1925"/>
      <c r="S23" s="1925"/>
      <c r="T23" s="1925"/>
    </row>
    <row r="24" spans="2:20" ht="18" customHeight="1" x14ac:dyDescent="0.2">
      <c r="B24" s="1394" t="s">
        <v>621</v>
      </c>
      <c r="C24" s="3839">
        <v>3062.9981104103881</v>
      </c>
      <c r="D24" s="3839">
        <f>Summary2!C24</f>
        <v>3099.2192149103885</v>
      </c>
      <c r="E24" s="3839">
        <f t="shared" si="4"/>
        <v>36.221104500000365</v>
      </c>
      <c r="F24" s="3847">
        <f t="shared" si="5"/>
        <v>1.1825376051292233</v>
      </c>
      <c r="G24" s="3844">
        <f>IF(E24="NA","NA",E24/Table8s2!$G$35*100)</f>
        <v>6.5575790401613621E-3</v>
      </c>
      <c r="H24" s="3845">
        <f>IF(E24="NA","NA",E24/Table8s2!$G$34*100)</f>
        <v>7.0677669337843186E-3</v>
      </c>
      <c r="I24" s="3846">
        <v>15.168235599999999</v>
      </c>
      <c r="J24" s="3839">
        <f>Summary2!D24</f>
        <v>15.168235599999999</v>
      </c>
      <c r="K24" s="3839">
        <f t="shared" ref="K24" si="18">IF(J24="NO",IF(I24="NO","NA",-I24),IF(I24="NO",J24,J24-I24))</f>
        <v>0</v>
      </c>
      <c r="L24" s="3847">
        <f t="shared" ref="L24" si="19">IF(K24="NA","NA",K24/I24*100)</f>
        <v>0</v>
      </c>
      <c r="M24" s="3844">
        <f>IF(K24="NA","NA",K24/Table8s2!$G$35*100)</f>
        <v>0</v>
      </c>
      <c r="N24" s="3845">
        <f>IF(K24="NA","NA",K24/Table8s2!$G$34*100)</f>
        <v>0</v>
      </c>
      <c r="O24" s="3848">
        <v>1256.7047947820083</v>
      </c>
      <c r="P24" s="3847">
        <f>Summary2!E24</f>
        <v>1256.7047947820083</v>
      </c>
      <c r="Q24" s="3839">
        <f t="shared" ref="Q24" si="20">IF(P24="NO",IF(O24="NO","NA",-O24),IF(O24="NO",P24,P24-O24))</f>
        <v>0</v>
      </c>
      <c r="R24" s="3847">
        <f t="shared" ref="R24" si="21">IF(Q24="NA","NA",Q24/O24*100)</f>
        <v>0</v>
      </c>
      <c r="S24" s="3844">
        <f>IF(Q24="NA","NA",Q24/Table8s2!$G$35*100)</f>
        <v>0</v>
      </c>
      <c r="T24" s="3845">
        <f>IF(Q24="NA","NA",Q24/Table8s2!$G$34*100)</f>
        <v>0</v>
      </c>
    </row>
    <row r="25" spans="2:20" ht="18" customHeight="1" x14ac:dyDescent="0.2">
      <c r="B25" s="1394" t="s">
        <v>459</v>
      </c>
      <c r="C25" s="3839">
        <v>9904.9580408883448</v>
      </c>
      <c r="D25" s="3839">
        <f>Summary2!C25</f>
        <v>9904.9580408883448</v>
      </c>
      <c r="E25" s="3839">
        <f t="shared" si="4"/>
        <v>0</v>
      </c>
      <c r="F25" s="3847">
        <f t="shared" si="5"/>
        <v>0</v>
      </c>
      <c r="G25" s="3844">
        <f>IF(E25="NA","NA",E25/Table8s2!$G$35*100)</f>
        <v>0</v>
      </c>
      <c r="H25" s="3845">
        <f>IF(E25="NA","NA",E25/Table8s2!$G$34*100)</f>
        <v>0</v>
      </c>
      <c r="I25" s="3846">
        <v>62.870316295143681</v>
      </c>
      <c r="J25" s="3839">
        <f>Summary2!D25</f>
        <v>62.870316295143688</v>
      </c>
      <c r="K25" s="3839">
        <f t="shared" ref="K25:K26" si="22">IF(J25="NO",IF(I25="NO","NA",-I25),IF(I25="NO",J25,J25-I25))</f>
        <v>7.1054273576010019E-15</v>
      </c>
      <c r="L25" s="3847">
        <f t="shared" ref="L25:L26" si="23">IF(K25="NA","NA",K25/I25*100)</f>
        <v>1.1301720392569187E-14</v>
      </c>
      <c r="M25" s="3844">
        <f>IF(K25="NA","NA",K25/Table8s2!$G$35*100)</f>
        <v>1.2863882025351543E-18</v>
      </c>
      <c r="N25" s="3845">
        <f>IF(K25="NA","NA",K25/Table8s2!$G$34*100)</f>
        <v>1.3864708219612225E-18</v>
      </c>
      <c r="O25" s="3848">
        <v>13.837695605113852</v>
      </c>
      <c r="P25" s="3847">
        <f>Summary2!E25</f>
        <v>13.837695605113852</v>
      </c>
      <c r="Q25" s="3839">
        <f t="shared" ref="Q25:Q29" si="24">IF(P25="NO",IF(O25="NO","NA",-O25),IF(O25="NO",P25,P25-O25))</f>
        <v>0</v>
      </c>
      <c r="R25" s="3847">
        <f t="shared" ref="R25:R29" si="25">IF(Q25="NA","NA",Q25/O25*100)</f>
        <v>0</v>
      </c>
      <c r="S25" s="3844">
        <f>IF(Q25="NA","NA",Q25/Table8s2!$G$35*100)</f>
        <v>0</v>
      </c>
      <c r="T25" s="3845">
        <f>IF(Q25="NA","NA",Q25/Table8s2!$G$34*100)</f>
        <v>0</v>
      </c>
    </row>
    <row r="26" spans="2:20" ht="18" customHeight="1" x14ac:dyDescent="0.2">
      <c r="B26" s="1395" t="s">
        <v>1519</v>
      </c>
      <c r="C26" s="3839">
        <v>172.903705</v>
      </c>
      <c r="D26" s="3839">
        <f>Summary2!C26</f>
        <v>211.18624259999996</v>
      </c>
      <c r="E26" s="3839">
        <f t="shared" si="4"/>
        <v>38.282537599999955</v>
      </c>
      <c r="F26" s="3847">
        <f t="shared" si="5"/>
        <v>22.140958517921845</v>
      </c>
      <c r="G26" s="3844">
        <f>IF(E26="NA","NA",E26/Table8s2!$G$35*100)</f>
        <v>6.9307871649785394E-3</v>
      </c>
      <c r="H26" s="3845">
        <f>IF(E26="NA","NA",E26/Table8s2!$G$34*100)</f>
        <v>7.4700111199157886E-3</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25">
      <c r="B29" s="1407" t="s">
        <v>1523</v>
      </c>
      <c r="C29" s="3855">
        <v>272.83433454819283</v>
      </c>
      <c r="D29" s="3855">
        <f>Summary2!C30</f>
        <v>272.83433454819283</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
      <c r="B30" s="1445" t="s">
        <v>1491</v>
      </c>
      <c r="C30" s="3874">
        <f>SUM(C31:C40)</f>
        <v>2663.2503062592914</v>
      </c>
      <c r="D30" s="3875">
        <f>Summary2!C31</f>
        <v>2663.2503062592914</v>
      </c>
      <c r="E30" s="3861">
        <f t="shared" si="4"/>
        <v>0</v>
      </c>
      <c r="F30" s="3876">
        <f t="shared" si="5"/>
        <v>0</v>
      </c>
      <c r="G30" s="3877">
        <f>IF(E30="NA","NA",E30/Table8s2!$G$35*100)</f>
        <v>0</v>
      </c>
      <c r="H30" s="3878">
        <f>IF(E30="NA","NA",E30/Table8s2!$G$34*100)</f>
        <v>0</v>
      </c>
      <c r="I30" s="3874">
        <f>SUM(I31:I40)</f>
        <v>62988.177692830111</v>
      </c>
      <c r="J30" s="3875">
        <f>Summary2!D31</f>
        <v>62988.177692830111</v>
      </c>
      <c r="K30" s="3861">
        <f t="shared" ref="K30" si="28">IF(J30="NO",IF(I30="NO","NA",-I30),IF(I30="NO",J30,J30-I30))</f>
        <v>0</v>
      </c>
      <c r="L30" s="3876">
        <f t="shared" ref="L30" si="29">IF(K30="NA","NA",K30/I30*100)</f>
        <v>0</v>
      </c>
      <c r="M30" s="3877">
        <f>IF(K30="NA","NA",K30/Table8s2!$G$35*100)</f>
        <v>0</v>
      </c>
      <c r="N30" s="3878">
        <f>IF(K30="NA","NA",K30/Table8s2!$G$34*100)</f>
        <v>0</v>
      </c>
      <c r="O30" s="3874">
        <f>SUM(O31:O40)</f>
        <v>12215.915344503466</v>
      </c>
      <c r="P30" s="3875">
        <f>Summary2!E31</f>
        <v>12215.979750375389</v>
      </c>
      <c r="Q30" s="3861">
        <f t="shared" ref="Q30" si="30">IF(P30="NO",IF(O30="NO","NA",-O30),IF(O30="NO",P30,P30-O30))</f>
        <v>6.4405871922645019E-2</v>
      </c>
      <c r="R30" s="3880">
        <f t="shared" ref="R30" si="31">IF(Q30="NA","NA",Q30/O30*100)</f>
        <v>5.2722919328042296E-4</v>
      </c>
      <c r="S30" s="3881">
        <f>IF(Q30="NA","NA",Q30/Table8s2!$G$35*100)</f>
        <v>1.1660235147805884E-5</v>
      </c>
      <c r="T30" s="3882">
        <f>IF(Q30="NA","NA",Q30/Table8s2!$G$34*100)</f>
        <v>1.2567416101748464E-5</v>
      </c>
    </row>
    <row r="31" spans="2:20" ht="18" customHeight="1" x14ac:dyDescent="0.2">
      <c r="B31" s="620" t="s">
        <v>1492</v>
      </c>
      <c r="C31" s="3867"/>
      <c r="D31" s="3867"/>
      <c r="E31" s="3868"/>
      <c r="F31" s="3868"/>
      <c r="G31" s="3869"/>
      <c r="H31" s="3870"/>
      <c r="I31" s="3846">
        <v>55979.312209413038</v>
      </c>
      <c r="J31" s="3839">
        <f>Summary2!D32</f>
        <v>55979.31220941303</v>
      </c>
      <c r="K31" s="3883">
        <f t="shared" ref="K31:K33" si="32">IF(J31="NO",IF(I31="NO","NA",-I31),IF(I31="NO",J31,J31-I31))</f>
        <v>-7.2759576141834259E-12</v>
      </c>
      <c r="L31" s="3883">
        <f t="shared" ref="L31:L33" si="33">IF(K31="NA","NA",K31/I31*100)</f>
        <v>-1.2997583083844961E-14</v>
      </c>
      <c r="M31" s="3884">
        <f>IF(K31="NA","NA",K31/Table8s2!$G$35*100)</f>
        <v>-1.317261519395998E-15</v>
      </c>
      <c r="N31" s="3885">
        <f>IF(K31="NA","NA",K31/Table8s2!$G$34*100)</f>
        <v>-1.4197461216882919E-15</v>
      </c>
      <c r="O31" s="3886"/>
      <c r="P31" s="3887"/>
      <c r="Q31" s="3868"/>
      <c r="R31" s="3888"/>
      <c r="S31" s="3889"/>
      <c r="T31" s="3890"/>
    </row>
    <row r="32" spans="2:20" ht="18" customHeight="1" x14ac:dyDescent="0.2">
      <c r="B32" s="620" t="s">
        <v>1493</v>
      </c>
      <c r="C32" s="3891"/>
      <c r="D32" s="3891"/>
      <c r="E32" s="3892"/>
      <c r="F32" s="3892"/>
      <c r="G32" s="3869"/>
      <c r="H32" s="3870"/>
      <c r="I32" s="3846">
        <v>6669.6038701505495</v>
      </c>
      <c r="J32" s="3847">
        <f>Summary2!D33</f>
        <v>6669.6038701505504</v>
      </c>
      <c r="K32" s="3893">
        <f t="shared" si="32"/>
        <v>9.0949470177292824E-13</v>
      </c>
      <c r="L32" s="3893">
        <f t="shared" si="33"/>
        <v>1.3636412588809397E-14</v>
      </c>
      <c r="M32" s="3884">
        <f>IF(K32="NA","NA",K32/Table8s2!$G$35*100)</f>
        <v>1.6465768992449974E-16</v>
      </c>
      <c r="N32" s="3885">
        <f>IF(K32="NA","NA",K32/Table8s2!$G$34*100)</f>
        <v>1.7746826521103648E-16</v>
      </c>
      <c r="O32" s="3848">
        <v>498.2361635089789</v>
      </c>
      <c r="P32" s="3847">
        <f>Summary2!E33</f>
        <v>498.23616350897896</v>
      </c>
      <c r="Q32" s="3893">
        <f t="shared" ref="Q32" si="34">IF(P32="NO",IF(O32="NO","NA",-O32),IF(O32="NO",P32,P32-O32))</f>
        <v>5.6843418860808015E-14</v>
      </c>
      <c r="R32" s="3894">
        <f t="shared" ref="R32" si="35">IF(Q32="NA","NA",Q32/O32*100)</f>
        <v>1.1408930748918553E-14</v>
      </c>
      <c r="S32" s="3895">
        <f>IF(Q32="NA","NA",Q32/Table8s2!$G$35*100)</f>
        <v>1.0291105620281234E-17</v>
      </c>
      <c r="T32" s="3896">
        <f>IF(Q32="NA","NA",Q32/Table8s2!$G$34*100)</f>
        <v>1.109176657568978E-17</v>
      </c>
    </row>
    <row r="33" spans="2:21" ht="18" customHeight="1" x14ac:dyDescent="0.2">
      <c r="B33" s="620" t="s">
        <v>1494</v>
      </c>
      <c r="C33" s="3891"/>
      <c r="D33" s="3891"/>
      <c r="E33" s="3892"/>
      <c r="F33" s="3892"/>
      <c r="G33" s="3897"/>
      <c r="H33" s="3898"/>
      <c r="I33" s="3848">
        <v>123.61396064038937</v>
      </c>
      <c r="J33" s="3847">
        <f>Summary2!D34</f>
        <v>123.61396064038937</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11633.124928563928</v>
      </c>
      <c r="P34" s="3847">
        <f>Summary2!E35</f>
        <v>11633.18933443585</v>
      </c>
      <c r="Q34" s="3893">
        <f t="shared" ref="Q34" si="36">IF(P34="NO",IF(O34="NO","NA",-O34),IF(O34="NO",P34,P34-O34))</f>
        <v>6.4405871922645019E-2</v>
      </c>
      <c r="R34" s="3894">
        <f t="shared" ref="R34" si="37">IF(Q34="NA","NA",Q34/O34*100)</f>
        <v>5.5364205506383849E-4</v>
      </c>
      <c r="S34" s="3895">
        <f>IF(Q34="NA","NA",Q34/Table8s2!$G$35*100)</f>
        <v>1.1660235147805884E-5</v>
      </c>
      <c r="T34" s="3896">
        <f>IF(Q34="NA","NA",Q34/Table8s2!$G$34*100)</f>
        <v>1.2567416101748464E-5</v>
      </c>
    </row>
    <row r="35" spans="2:21" ht="18" customHeight="1" x14ac:dyDescent="0.2">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
      <c r="B36" s="620" t="s">
        <v>1497</v>
      </c>
      <c r="C36" s="3891"/>
      <c r="D36" s="3891"/>
      <c r="E36" s="3892"/>
      <c r="F36" s="3892"/>
      <c r="G36" s="3869"/>
      <c r="H36" s="3870"/>
      <c r="I36" s="3846">
        <v>215.64765262613889</v>
      </c>
      <c r="J36" s="3847">
        <f>Summary2!D37</f>
        <v>215.64765262613889</v>
      </c>
      <c r="K36" s="3893">
        <f t="shared" ref="K36" si="38">IF(J36="NO",IF(I36="NO","NA",-I36),IF(I36="NO",J36,J36-I36))</f>
        <v>0</v>
      </c>
      <c r="L36" s="3893">
        <f t="shared" ref="L36" si="39">IF(K36="NA","NA",K36/I36*100)</f>
        <v>0</v>
      </c>
      <c r="M36" s="3884">
        <f>IF(K36="NA","NA",K36/Table8s2!$G$35*100)</f>
        <v>0</v>
      </c>
      <c r="N36" s="3885">
        <f>IF(K36="NA","NA",K36/Table8s2!$G$34*100)</f>
        <v>0</v>
      </c>
      <c r="O36" s="3848">
        <v>84.554252430559856</v>
      </c>
      <c r="P36" s="3847">
        <f>Summary2!E37</f>
        <v>84.554252430559842</v>
      </c>
      <c r="Q36" s="3893">
        <f t="shared" ref="Q36" si="40">IF(P36="NO",IF(O36="NO","NA",-O36),IF(O36="NO",P36,P36-O36))</f>
        <v>-1.4210854715202004E-14</v>
      </c>
      <c r="R36" s="3894">
        <f t="shared" ref="R36" si="41">IF(Q36="NA","NA",Q36/O36*100)</f>
        <v>-1.6806788903813752E-14</v>
      </c>
      <c r="S36" s="3895">
        <f>IF(Q36="NA","NA",Q36/Table8s2!$G$35*100)</f>
        <v>-2.5727764050703085E-18</v>
      </c>
      <c r="T36" s="3896">
        <f>IF(Q36="NA","NA",Q36/Table8s2!$G$34*100)</f>
        <v>-2.772941643922445E-18</v>
      </c>
    </row>
    <row r="37" spans="2:21" ht="18" customHeight="1" x14ac:dyDescent="0.2">
      <c r="B37" s="620" t="s">
        <v>721</v>
      </c>
      <c r="C37" s="3847">
        <v>1153.3920301118246</v>
      </c>
      <c r="D37" s="3847">
        <f>Summary2!C38</f>
        <v>1153.3920301118246</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
      <c r="B38" s="620" t="s">
        <v>722</v>
      </c>
      <c r="C38" s="3847">
        <v>1509.858276147467</v>
      </c>
      <c r="D38" s="3847">
        <f>Summary2!C39</f>
        <v>1509.858276147467</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25">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
      <c r="B41" s="1408" t="s">
        <v>1686</v>
      </c>
      <c r="C41" s="3839">
        <f>SUM(C42:C49)</f>
        <v>-53684.067186236884</v>
      </c>
      <c r="D41" s="3839">
        <f>Summary2!C42</f>
        <v>-60914.133383424669</v>
      </c>
      <c r="E41" s="3929">
        <f t="shared" ref="E41" si="42">IF(D41="NO",IF(C41="NO","NA",-C41),IF(C41="NO",D41,D41-C41))</f>
        <v>-7230.0661971877853</v>
      </c>
      <c r="F41" s="3929">
        <f t="shared" ref="F41" si="43">IF(E41="NA","NA",E41/C41*100)</f>
        <v>13.467806327165494</v>
      </c>
      <c r="G41" s="3869"/>
      <c r="H41" s="3929">
        <f>IF(E41="NA","NA",E41/Table8s2!$G$34*100)</f>
        <v>-1.410791401945102</v>
      </c>
      <c r="I41" s="3846">
        <f>SUM(I42:I49)</f>
        <v>21323.543154335421</v>
      </c>
      <c r="J41" s="3839">
        <f>Summary2!D42</f>
        <v>17188.067469372687</v>
      </c>
      <c r="K41" s="3929">
        <f t="shared" ref="K41:K46" si="44">IF(J41="NO",IF(I41="NO","NA",-I41),IF(I41="NO",J41,J41-I41))</f>
        <v>-4135.4756849627338</v>
      </c>
      <c r="L41" s="3929">
        <f t="shared" ref="L41:L46" si="45">IF(K41="NA","NA",K41/I41*100)</f>
        <v>-19.393942437384869</v>
      </c>
      <c r="M41" s="3889"/>
      <c r="N41" s="3930">
        <f>IF(K41="NA","NA",K41/Table8s2!$G$34*100)</f>
        <v>-0.80694884115553056</v>
      </c>
      <c r="O41" s="3846">
        <f>SUM(O42:O49)</f>
        <v>3913.8020379976742</v>
      </c>
      <c r="P41" s="3839">
        <f>Summary2!E42</f>
        <v>3854.2436782343793</v>
      </c>
      <c r="Q41" s="3929">
        <f t="shared" ref="Q41" si="46">IF(P41="NO",IF(O41="NO","NA",-O41),IF(O41="NO",P41,P41-O41))</f>
        <v>-59.558359763294902</v>
      </c>
      <c r="R41" s="3929">
        <f t="shared" ref="R41" si="47">IF(Q41="NA","NA",Q41/O41*100)</f>
        <v>-1.5217519737857086</v>
      </c>
      <c r="S41" s="3889"/>
      <c r="T41" s="3930">
        <f>IF(Q41="NA","NA",Q41/Table8s2!$G$34*100)</f>
        <v>-1.1621528707536841E-2</v>
      </c>
      <c r="U41" s="713"/>
    </row>
    <row r="42" spans="2:21" ht="18" customHeight="1" x14ac:dyDescent="0.2">
      <c r="B42" s="620" t="s">
        <v>981</v>
      </c>
      <c r="C42" s="3847">
        <v>-78869.235419606557</v>
      </c>
      <c r="D42" s="3847">
        <f>Summary2!C43</f>
        <v>-86149.359368465462</v>
      </c>
      <c r="E42" s="3931">
        <f t="shared" ref="E42:E50" si="48">IF(D42="NO",IF(C42="NO","NA",-C42),IF(C42="NO",D42,D42-C42))</f>
        <v>-7280.1239488589054</v>
      </c>
      <c r="F42" s="3931">
        <f t="shared" ref="F42:F50" si="49">IF(E42="NA","NA",E42/C42*100)</f>
        <v>9.2306257441530839</v>
      </c>
      <c r="G42" s="3889"/>
      <c r="H42" s="3931">
        <f>IF(E42="NA","NA",E42/Table8s2!$G$34*100)</f>
        <v>-1.4205590919955455</v>
      </c>
      <c r="I42" s="3848">
        <v>8263.8264658007538</v>
      </c>
      <c r="J42" s="3847">
        <f>Summary2!D43</f>
        <v>7714.7520519106438</v>
      </c>
      <c r="K42" s="3931">
        <f t="shared" si="44"/>
        <v>-549.07441389011001</v>
      </c>
      <c r="L42" s="3931">
        <f t="shared" si="45"/>
        <v>-6.6443120044015282</v>
      </c>
      <c r="M42" s="3889"/>
      <c r="N42" s="3932">
        <f>IF(K42="NA","NA",K42/Table8s2!$G$34*100)</f>
        <v>-0.10714002348215211</v>
      </c>
      <c r="O42" s="3848">
        <v>1419.2709174800812</v>
      </c>
      <c r="P42" s="3847">
        <f>Summary2!E43</f>
        <v>1366.0594064699278</v>
      </c>
      <c r="Q42" s="3931">
        <f t="shared" ref="Q42:Q46" si="50">IF(P42="NO",IF(O42="NO","NA",-O42),IF(O42="NO",P42,P42-O42))</f>
        <v>-53.211511010153345</v>
      </c>
      <c r="R42" s="3931">
        <f t="shared" ref="R42:R46" si="51">IF(Q42="NA","NA",Q42/O42*100)</f>
        <v>-3.7492144984292715</v>
      </c>
      <c r="S42" s="3889"/>
      <c r="T42" s="3932">
        <f>IF(Q42="NA","NA",Q42/Table8s2!$G$34*100)</f>
        <v>-1.0383078130990131E-2</v>
      </c>
      <c r="U42" s="713"/>
    </row>
    <row r="43" spans="2:21" ht="18" customHeight="1" x14ac:dyDescent="0.2">
      <c r="B43" s="620" t="s">
        <v>984</v>
      </c>
      <c r="C43" s="3847">
        <v>-2956.7573316028161</v>
      </c>
      <c r="D43" s="3847">
        <f>Summary2!C44</f>
        <v>-2959.6375306847522</v>
      </c>
      <c r="E43" s="3931">
        <f t="shared" si="48"/>
        <v>-2.8801990819360981</v>
      </c>
      <c r="F43" s="3931">
        <f t="shared" si="49"/>
        <v>9.7410736117961458E-2</v>
      </c>
      <c r="G43" s="3889"/>
      <c r="H43" s="3931">
        <f>IF(E43="NA","NA",E43/Table8s2!$G$34*100)</f>
        <v>-5.6200869948688889E-4</v>
      </c>
      <c r="I43" s="3848">
        <v>44.8477353544476</v>
      </c>
      <c r="J43" s="3847">
        <f>Summary2!D44</f>
        <v>45.129974400000009</v>
      </c>
      <c r="K43" s="3931">
        <f t="shared" si="44"/>
        <v>0.28223904555240864</v>
      </c>
      <c r="L43" s="3931">
        <f t="shared" si="45"/>
        <v>0.62932730788248969</v>
      </c>
      <c r="M43" s="3889"/>
      <c r="N43" s="3932">
        <f>IF(K43="NA","NA",K43/Table8s2!$G$34*100)</f>
        <v>5.5072859348564033E-5</v>
      </c>
      <c r="O43" s="3848">
        <v>40.650969345784361</v>
      </c>
      <c r="P43" s="3847">
        <f>Summary2!E44</f>
        <v>40.482588461354126</v>
      </c>
      <c r="Q43" s="3931">
        <f t="shared" si="50"/>
        <v>-0.1683808844302348</v>
      </c>
      <c r="R43" s="3931">
        <f t="shared" si="51"/>
        <v>-0.41421124056835423</v>
      </c>
      <c r="S43" s="3889"/>
      <c r="T43" s="3932">
        <f>IF(Q43="NA","NA",Q43/Table8s2!$G$34*100)</f>
        <v>-3.2855896132525725E-5</v>
      </c>
      <c r="U43" s="713"/>
    </row>
    <row r="44" spans="2:21" ht="18" customHeight="1" x14ac:dyDescent="0.2">
      <c r="B44" s="620" t="s">
        <v>987</v>
      </c>
      <c r="C44" s="3847">
        <v>28460.116492474899</v>
      </c>
      <c r="D44" s="3847">
        <f>Summary2!C45</f>
        <v>28461.148450275516</v>
      </c>
      <c r="E44" s="3931">
        <f t="shared" si="48"/>
        <v>1.0319578006165102</v>
      </c>
      <c r="F44" s="3931">
        <f t="shared" si="49"/>
        <v>3.6259788356430966E-3</v>
      </c>
      <c r="G44" s="3889"/>
      <c r="H44" s="3931">
        <f>IF(E44="NA","NA",E44/Table8s2!$G$34*100)</f>
        <v>2.0136429633883991E-4</v>
      </c>
      <c r="I44" s="3848">
        <v>6970.0542316280389</v>
      </c>
      <c r="J44" s="3847">
        <f>Summary2!D45</f>
        <v>6990.9563138789463</v>
      </c>
      <c r="K44" s="3931">
        <f t="shared" si="44"/>
        <v>20.90208225090737</v>
      </c>
      <c r="L44" s="3931">
        <f t="shared" si="45"/>
        <v>0.29988406913765348</v>
      </c>
      <c r="M44" s="3889"/>
      <c r="N44" s="3932">
        <f>IF(K44="NA","NA",K44/Table8s2!$G$34*100)</f>
        <v>4.0785903085921007E-3</v>
      </c>
      <c r="O44" s="3848">
        <v>2306.1069764732274</v>
      </c>
      <c r="P44" s="3847">
        <f>Summary2!E45</f>
        <v>2298.8813331195993</v>
      </c>
      <c r="Q44" s="3931">
        <f t="shared" si="50"/>
        <v>-7.2256433536281293</v>
      </c>
      <c r="R44" s="3931">
        <f t="shared" si="51"/>
        <v>-0.31332646001871262</v>
      </c>
      <c r="S44" s="3889"/>
      <c r="T44" s="3932">
        <f>IF(Q44="NA","NA",Q44/Table8s2!$G$34*100)</f>
        <v>-1.4099283794642653E-3</v>
      </c>
      <c r="U44" s="713"/>
    </row>
    <row r="45" spans="2:21" ht="18" customHeight="1" x14ac:dyDescent="0.2">
      <c r="B45" s="620" t="s">
        <v>1525</v>
      </c>
      <c r="C45" s="3847">
        <v>-256.25535208347043</v>
      </c>
      <c r="D45" s="3847">
        <f>Summary2!C46</f>
        <v>-261.86533523588122</v>
      </c>
      <c r="E45" s="3931">
        <f t="shared" si="48"/>
        <v>-5.6099831524107913</v>
      </c>
      <c r="F45" s="3931">
        <f t="shared" si="49"/>
        <v>2.1892159936559854</v>
      </c>
      <c r="G45" s="3889"/>
      <c r="H45" s="3931">
        <f>IF(E45="NA","NA",E45/Table8s2!$G$34*100)</f>
        <v>-1.0946671552684347E-3</v>
      </c>
      <c r="I45" s="3848">
        <v>6003.3164375274928</v>
      </c>
      <c r="J45" s="3847">
        <f>Summary2!D46</f>
        <v>2395.2275835830937</v>
      </c>
      <c r="K45" s="3931">
        <f t="shared" si="44"/>
        <v>-3608.088853944399</v>
      </c>
      <c r="L45" s="3931">
        <f t="shared" si="45"/>
        <v>-60.101593702270591</v>
      </c>
      <c r="M45" s="3889"/>
      <c r="N45" s="3932">
        <f>IF(K45="NA","NA",K45/Table8s2!$G$34*100)</f>
        <v>-0.70404068147794119</v>
      </c>
      <c r="O45" s="3848">
        <v>82.349141993104524</v>
      </c>
      <c r="P45" s="3847">
        <f>Summary2!E46</f>
        <v>83.242376361630647</v>
      </c>
      <c r="Q45" s="3931">
        <f t="shared" si="50"/>
        <v>0.89323436852612303</v>
      </c>
      <c r="R45" s="3931">
        <f t="shared" si="51"/>
        <v>1.0846917732317329</v>
      </c>
      <c r="S45" s="3889"/>
      <c r="T45" s="3932">
        <f>IF(Q45="NA","NA",Q45/Table8s2!$G$34*100)</f>
        <v>1.7429541205703941E-4</v>
      </c>
      <c r="U45" s="713"/>
    </row>
    <row r="46" spans="2:21" ht="18" customHeight="1" x14ac:dyDescent="0.2">
      <c r="B46" s="620" t="s">
        <v>1526</v>
      </c>
      <c r="C46" s="3847">
        <v>4385.0709876184337</v>
      </c>
      <c r="D46" s="3847">
        <f>Summary2!C47</f>
        <v>4409.4994612760966</v>
      </c>
      <c r="E46" s="3931">
        <f t="shared" si="48"/>
        <v>24.428473657662835</v>
      </c>
      <c r="F46" s="3931">
        <f t="shared" si="49"/>
        <v>0.55708274111498779</v>
      </c>
      <c r="G46" s="3889"/>
      <c r="H46" s="3931">
        <f>IF(E46="NA","NA",E46/Table8s2!$G$34*100)</f>
        <v>4.7666894961871991E-3</v>
      </c>
      <c r="I46" s="3848">
        <v>41.498284024690008</v>
      </c>
      <c r="J46" s="3847">
        <f>Summary2!D47</f>
        <v>42.001545599999993</v>
      </c>
      <c r="K46" s="3931">
        <f t="shared" si="44"/>
        <v>0.50326157530998472</v>
      </c>
      <c r="L46" s="3931">
        <f t="shared" si="45"/>
        <v>1.2127286396000421</v>
      </c>
      <c r="M46" s="3889"/>
      <c r="N46" s="3932">
        <f>IF(K46="NA","NA",K46/Table8s2!$G$34*100)</f>
        <v>9.8200636621119063E-5</v>
      </c>
      <c r="O46" s="3848">
        <v>13.778505246440579</v>
      </c>
      <c r="P46" s="3847">
        <f>Summary2!E47</f>
        <v>13.932446362831779</v>
      </c>
      <c r="Q46" s="3931">
        <f t="shared" si="50"/>
        <v>0.15394111639120034</v>
      </c>
      <c r="R46" s="3931">
        <f t="shared" si="51"/>
        <v>1.117255563196655</v>
      </c>
      <c r="S46" s="3889"/>
      <c r="T46" s="3932">
        <f>IF(Q46="NA","NA",Q46/Table8s2!$G$34*100)</f>
        <v>3.0038286993141189E-5</v>
      </c>
      <c r="U46" s="713"/>
    </row>
    <row r="47" spans="2:21" ht="18" customHeight="1" x14ac:dyDescent="0.2">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
      <c r="B48" s="620" t="s">
        <v>1528</v>
      </c>
      <c r="C48" s="3847">
        <v>-4447.0065630373774</v>
      </c>
      <c r="D48" s="3847">
        <f>Summary2!C49</f>
        <v>-4413.9190605901867</v>
      </c>
      <c r="E48" s="3931">
        <f t="shared" si="48"/>
        <v>33.087502447190673</v>
      </c>
      <c r="F48" s="3931">
        <f t="shared" si="49"/>
        <v>-0.74403988341747296</v>
      </c>
      <c r="G48" s="3889"/>
      <c r="H48" s="3931">
        <f>IF(E48="NA","NA",E48/Table8s2!$G$34*100)</f>
        <v>6.4563121126734171E-3</v>
      </c>
      <c r="I48" s="3913"/>
      <c r="J48" s="3910"/>
      <c r="K48" s="3918"/>
      <c r="L48" s="3918"/>
      <c r="M48" s="3918"/>
      <c r="N48" s="3905"/>
      <c r="O48" s="3913"/>
      <c r="P48" s="3910"/>
      <c r="Q48" s="3918"/>
      <c r="R48" s="3918"/>
      <c r="S48" s="3918"/>
      <c r="T48" s="3905"/>
      <c r="U48" s="713"/>
    </row>
    <row r="49" spans="2:21" ht="18" customHeight="1" thickBot="1" x14ac:dyDescent="0.25">
      <c r="B49" s="1552" t="s">
        <v>1529</v>
      </c>
      <c r="C49" s="3855" t="s">
        <v>2146</v>
      </c>
      <c r="D49" s="3855" t="str">
        <f>Summary2!C50</f>
        <v>NO</v>
      </c>
      <c r="E49" s="3933" t="str">
        <f t="shared" si="48"/>
        <v>NA</v>
      </c>
      <c r="F49" s="3933" t="str">
        <f t="shared" si="49"/>
        <v>NA</v>
      </c>
      <c r="G49" s="3934"/>
      <c r="H49" s="3933" t="str">
        <f>IF(E49="NA","NA",E49/Table8s2!$G$34*100)</f>
        <v>NA</v>
      </c>
      <c r="I49" s="3935" t="s">
        <v>2146</v>
      </c>
      <c r="J49" s="3936" t="str">
        <f>Summary2!D50</f>
        <v>NO</v>
      </c>
      <c r="K49" s="3937" t="s">
        <v>2147</v>
      </c>
      <c r="L49" s="3937" t="s">
        <v>2147</v>
      </c>
      <c r="M49" s="3938"/>
      <c r="N49" s="3937" t="s">
        <v>2147</v>
      </c>
      <c r="O49" s="3873">
        <v>51.645527459035712</v>
      </c>
      <c r="P49" s="3855">
        <f>Summary2!E50</f>
        <v>51.645527459035712</v>
      </c>
      <c r="Q49" s="3933">
        <f t="shared" ref="Q49:Q50" si="52">IF(P49="NO",IF(O49="NO","NA",-O49),IF(O49="NO",P49,P49-O49))</f>
        <v>0</v>
      </c>
      <c r="R49" s="3933">
        <f t="shared" ref="R49:R50" si="53">IF(Q49="NA","NA",Q49/O49*100)</f>
        <v>0</v>
      </c>
      <c r="S49" s="3934"/>
      <c r="T49" s="3939">
        <f>IF(Q49="NA","NA",Q49/Table8s2!$G$34*100)</f>
        <v>0</v>
      </c>
      <c r="U49" s="713"/>
    </row>
    <row r="50" spans="2:21" ht="18" customHeight="1" x14ac:dyDescent="0.2">
      <c r="B50" s="710" t="s">
        <v>1500</v>
      </c>
      <c r="C50" s="3839">
        <f>SUM(C51:C55)</f>
        <v>31.331062638344687</v>
      </c>
      <c r="D50" s="3839">
        <f>Summary2!C51</f>
        <v>31.331062638344687</v>
      </c>
      <c r="E50" s="3839">
        <f t="shared" si="48"/>
        <v>0</v>
      </c>
      <c r="F50" s="3839">
        <f t="shared" si="49"/>
        <v>0</v>
      </c>
      <c r="G50" s="3844">
        <f>IF(E50="NA","NA",E50/Table8s2!$G$35*100)</f>
        <v>0</v>
      </c>
      <c r="H50" s="3845">
        <f>IF(E50="NA","NA",E50/Table8s2!$G$34*100)</f>
        <v>0</v>
      </c>
      <c r="I50" s="3839">
        <f>SUM(I51:I55)</f>
        <v>12797.476709115814</v>
      </c>
      <c r="J50" s="3839">
        <f>Summary2!D51</f>
        <v>12690.974487738671</v>
      </c>
      <c r="K50" s="3839">
        <f t="shared" ref="K50" si="54">IF(J50="NO",IF(I50="NO","NA",-I50),IF(I50="NO",J50,J50-I50))</f>
        <v>-106.50222137714263</v>
      </c>
      <c r="L50" s="3839">
        <f t="shared" ref="L50" si="55">IF(K50="NA","NA",K50/I50*100)</f>
        <v>-0.8322126603385781</v>
      </c>
      <c r="M50" s="3844">
        <f>IF(K50="NA","NA",K50/Table8s2!$G$35*100)</f>
        <v>-1.9281486422739229E-2</v>
      </c>
      <c r="N50" s="3845">
        <f>IF(K50="NA","NA",K50/Table8s2!$G$34*100)</f>
        <v>-2.0781610307436606E-2</v>
      </c>
      <c r="O50" s="3839">
        <f>SUM(O51:O55)</f>
        <v>558.36091071524424</v>
      </c>
      <c r="P50" s="3839">
        <f>Summary2!E51</f>
        <v>361.29732898150644</v>
      </c>
      <c r="Q50" s="3839">
        <f t="shared" si="52"/>
        <v>-197.06358173373781</v>
      </c>
      <c r="R50" s="3839">
        <f t="shared" si="53"/>
        <v>-35.293226648209497</v>
      </c>
      <c r="S50" s="3844">
        <f>IF(Q50="NA","NA",Q50/Table8s2!$G$35*100)</f>
        <v>-3.5676990831581941E-2</v>
      </c>
      <c r="T50" s="3845">
        <f>IF(Q50="NA","NA",Q50/Table8s2!$G$34*100)</f>
        <v>-3.8452705571990535E-2</v>
      </c>
    </row>
    <row r="51" spans="2:21" ht="18" customHeight="1" x14ac:dyDescent="0.2">
      <c r="B51" s="620" t="s">
        <v>1530</v>
      </c>
      <c r="C51" s="3918"/>
      <c r="D51" s="3918"/>
      <c r="E51" s="3888"/>
      <c r="F51" s="3903"/>
      <c r="G51" s="3904"/>
      <c r="H51" s="3905"/>
      <c r="I51" s="3839">
        <v>9987.2253278971439</v>
      </c>
      <c r="J51" s="3839">
        <f>Summary2!D52</f>
        <v>9880.7231065200012</v>
      </c>
      <c r="K51" s="3839">
        <f t="shared" ref="K51:K52" si="56">IF(J51="NO",IF(I51="NO","NA",-I51),IF(I51="NO",J51,J51-I51))</f>
        <v>-106.50222137714263</v>
      </c>
      <c r="L51" s="3839">
        <f t="shared" ref="L51:L52" si="57">IF(K51="NA","NA",K51/I51*100)</f>
        <v>-1.0663844849845514</v>
      </c>
      <c r="M51" s="3844">
        <f>IF(K51="NA","NA",K51/Table8s2!$G$35*100)</f>
        <v>-1.9281486422739229E-2</v>
      </c>
      <c r="N51" s="3845">
        <f>IF(K51="NA","NA",K51/Table8s2!$G$34*100)</f>
        <v>-2.0781610307436606E-2</v>
      </c>
      <c r="O51" s="3886"/>
      <c r="P51" s="3887"/>
      <c r="Q51" s="3940"/>
      <c r="R51" s="3941"/>
      <c r="S51" s="3942"/>
      <c r="T51" s="3943"/>
    </row>
    <row r="52" spans="2:21" ht="18" customHeight="1" x14ac:dyDescent="0.2">
      <c r="B52" s="1396" t="s">
        <v>1531</v>
      </c>
      <c r="C52" s="3918"/>
      <c r="D52" s="3918"/>
      <c r="E52" s="3888"/>
      <c r="F52" s="3903"/>
      <c r="G52" s="3904"/>
      <c r="H52" s="3905"/>
      <c r="I52" s="3849">
        <v>120.89709014956233</v>
      </c>
      <c r="J52" s="3847">
        <f>Summary2!D53</f>
        <v>120.89709014956233</v>
      </c>
      <c r="K52" s="3839">
        <f t="shared" si="56"/>
        <v>0</v>
      </c>
      <c r="L52" s="3839">
        <f t="shared" si="57"/>
        <v>0</v>
      </c>
      <c r="M52" s="3844">
        <f>IF(K52="NA","NA",K52/Table8s2!$G$35*100)</f>
        <v>0</v>
      </c>
      <c r="N52" s="3845">
        <f>IF(K52="NA","NA",K52/Table8s2!$G$34*100)</f>
        <v>0</v>
      </c>
      <c r="O52" s="3839">
        <v>146.45818920975552</v>
      </c>
      <c r="P52" s="3839">
        <f>Summary2!E53</f>
        <v>146.45818920975552</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
      <c r="B53" s="1397" t="s">
        <v>1532</v>
      </c>
      <c r="C53" s="3839">
        <v>31.331062638344687</v>
      </c>
      <c r="D53" s="3839">
        <f>Summary2!C54</f>
        <v>31.331062638344687</v>
      </c>
      <c r="E53" s="3839">
        <f t="shared" ref="E53" si="60">IF(D53="NO",IF(C53="NO","NA",-C53),IF(C53="NO",D53,D53-C53))</f>
        <v>0</v>
      </c>
      <c r="F53" s="3839">
        <f t="shared" ref="F53" si="61">IF(E53="NA","NA",E53/C53*100)</f>
        <v>0</v>
      </c>
      <c r="G53" s="3844">
        <f>IF(E53="NA","NA",E53/Table8s2!$G$35*100)</f>
        <v>0</v>
      </c>
      <c r="H53" s="3845">
        <f>IF(E53="NA","NA",E53/Table8s2!$G$34*100)</f>
        <v>0</v>
      </c>
      <c r="I53" s="3849" t="s">
        <v>2146</v>
      </c>
      <c r="J53" s="3847" t="str">
        <f>Summary2!D54</f>
        <v>NO,NE</v>
      </c>
      <c r="K53" s="3839" t="s">
        <v>2147</v>
      </c>
      <c r="L53" s="3944" t="s">
        <v>2147</v>
      </c>
      <c r="M53" s="3895" t="s">
        <v>2147</v>
      </c>
      <c r="N53" s="3896" t="s">
        <v>2147</v>
      </c>
      <c r="O53" s="3839" t="s">
        <v>2146</v>
      </c>
      <c r="P53" s="3839" t="str">
        <f>Summary2!E54</f>
        <v>NO,NE</v>
      </c>
      <c r="Q53" s="3839" t="s">
        <v>2147</v>
      </c>
      <c r="R53" s="3839" t="s">
        <v>2147</v>
      </c>
      <c r="S53" s="3844" t="s">
        <v>2147</v>
      </c>
      <c r="T53" s="3845" t="s">
        <v>2147</v>
      </c>
    </row>
    <row r="54" spans="2:21" ht="18" customHeight="1" x14ac:dyDescent="0.2">
      <c r="B54" s="620" t="s">
        <v>1533</v>
      </c>
      <c r="C54" s="3945"/>
      <c r="D54" s="3946"/>
      <c r="E54" s="3947"/>
      <c r="F54" s="3946"/>
      <c r="G54" s="3948"/>
      <c r="H54" s="3949"/>
      <c r="I54" s="3847">
        <v>2689.3542910691076</v>
      </c>
      <c r="J54" s="3847">
        <f>Summary2!D55</f>
        <v>2689.3542910691085</v>
      </c>
      <c r="K54" s="3839">
        <f t="shared" ref="K54" si="62">IF(J54="NO",IF(I54="NO","NA",-I54),IF(I54="NO",J54,J54-I54))</f>
        <v>9.0949470177292824E-13</v>
      </c>
      <c r="L54" s="3839">
        <f t="shared" ref="L54" si="63">IF(K54="NA","NA",K54/I54*100)</f>
        <v>3.3818329730419192E-14</v>
      </c>
      <c r="M54" s="3844">
        <f>IF(K54="NA","NA",K54/Table8s2!$G$35*100)</f>
        <v>1.6465768992449974E-16</v>
      </c>
      <c r="N54" s="3845">
        <f>IF(K54="NA","NA",K54/Table8s2!$G$34*100)</f>
        <v>1.7746826521103648E-16</v>
      </c>
      <c r="O54" s="3839">
        <v>411.90272150548867</v>
      </c>
      <c r="P54" s="3839">
        <f>Summary2!E55</f>
        <v>214.83913977175092</v>
      </c>
      <c r="Q54" s="3839">
        <f t="shared" ref="Q54" si="64">IF(P54="NO",IF(O54="NO","NA",-O54),IF(O54="NO",P54,P54-O54))</f>
        <v>-197.06358173373775</v>
      </c>
      <c r="R54" s="3839">
        <f t="shared" ref="R54" si="65">IF(Q54="NA","NA",Q54/O54*100)</f>
        <v>-47.842262613239825</v>
      </c>
      <c r="S54" s="3844">
        <f>IF(Q54="NA","NA",Q54/Table8s2!$G$35*100)</f>
        <v>-3.5676990831581934E-2</v>
      </c>
      <c r="T54" s="3845">
        <f>IF(Q54="NA","NA",Q54/Table8s2!$G$34*100)</f>
        <v>-3.8452705571990521E-2</v>
      </c>
    </row>
    <row r="55" spans="2:21" ht="18" customHeight="1" thickBot="1" x14ac:dyDescent="0.25">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25">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25">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
      <c r="B59" s="1409" t="s">
        <v>110</v>
      </c>
      <c r="C59" s="3847">
        <v>15011.326463288073</v>
      </c>
      <c r="D59" s="3847">
        <f>Summary2!C60</f>
        <v>15011.326463288071</v>
      </c>
      <c r="E59" s="3861">
        <f t="shared" ref="E59" si="66">IF(D59="NO",IF(C59="NO","NA",-C59),IF(C59="NO",D59,D59-C59))</f>
        <v>-1.8189894035458565E-12</v>
      </c>
      <c r="F59" s="3861">
        <f t="shared" ref="F59" si="67">IF(E59="NA","NA",E59/C59*100)</f>
        <v>-1.2117446169693296E-14</v>
      </c>
      <c r="G59" s="3862">
        <f>IF(E59="NA","NA",E59/Table8s2!$G$35*100)</f>
        <v>-3.2931537984899949E-16</v>
      </c>
      <c r="H59" s="3863">
        <f>IF(E59="NA","NA",E59/Table8s2!$G$34*100)</f>
        <v>-3.5493653042207297E-16</v>
      </c>
      <c r="I59" s="3847">
        <v>7.1696424398202794</v>
      </c>
      <c r="J59" s="3847">
        <f>Summary2!D60</f>
        <v>7.1696424398201879</v>
      </c>
      <c r="K59" s="3861">
        <f t="shared" ref="K59:K61" si="68">IF(J59="NO",IF(I59="NO","NA",-I59),IF(I59="NO",J59,J59-I59))</f>
        <v>-9.1482377229112899E-14</v>
      </c>
      <c r="L59" s="3861">
        <f t="shared" ref="L59:L61" si="69">IF(K59="NA","NA",K59/I59*100)</f>
        <v>-1.2759684739788233E-12</v>
      </c>
      <c r="M59" s="3862">
        <f>IF(K59="NA","NA",K59/Table8s2!$G$35*100)</f>
        <v>-1.6562248107640111E-17</v>
      </c>
      <c r="N59" s="3863">
        <f>IF(K59="NA","NA",K59/Table8s2!$G$34*100)</f>
        <v>-1.7850811832750741E-17</v>
      </c>
      <c r="O59" s="3848">
        <v>33.969545016435049</v>
      </c>
      <c r="P59" s="3847">
        <f>Summary2!E60</f>
        <v>33.969545016435134</v>
      </c>
      <c r="Q59" s="3861">
        <f t="shared" ref="Q59" si="70">IF(P59="NO",IF(O59="NO","NA",-O59),IF(O59="NO",P59,P59-O59))</f>
        <v>8.5265128291212022E-14</v>
      </c>
      <c r="R59" s="3966">
        <f t="shared" ref="R59" si="71">IF(Q59="NA","NA",Q59/O59*100)</f>
        <v>2.5100462266998068E-13</v>
      </c>
      <c r="S59" s="3967">
        <f>IF(Q59="NA","NA",Q59/Table8s2!$G$35*100)</f>
        <v>1.5436658430421852E-17</v>
      </c>
      <c r="T59" s="3968">
        <f>IF(Q59="NA","NA",Q59/Table8s2!$G$34*100)</f>
        <v>1.663764986353467E-17</v>
      </c>
    </row>
    <row r="60" spans="2:21" ht="18" customHeight="1" x14ac:dyDescent="0.2">
      <c r="B60" s="1410" t="s">
        <v>111</v>
      </c>
      <c r="C60" s="3847">
        <v>12627.611555322999</v>
      </c>
      <c r="D60" s="3847">
        <f>Summary2!C61</f>
        <v>12627.611555322994</v>
      </c>
      <c r="E60" s="3861">
        <f t="shared" ref="E60:E61" si="72">IF(D60="NO",IF(C60="NO","NA",-C60),IF(C60="NO",D60,D60-C60))</f>
        <v>-5.4569682106375694E-12</v>
      </c>
      <c r="F60" s="3861">
        <f t="shared" ref="F60:F61" si="73">IF(E60="NA","NA",E60/C60*100)</f>
        <v>-4.3214571391667953E-14</v>
      </c>
      <c r="G60" s="3862">
        <f>IF(E60="NA","NA",E60/Table8s2!$G$35*100)</f>
        <v>-9.8794613954699851E-16</v>
      </c>
      <c r="H60" s="3863">
        <f>IF(E60="NA","NA",E60/Table8s2!$G$34*100)</f>
        <v>-1.0648095912662189E-15</v>
      </c>
      <c r="I60" s="3847">
        <v>0.80088123684211998</v>
      </c>
      <c r="J60" s="3847">
        <f>Summary2!D61</f>
        <v>0.80088123684210544</v>
      </c>
      <c r="K60" s="3861">
        <f t="shared" si="68"/>
        <v>-1.4543921622589551E-14</v>
      </c>
      <c r="L60" s="3861">
        <f t="shared" si="69"/>
        <v>-1.8159898064207786E-12</v>
      </c>
      <c r="M60" s="3862">
        <f>IF(K60="NA","NA",K60/Table8s2!$G$35*100)</f>
        <v>-2.6330758520641437E-18</v>
      </c>
      <c r="N60" s="3863">
        <f>IF(K60="NA","NA",K60/Table8s2!$G$34*100)</f>
        <v>-2.8379324637018774E-18</v>
      </c>
      <c r="O60" s="3848">
        <v>16.747894824709149</v>
      </c>
      <c r="P60" s="3847">
        <f>Summary2!E61</f>
        <v>16.747894824708691</v>
      </c>
      <c r="Q60" s="3861">
        <f t="shared" ref="Q60:Q61" si="74">IF(P60="NO",IF(O60="NO","NA",-O60),IF(O60="NO",P60,P60-O60))</f>
        <v>-4.5830006456526462E-13</v>
      </c>
      <c r="R60" s="3966">
        <f t="shared" ref="R60:R61" si="75">IF(Q60="NA","NA",Q60/O60*100)</f>
        <v>-2.7364637129742883E-12</v>
      </c>
      <c r="S60" s="3967">
        <f>IF(Q60="NA","NA",Q60/Table8s2!$G$35*100)</f>
        <v>-8.2972039063517444E-17</v>
      </c>
      <c r="T60" s="3968">
        <f>IF(Q60="NA","NA",Q60/Table8s2!$G$34*100)</f>
        <v>-8.942736801649885E-17</v>
      </c>
    </row>
    <row r="61" spans="2:21" ht="18" customHeight="1" x14ac:dyDescent="0.2">
      <c r="B61" s="1411" t="s">
        <v>1503</v>
      </c>
      <c r="C61" s="3847">
        <v>2383.714907965074</v>
      </c>
      <c r="D61" s="3847">
        <f>Summary2!C62</f>
        <v>2383.7149079650771</v>
      </c>
      <c r="E61" s="3861">
        <f t="shared" si="72"/>
        <v>3.1832314562052488E-12</v>
      </c>
      <c r="F61" s="3861">
        <f t="shared" si="73"/>
        <v>1.335407789567715E-13</v>
      </c>
      <c r="G61" s="3862">
        <f>IF(E61="NA","NA",E61/Table8s2!$G$35*100)</f>
        <v>5.7630191473574912E-16</v>
      </c>
      <c r="H61" s="3863">
        <f>IF(E61="NA","NA",E61/Table8s2!$G$34*100)</f>
        <v>6.2113892823862769E-16</v>
      </c>
      <c r="I61" s="3847">
        <v>6.3687612029781597</v>
      </c>
      <c r="J61" s="3847">
        <f>Summary2!D62</f>
        <v>6.3687612029780816</v>
      </c>
      <c r="K61" s="3861">
        <f t="shared" si="68"/>
        <v>-7.815970093361102E-14</v>
      </c>
      <c r="L61" s="3861">
        <f t="shared" si="69"/>
        <v>-1.2272355398890131E-12</v>
      </c>
      <c r="M61" s="3862">
        <f>IF(K61="NA","NA",K61/Table8s2!$G$35*100)</f>
        <v>-1.4150270227886699E-17</v>
      </c>
      <c r="N61" s="3863">
        <f>IF(K61="NA","NA",K61/Table8s2!$G$34*100)</f>
        <v>-1.5251179041573448E-17</v>
      </c>
      <c r="O61" s="3848">
        <v>17.2216501917259</v>
      </c>
      <c r="P61" s="3847">
        <f>Summary2!E62</f>
        <v>17.221650191726443</v>
      </c>
      <c r="Q61" s="3861">
        <f t="shared" si="74"/>
        <v>5.4356519285647664E-13</v>
      </c>
      <c r="R61" s="3966">
        <f t="shared" si="75"/>
        <v>3.1562898259170961E-12</v>
      </c>
      <c r="S61" s="3967">
        <f>IF(Q61="NA","NA",Q61/Table8s2!$G$35*100)</f>
        <v>9.8408697493939299E-17</v>
      </c>
      <c r="T61" s="3968">
        <f>IF(Q61="NA","NA",Q61/Table8s2!$G$34*100)</f>
        <v>1.0606501788003352E-16</v>
      </c>
    </row>
    <row r="62" spans="2:21" ht="18" customHeight="1" x14ac:dyDescent="0.2">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
      <c r="B63" s="1409" t="s">
        <v>1688</v>
      </c>
      <c r="C63" s="3847">
        <v>19095.574831718692</v>
      </c>
      <c r="D63" s="3847">
        <f>Summary2!C64</f>
        <v>19096.838530978872</v>
      </c>
      <c r="E63" s="3861">
        <f t="shared" ref="E63:E65" si="76">IF(D63="NO",IF(C63="NO","NA",-C63),IF(C63="NO",D63,D63-C63))</f>
        <v>1.2636992601801467</v>
      </c>
      <c r="F63" s="3861">
        <f t="shared" ref="F63:F65" si="77">IF(E63="NA","NA",E63/C63*100)</f>
        <v>6.6177597234783414E-3</v>
      </c>
      <c r="G63" s="3862">
        <f>IF(E63="NA","NA",E63/Table8s2!$G$35*100)</f>
        <v>2.2878396161620819E-4</v>
      </c>
      <c r="H63" s="3863">
        <f>IF(E63="NA","NA",E63/Table8s2!$G$34*100)</f>
        <v>2.4658364146098462E-4</v>
      </c>
      <c r="I63" s="3969"/>
      <c r="J63" s="3969"/>
      <c r="K63" s="3970"/>
      <c r="L63" s="3970"/>
      <c r="M63" s="3971"/>
      <c r="N63" s="3972"/>
      <c r="O63" s="3973"/>
      <c r="P63" s="3969"/>
      <c r="Q63" s="3970"/>
      <c r="R63" s="3974"/>
      <c r="S63" s="3975"/>
      <c r="T63" s="3976"/>
    </row>
    <row r="64" spans="2:21" ht="18" customHeight="1" x14ac:dyDescent="0.2">
      <c r="B64" s="1413" t="s">
        <v>1689</v>
      </c>
      <c r="C64" s="3847" t="str">
        <f>D64</f>
        <v>NO</v>
      </c>
      <c r="D64" s="3849" t="str">
        <f>Summary2!C65</f>
        <v>NO</v>
      </c>
      <c r="E64" s="3861" t="str">
        <f t="shared" si="76"/>
        <v>NA</v>
      </c>
      <c r="F64" s="3861" t="str">
        <f t="shared" si="77"/>
        <v>NA</v>
      </c>
      <c r="G64" s="3862" t="str">
        <f>IF(E64="NA","NA",E64/Table8s2!$G$35*100)</f>
        <v>NA</v>
      </c>
      <c r="H64" s="3863" t="str">
        <f>IF(E64="NA","NA",E64/Table8s2!$G$34*100)</f>
        <v>NA</v>
      </c>
      <c r="I64" s="3969"/>
      <c r="J64" s="3969"/>
      <c r="K64" s="3969"/>
      <c r="L64" s="3969"/>
      <c r="M64" s="3978"/>
      <c r="N64" s="3976"/>
      <c r="O64" s="3979"/>
      <c r="P64" s="3980"/>
      <c r="Q64" s="3970"/>
      <c r="R64" s="3981"/>
      <c r="S64" s="3982"/>
      <c r="T64" s="3983"/>
    </row>
    <row r="65" spans="2:20" ht="18" customHeight="1" x14ac:dyDescent="0.2">
      <c r="B65" s="1414" t="s">
        <v>1505</v>
      </c>
      <c r="C65" s="3847">
        <v>-303293.69854055112</v>
      </c>
      <c r="D65" s="3849">
        <f>Summary2!C66</f>
        <v>-303716.67515599198</v>
      </c>
      <c r="E65" s="3977">
        <f t="shared" si="76"/>
        <v>-422.97661544085713</v>
      </c>
      <c r="F65" s="3984">
        <f t="shared" si="77"/>
        <v>0.1394610628167417</v>
      </c>
      <c r="G65" s="3985">
        <f>IF(E65="NA","NA",E65/Table8s2!$G$35*100)</f>
        <v>-7.657697428562206E-2</v>
      </c>
      <c r="H65" s="3986">
        <f>IF(E65="NA","NA",E65/Table8s2!$G$34*100)</f>
        <v>-8.2534759158900448E-2</v>
      </c>
      <c r="I65" s="3980"/>
      <c r="J65" s="3980"/>
      <c r="K65" s="3980"/>
      <c r="L65" s="3980"/>
      <c r="M65" s="3987"/>
      <c r="N65" s="3983"/>
      <c r="O65" s="3979"/>
      <c r="P65" s="3980"/>
      <c r="Q65" s="3988"/>
      <c r="R65" s="3981"/>
      <c r="S65" s="3982"/>
      <c r="T65" s="3983"/>
    </row>
    <row r="66" spans="2:20" ht="18" customHeight="1" thickBot="1" x14ac:dyDescent="0.3">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25">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5"/>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2" t="s">
        <v>64</v>
      </c>
      <c r="D6" s="695"/>
      <c r="E6" s="695"/>
      <c r="F6" s="695"/>
      <c r="G6" s="695"/>
      <c r="H6" s="695"/>
      <c r="I6" s="695"/>
      <c r="J6" s="695"/>
      <c r="K6" s="695"/>
      <c r="L6" s="714"/>
      <c r="M6" s="714"/>
      <c r="N6" s="618"/>
      <c r="O6" s="618"/>
      <c r="P6" s="618"/>
      <c r="Q6" s="618"/>
      <c r="R6" s="618"/>
      <c r="S6" s="618"/>
    </row>
    <row r="7" spans="2:32" ht="17.25" customHeight="1" x14ac:dyDescent="0.2">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25">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
      <c r="B10" s="1950" t="s">
        <v>1693</v>
      </c>
      <c r="C10" s="4018">
        <f>IF(SUM(C11:C30)=0,"NO",SUM(C11:C30))</f>
        <v>9705.2434129086087</v>
      </c>
      <c r="D10" s="4019">
        <f>IF(SUM(D11:D30)=0,"NO",SUM(D11:D30))</f>
        <v>9705.2434129086068</v>
      </c>
      <c r="E10" s="4019">
        <f>IF(D10="NO",IF(C10="NO","NA",-C10),IF(C10="NO",D10,D10-C10))</f>
        <v>-1.8189894035458565E-12</v>
      </c>
      <c r="F10" s="4019">
        <f>IF(E10="NA","NA",E10/C10*100)</f>
        <v>-1.8742336757123283E-14</v>
      </c>
      <c r="G10" s="4020">
        <f>IF(E10="NA","NA",E10/$G$35*100)</f>
        <v>-3.2931537984899949E-16</v>
      </c>
      <c r="H10" s="4021">
        <f>IF(E10="NA","NA",E10/$G$34*100)</f>
        <v>-3.5493653042207297E-16</v>
      </c>
      <c r="I10" s="4022">
        <f>IF(SUM(I11:I30)=0,"NO",SUM(I11:I30))</f>
        <v>202.24755821344587</v>
      </c>
      <c r="J10" s="4022">
        <f>IF(SUM(J11:J30)=0,"NO",SUM(J11:J30))</f>
        <v>202.24755821344587</v>
      </c>
      <c r="K10" s="4019">
        <f>IF(J10="NO",IF(I10="NO","NA",-I10),IF(I10="NO",J10,J10-I10))</f>
        <v>0</v>
      </c>
      <c r="L10" s="4019">
        <f>IF(K10="NA","NA",K10/I10*100)</f>
        <v>0</v>
      </c>
      <c r="M10" s="4020">
        <f>IF(K10="NA","NA",K10/$G$35*100)</f>
        <v>0</v>
      </c>
      <c r="N10" s="4021">
        <f>IF(K10="NA","NA",K10/$G$34*100)</f>
        <v>0</v>
      </c>
      <c r="O10" s="4018" t="s">
        <v>2146</v>
      </c>
      <c r="P10" s="4019" t="s">
        <v>2146</v>
      </c>
      <c r="Q10" s="4019" t="s">
        <v>2147</v>
      </c>
      <c r="R10" s="4023" t="s">
        <v>2147</v>
      </c>
      <c r="S10" s="4024" t="s">
        <v>2147</v>
      </c>
      <c r="T10" s="4021" t="s">
        <v>2147</v>
      </c>
      <c r="U10" s="4018">
        <f>IF(SUM(U11:U30)=0,"NO",SUM(U11:U30))</f>
        <v>120.72109384232132</v>
      </c>
      <c r="V10" s="4019">
        <f>IF(SUM(V11:V30)=0,"NO",SUM(V11:V30))</f>
        <v>120.72109384232132</v>
      </c>
      <c r="W10" s="4019">
        <f>IF(V10="NO",IF(U10="NO","NA",-U10),IF(U10="NO",V10,V10-U10))</f>
        <v>0</v>
      </c>
      <c r="X10" s="4023">
        <f>IF(W10="NA","NA",W10/U10*100)</f>
        <v>0</v>
      </c>
      <c r="Y10" s="4024">
        <f>IF(W10="NA","NA",W10/$G$35*100)</f>
        <v>0</v>
      </c>
      <c r="Z10" s="4021">
        <f>IF(W10="NA","NA",W10/$G$34*100)</f>
        <v>0</v>
      </c>
      <c r="AA10" s="4019" t="s">
        <v>2146</v>
      </c>
      <c r="AB10" s="4019" t="s">
        <v>2146</v>
      </c>
      <c r="AC10" s="4019" t="s">
        <v>2147</v>
      </c>
      <c r="AD10" s="4023" t="s">
        <v>2147</v>
      </c>
      <c r="AE10" s="4024" t="s">
        <v>2147</v>
      </c>
      <c r="AF10" s="4021" t="s">
        <v>2147</v>
      </c>
    </row>
    <row r="11" spans="2:32" ht="18" customHeight="1" x14ac:dyDescent="0.2">
      <c r="B11" s="1951" t="s">
        <v>1694</v>
      </c>
      <c r="C11" s="3848" t="s">
        <v>2146</v>
      </c>
      <c r="D11" s="3847" t="str">
        <f>'Table2(I)'!F25</f>
        <v>NO</v>
      </c>
      <c r="E11" s="3847" t="str">
        <f>IF(D11="NO",IF(C11="NO","NA",-C11),IF(C11="NO",D11,D11-C11))</f>
        <v>NA</v>
      </c>
      <c r="F11" s="4016" t="str">
        <f>IF(E11="NA","NA",E11/C11*100)</f>
        <v>NA</v>
      </c>
      <c r="G11" s="3871" t="str">
        <f>IF(E11="NA","NA",E11/$G$35*100)</f>
        <v>NA</v>
      </c>
      <c r="H11" s="3872" t="str">
        <f>IF(E11="NA","NA",E11/$G$34*100)</f>
        <v>NA</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
      <c r="B13" s="1951" t="s">
        <v>532</v>
      </c>
      <c r="C13" s="4033"/>
      <c r="D13" s="4034"/>
      <c r="E13" s="4034"/>
      <c r="F13" s="4034"/>
      <c r="G13" s="4034"/>
      <c r="H13" s="4035"/>
      <c r="I13" s="4017">
        <v>202.24755821344587</v>
      </c>
      <c r="J13" s="3839">
        <f>'Table2(II)'!AH41</f>
        <v>202.24755821344587</v>
      </c>
      <c r="K13" s="3847">
        <f>IF(J13="NO",IF(I13="NO","NA",-I13),IF(I13="NO",J13,J13-I13))</f>
        <v>0</v>
      </c>
      <c r="L13" s="4016">
        <f>IF(K13="NA","NA",K13/I13*100)</f>
        <v>0</v>
      </c>
      <c r="M13" s="3871">
        <f>IF(K13="NA","NA",K13/$G$35*100)</f>
        <v>0</v>
      </c>
      <c r="N13" s="3872">
        <f>IF(K13="NA","NA",K13/$G$34*100)</f>
        <v>0</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t="s">
        <v>2146</v>
      </c>
      <c r="V14" s="3847" t="str">
        <f>IFERROR('Table2(I)'!I31*23500,'Table2(I)'!I31)</f>
        <v>NO</v>
      </c>
      <c r="W14" s="3847" t="str">
        <f>IF(V14="NO",IF(U14="NO","NA",-U14),IF(U14="NO",V14,V14-U14))</f>
        <v>NA</v>
      </c>
      <c r="X14" s="4016" t="str">
        <f>IF(W14="NA","NA",W14/U14*100)</f>
        <v>NA</v>
      </c>
      <c r="Y14" s="3871" t="str">
        <f>IF(W14="NA","NA",W14/$G$35*100)</f>
        <v>NA</v>
      </c>
      <c r="Z14" s="3872" t="str">
        <f>IF(W14="NA","NA",W14/$G$34*100)</f>
        <v>NA</v>
      </c>
      <c r="AA14" s="3902"/>
      <c r="AB14" s="3902"/>
      <c r="AC14" s="3902"/>
      <c r="AD14" s="4036"/>
      <c r="AE14" s="4034"/>
      <c r="AF14" s="4037"/>
    </row>
    <row r="15" spans="2:32" ht="18" customHeight="1" x14ac:dyDescent="0.2">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
      <c r="B21" s="1951" t="s">
        <v>474</v>
      </c>
      <c r="C21" s="3848">
        <v>9327.381733879336</v>
      </c>
      <c r="D21" s="3847">
        <f>'Table2(I)'!F46</f>
        <v>9327.3817338793342</v>
      </c>
      <c r="E21" s="3847">
        <f>IF(D21="NO",IF(C21="NO","NA",-C21),IF(C21="NO",D21,D21-C21))</f>
        <v>-1.8189894035458565E-12</v>
      </c>
      <c r="F21" s="4016">
        <f>IF(E21="NA","NA",E21/C21*100)</f>
        <v>-1.9501607797811482E-14</v>
      </c>
      <c r="G21" s="3871">
        <f>IF(E21="NA","NA",E21/$G$35*100)</f>
        <v>-3.2931537984899949E-16</v>
      </c>
      <c r="H21" s="3872">
        <f>IF(E21="NA","NA",E21/$G$34*100)</f>
        <v>-3.5493653042207297E-16</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
      <c r="B22" s="1951" t="s">
        <v>475</v>
      </c>
      <c r="C22" s="3848">
        <v>50.372066620129281</v>
      </c>
      <c r="D22" s="3847">
        <f>'Table2(I)'!F47</f>
        <v>50.372066620129296</v>
      </c>
      <c r="E22" s="3847">
        <f t="shared" ref="E22:E25" si="0">IF(D22="NO",IF(C22="NO","NA",-C22),IF(C22="NO",D22,D22-C22))</f>
        <v>1.4210854715202004E-14</v>
      </c>
      <c r="F22" s="4016">
        <f t="shared" ref="F22:F25" si="1">IF(E22="NA","NA",E22/C22*100)</f>
        <v>2.8211776225840167E-14</v>
      </c>
      <c r="G22" s="3871">
        <f t="shared" ref="G22:G25" si="2">IF(E22="NA","NA",E22/$G$35*100)</f>
        <v>2.5727764050703085E-18</v>
      </c>
      <c r="H22" s="3872">
        <f t="shared" ref="H22:H25" si="3">IF(E22="NA","NA",E22/$G$34*100)</f>
        <v>2.772941643922445E-18</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
      <c r="B23" s="1951" t="s">
        <v>476</v>
      </c>
      <c r="C23" s="3848">
        <v>81.817005775186217</v>
      </c>
      <c r="D23" s="3847">
        <f>'Table2(I)'!F48</f>
        <v>81.817005775186203</v>
      </c>
      <c r="E23" s="3847">
        <f t="shared" si="0"/>
        <v>-1.4210854715202004E-14</v>
      </c>
      <c r="F23" s="4016">
        <f t="shared" si="1"/>
        <v>-1.7369072090281662E-14</v>
      </c>
      <c r="G23" s="3871">
        <f t="shared" si="2"/>
        <v>-2.5727764050703085E-18</v>
      </c>
      <c r="H23" s="3872">
        <f t="shared" si="3"/>
        <v>-2.772941643922445E-18</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
      <c r="B24" s="1951" t="s">
        <v>477</v>
      </c>
      <c r="C24" s="3848">
        <v>118.90235855980721</v>
      </c>
      <c r="D24" s="3847">
        <f>'Table2(I)'!F49</f>
        <v>118.90235855980723</v>
      </c>
      <c r="E24" s="3847">
        <f t="shared" si="0"/>
        <v>1.4210854715202004E-14</v>
      </c>
      <c r="F24" s="4016">
        <f t="shared" si="1"/>
        <v>1.1951701284423238E-14</v>
      </c>
      <c r="G24" s="3871">
        <f t="shared" si="2"/>
        <v>2.5727764050703085E-18</v>
      </c>
      <c r="H24" s="3872">
        <f t="shared" si="3"/>
        <v>2.772941643922445E-18</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
      <c r="B25" s="1951" t="s">
        <v>478</v>
      </c>
      <c r="C25" s="3848">
        <v>126.77024807414749</v>
      </c>
      <c r="D25" s="3847">
        <f>'Table2(I)'!F50</f>
        <v>126.77024807414749</v>
      </c>
      <c r="E25" s="3847">
        <f t="shared" si="0"/>
        <v>0</v>
      </c>
      <c r="F25" s="4016">
        <f t="shared" si="1"/>
        <v>0</v>
      </c>
      <c r="G25" s="3871">
        <f t="shared" si="2"/>
        <v>0</v>
      </c>
      <c r="H25" s="3872">
        <f t="shared" si="3"/>
        <v>0</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101.0537500957131</v>
      </c>
      <c r="V27" s="3847">
        <f>IFERROR('Table2(I)'!I53*23500,'Table2(I)'!I53)</f>
        <v>101.0537500957131</v>
      </c>
      <c r="W27" s="3847">
        <f>IF(V27="NO",IF(U27="NO","NA",-U27),IF(U27="NO",V27,V27-U27))</f>
        <v>0</v>
      </c>
      <c r="X27" s="4016">
        <f>IF(W27="NA","NA",W27/U27*100)</f>
        <v>0</v>
      </c>
      <c r="Y27" s="3871">
        <f>IF(W27="NA","NA",W27/$G$35*100)</f>
        <v>0</v>
      </c>
      <c r="Z27" s="3872">
        <f>IF(W27="NA","NA",W27/$G$34*100)</f>
        <v>0</v>
      </c>
      <c r="AA27" s="3847" t="s">
        <v>2146</v>
      </c>
      <c r="AB27" s="3847" t="s">
        <v>2146</v>
      </c>
      <c r="AC27" s="3847" t="s">
        <v>2147</v>
      </c>
      <c r="AD27" s="4027" t="s">
        <v>2147</v>
      </c>
      <c r="AE27" s="4028" t="s">
        <v>2147</v>
      </c>
      <c r="AF27" s="3872" t="s">
        <v>2147</v>
      </c>
    </row>
    <row r="28" spans="2:32" ht="18" customHeight="1" x14ac:dyDescent="0.2">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19.667343746608221</v>
      </c>
      <c r="V28" s="3847">
        <f>IFERROR('Table2(I)'!I54*23500,'Table2(I)'!I54)</f>
        <v>19.667343746608221</v>
      </c>
      <c r="W28" s="3847">
        <f>IF(V28="NO",IF(U28="NO","NA",-U28),IF(U28="NO",V28,V28-U28))</f>
        <v>0</v>
      </c>
      <c r="X28" s="4016">
        <f>IF(W28="NA","NA",W28/U28*100)</f>
        <v>0</v>
      </c>
      <c r="Y28" s="3871">
        <f>IF(W28="NA","NA",W28/$G$35*100)</f>
        <v>0</v>
      </c>
      <c r="Z28" s="3872">
        <f>IF(W28="NA","NA",W28/$G$34*100)</f>
        <v>0</v>
      </c>
      <c r="AA28" s="3902"/>
      <c r="AB28" s="3902"/>
      <c r="AC28" s="3902"/>
      <c r="AD28" s="4036"/>
      <c r="AE28" s="4034"/>
      <c r="AF28" s="4037"/>
    </row>
    <row r="29" spans="2:32" ht="18" customHeight="1" x14ac:dyDescent="0.2">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25">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70" t="s">
        <v>2140</v>
      </c>
      <c r="C34" s="734"/>
      <c r="D34" s="973"/>
      <c r="E34" s="4522">
        <f>SUM(Table8s1!C10,Table8s1!I10,Table8s1!O10,C10,I10,O10,U10,AA10)</f>
        <v>525227.9215534312</v>
      </c>
      <c r="F34" s="4523"/>
      <c r="G34" s="4522">
        <f>SUM(Table8s1!D10,Table8s1!J10,Table8s1!P10,D10,J10,P10,V10,AB10)</f>
        <v>512483.00685838232</v>
      </c>
      <c r="H34" s="4523"/>
      <c r="I34" s="3839">
        <f>G34-E34</f>
        <v>-12744.914695048879</v>
      </c>
      <c r="J34" s="4045">
        <f>IF(I34="NA","NA",I34/E34*100)</f>
        <v>-2.4265493459209297</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1" t="s">
        <v>2141</v>
      </c>
      <c r="C35" s="735"/>
      <c r="D35" s="736"/>
      <c r="E35" s="4524">
        <f>E34-SUM(Table8s1!C41,Table8s1!I41,Table8s1!O41)</f>
        <v>553674.64354733494</v>
      </c>
      <c r="F35" s="4525"/>
      <c r="G35" s="4526">
        <f>G34-SUM(Table8s1!D41,Table8s1!J41,Table8s1!P41)</f>
        <v>552354.82909419993</v>
      </c>
      <c r="H35" s="4527"/>
      <c r="I35" s="3855">
        <f>G35-E35</f>
        <v>-1319.8144531350117</v>
      </c>
      <c r="J35" s="4046">
        <f>IF(I35="NA","NA",I35/E35*100)</f>
        <v>-0.23837364931128144</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6" t="s">
        <v>64</v>
      </c>
    </row>
    <row r="8" spans="2:7" ht="18" customHeight="1" x14ac:dyDescent="0.2">
      <c r="B8" s="2426" t="s">
        <v>2004</v>
      </c>
      <c r="C8" s="668"/>
      <c r="D8" s="2425"/>
      <c r="E8" s="668"/>
      <c r="F8" s="747"/>
      <c r="G8" s="19"/>
    </row>
    <row r="9" spans="2:7" ht="18" customHeight="1" thickBot="1" x14ac:dyDescent="0.25">
      <c r="B9" s="748" t="s">
        <v>1697</v>
      </c>
      <c r="C9" s="649" t="s">
        <v>2002</v>
      </c>
      <c r="D9" s="649" t="s">
        <v>2003</v>
      </c>
      <c r="E9" s="4532" t="s">
        <v>1698</v>
      </c>
      <c r="F9" s="4533"/>
      <c r="G9" s="19"/>
    </row>
    <row r="10" spans="2:7" ht="14.25" thickTop="1" x14ac:dyDescent="0.2">
      <c r="B10" s="982" t="s">
        <v>1699</v>
      </c>
      <c r="C10" s="4132" t="s">
        <v>2317</v>
      </c>
      <c r="D10" s="4132" t="s">
        <v>2321</v>
      </c>
      <c r="E10" s="4534" t="s">
        <v>2438</v>
      </c>
      <c r="F10" s="4535"/>
    </row>
    <row r="11" spans="2:7" x14ac:dyDescent="0.2">
      <c r="B11" s="4131"/>
      <c r="C11" s="4133" t="s">
        <v>2317</v>
      </c>
      <c r="D11" s="4133" t="s">
        <v>2319</v>
      </c>
      <c r="E11" s="4536" t="s">
        <v>2318</v>
      </c>
      <c r="F11" s="4537"/>
    </row>
    <row r="12" spans="2:7" x14ac:dyDescent="0.2">
      <c r="B12" s="4131"/>
      <c r="C12" s="4133" t="s">
        <v>2317</v>
      </c>
      <c r="D12" s="4133" t="s">
        <v>2320</v>
      </c>
      <c r="E12" s="4528" t="s">
        <v>2318</v>
      </c>
      <c r="F12" s="4529"/>
    </row>
    <row r="13" spans="2:7" ht="58.5" customHeight="1" x14ac:dyDescent="0.2">
      <c r="B13" s="4131"/>
      <c r="C13" s="4133" t="s">
        <v>1827</v>
      </c>
      <c r="D13" s="4133" t="s">
        <v>2450</v>
      </c>
      <c r="E13" s="4530" t="s">
        <v>2451</v>
      </c>
      <c r="F13" s="4540"/>
    </row>
    <row r="14" spans="2:7" x14ac:dyDescent="0.2">
      <c r="B14" s="4131"/>
      <c r="C14" s="4133" t="s">
        <v>1827</v>
      </c>
      <c r="D14" s="4133" t="s">
        <v>540</v>
      </c>
      <c r="E14" s="4538" t="s">
        <v>2439</v>
      </c>
      <c r="F14" s="4539"/>
    </row>
    <row r="15" spans="2:7" ht="39.75" customHeight="1" x14ac:dyDescent="0.2">
      <c r="B15" s="4131"/>
      <c r="C15" s="4133" t="s">
        <v>2372</v>
      </c>
      <c r="D15" s="4133" t="s">
        <v>2434</v>
      </c>
      <c r="E15" s="4530" t="s">
        <v>2435</v>
      </c>
      <c r="F15" s="4531"/>
    </row>
    <row r="16" spans="2:7" x14ac:dyDescent="0.2">
      <c r="B16" s="4131"/>
      <c r="C16" s="4133" t="s">
        <v>2372</v>
      </c>
      <c r="D16" s="4133" t="s">
        <v>2373</v>
      </c>
      <c r="E16" s="4528" t="s">
        <v>2380</v>
      </c>
      <c r="F16" s="4529"/>
    </row>
    <row r="17" spans="2:7" ht="40.5" customHeight="1" x14ac:dyDescent="0.2">
      <c r="B17" s="4131"/>
      <c r="C17" s="4133" t="s">
        <v>1831</v>
      </c>
      <c r="D17" s="4133" t="s">
        <v>2436</v>
      </c>
      <c r="E17" s="4530" t="s">
        <v>2435</v>
      </c>
      <c r="F17" s="4531"/>
    </row>
    <row r="18" spans="2:7" x14ac:dyDescent="0.2">
      <c r="B18" s="4131"/>
      <c r="C18" s="4133" t="s">
        <v>1831</v>
      </c>
      <c r="D18" s="4132" t="s">
        <v>2391</v>
      </c>
      <c r="E18" s="4530" t="s">
        <v>2393</v>
      </c>
      <c r="F18" s="4531"/>
    </row>
    <row r="19" spans="2:7" x14ac:dyDescent="0.2">
      <c r="B19" s="868"/>
      <c r="C19" s="4132" t="s">
        <v>2381</v>
      </c>
      <c r="D19" s="4132" t="s">
        <v>2382</v>
      </c>
      <c r="E19" s="4528" t="s">
        <v>2440</v>
      </c>
      <c r="F19" s="4529"/>
    </row>
    <row r="20" spans="2:7" ht="13.5" x14ac:dyDescent="0.2">
      <c r="B20" s="867" t="s">
        <v>1700</v>
      </c>
      <c r="C20" s="4133" t="s">
        <v>2317</v>
      </c>
      <c r="D20" s="4132" t="s">
        <v>2429</v>
      </c>
      <c r="E20" s="4528" t="s">
        <v>2318</v>
      </c>
      <c r="F20" s="4529"/>
    </row>
    <row r="21" spans="2:7" x14ac:dyDescent="0.2">
      <c r="B21" s="4131"/>
      <c r="C21" s="4132" t="s">
        <v>2317</v>
      </c>
      <c r="D21" s="4132" t="s">
        <v>2321</v>
      </c>
      <c r="E21" s="4528" t="s">
        <v>2441</v>
      </c>
      <c r="F21" s="4529"/>
    </row>
    <row r="22" spans="2:7" x14ac:dyDescent="0.2">
      <c r="B22" s="4131"/>
      <c r="C22" s="4132" t="s">
        <v>2317</v>
      </c>
      <c r="D22" s="4132" t="s">
        <v>2428</v>
      </c>
      <c r="E22" s="4528" t="s">
        <v>2318</v>
      </c>
      <c r="F22" s="4529"/>
      <c r="G22" s="4207"/>
    </row>
    <row r="23" spans="2:7" x14ac:dyDescent="0.2">
      <c r="B23" s="4131"/>
      <c r="C23" s="4132" t="s">
        <v>2317</v>
      </c>
      <c r="D23" s="4132" t="s">
        <v>2322</v>
      </c>
      <c r="E23" s="4528" t="s">
        <v>2318</v>
      </c>
      <c r="F23" s="4529"/>
    </row>
    <row r="24" spans="2:7" x14ac:dyDescent="0.2">
      <c r="B24" s="4131"/>
      <c r="C24" s="4132" t="s">
        <v>2317</v>
      </c>
      <c r="D24" s="4132" t="s">
        <v>2341</v>
      </c>
      <c r="E24" s="4530" t="s">
        <v>2345</v>
      </c>
      <c r="F24" s="4531"/>
    </row>
    <row r="25" spans="2:7" ht="39.75" customHeight="1" x14ac:dyDescent="0.2">
      <c r="B25" s="4131"/>
      <c r="C25" s="4133" t="s">
        <v>2372</v>
      </c>
      <c r="D25" s="4133" t="s">
        <v>2434</v>
      </c>
      <c r="E25" s="4530" t="s">
        <v>2435</v>
      </c>
      <c r="F25" s="4531"/>
    </row>
    <row r="26" spans="2:7" x14ac:dyDescent="0.2">
      <c r="B26" s="4131"/>
      <c r="C26" s="4133" t="s">
        <v>2372</v>
      </c>
      <c r="D26" s="4132" t="s">
        <v>2375</v>
      </c>
      <c r="E26" s="4528" t="s">
        <v>2377</v>
      </c>
      <c r="F26" s="4529"/>
    </row>
    <row r="27" spans="2:7" x14ac:dyDescent="0.2">
      <c r="B27" s="4131"/>
      <c r="C27" s="4133" t="s">
        <v>2372</v>
      </c>
      <c r="D27" s="4132" t="s">
        <v>1640</v>
      </c>
      <c r="E27" s="4528" t="s">
        <v>2376</v>
      </c>
      <c r="F27" s="4529"/>
    </row>
    <row r="28" spans="2:7" x14ac:dyDescent="0.2">
      <c r="B28" s="4131"/>
      <c r="C28" s="4133" t="s">
        <v>2372</v>
      </c>
      <c r="D28" s="4132" t="s">
        <v>2437</v>
      </c>
      <c r="E28" s="4528" t="s">
        <v>2442</v>
      </c>
      <c r="F28" s="4529"/>
    </row>
    <row r="29" spans="2:7" ht="40.5" customHeight="1" x14ac:dyDescent="0.2">
      <c r="B29" s="4131"/>
      <c r="C29" s="4133" t="s">
        <v>1831</v>
      </c>
      <c r="D29" s="4133" t="s">
        <v>2436</v>
      </c>
      <c r="E29" s="4530" t="s">
        <v>2435</v>
      </c>
      <c r="F29" s="4531"/>
    </row>
    <row r="30" spans="2:7" ht="27" customHeight="1" x14ac:dyDescent="0.2">
      <c r="B30" s="4131"/>
      <c r="C30" s="4133" t="s">
        <v>1831</v>
      </c>
      <c r="D30" s="4132" t="s">
        <v>2391</v>
      </c>
      <c r="E30" s="4530" t="s">
        <v>2392</v>
      </c>
      <c r="F30" s="4531"/>
    </row>
    <row r="31" spans="2:7" x14ac:dyDescent="0.2">
      <c r="B31" s="4131"/>
      <c r="C31" s="4132" t="s">
        <v>2381</v>
      </c>
      <c r="D31" s="4132" t="s">
        <v>2444</v>
      </c>
      <c r="E31" s="4528" t="s">
        <v>2445</v>
      </c>
      <c r="F31" s="4529"/>
    </row>
    <row r="32" spans="2:7" x14ac:dyDescent="0.2">
      <c r="B32" s="4131"/>
      <c r="C32" s="4132" t="s">
        <v>2381</v>
      </c>
      <c r="D32" s="4132" t="s">
        <v>2446</v>
      </c>
      <c r="E32" s="4528" t="s">
        <v>2447</v>
      </c>
      <c r="F32" s="4529"/>
    </row>
    <row r="33" spans="2:7" x14ac:dyDescent="0.2">
      <c r="B33" s="4131"/>
      <c r="C33" s="4132" t="s">
        <v>2381</v>
      </c>
      <c r="D33" s="4132" t="s">
        <v>2383</v>
      </c>
      <c r="E33" s="4528" t="s">
        <v>2439</v>
      </c>
      <c r="F33" s="4529"/>
    </row>
    <row r="34" spans="2:7" x14ac:dyDescent="0.2">
      <c r="B34" s="868"/>
      <c r="C34" s="4132" t="s">
        <v>2381</v>
      </c>
      <c r="D34" s="4132" t="s">
        <v>2382</v>
      </c>
      <c r="E34" s="4528" t="s">
        <v>2443</v>
      </c>
      <c r="F34" s="4529"/>
    </row>
    <row r="35" spans="2:7" ht="13.5" x14ac:dyDescent="0.2">
      <c r="B35" s="867" t="s">
        <v>1701</v>
      </c>
      <c r="C35" s="4133" t="s">
        <v>2317</v>
      </c>
      <c r="D35" s="4132" t="s">
        <v>2429</v>
      </c>
      <c r="E35" s="4528" t="s">
        <v>2318</v>
      </c>
      <c r="F35" s="4529"/>
    </row>
    <row r="36" spans="2:7" x14ac:dyDescent="0.2">
      <c r="B36" s="4131"/>
      <c r="C36" s="4132" t="s">
        <v>2317</v>
      </c>
      <c r="D36" s="4132" t="s">
        <v>2321</v>
      </c>
      <c r="E36" s="4528" t="s">
        <v>2441</v>
      </c>
      <c r="F36" s="4529"/>
    </row>
    <row r="37" spans="2:7" x14ac:dyDescent="0.2">
      <c r="B37" s="4131"/>
      <c r="C37" s="4132" t="s">
        <v>2317</v>
      </c>
      <c r="D37" s="4132" t="s">
        <v>2428</v>
      </c>
      <c r="E37" s="4528" t="s">
        <v>2318</v>
      </c>
      <c r="F37" s="4529"/>
      <c r="G37" s="4207"/>
    </row>
    <row r="38" spans="2:7" x14ac:dyDescent="0.2">
      <c r="B38" s="4131"/>
      <c r="C38" s="4132" t="s">
        <v>2317</v>
      </c>
      <c r="D38" s="4132" t="s">
        <v>2322</v>
      </c>
      <c r="E38" s="4528" t="s">
        <v>2318</v>
      </c>
      <c r="F38" s="4529"/>
    </row>
    <row r="39" spans="2:7" ht="41.25" customHeight="1" x14ac:dyDescent="0.2">
      <c r="B39" s="4131"/>
      <c r="C39" s="4133" t="s">
        <v>2372</v>
      </c>
      <c r="D39" s="4133" t="s">
        <v>2434</v>
      </c>
      <c r="E39" s="4530" t="s">
        <v>2435</v>
      </c>
      <c r="F39" s="4531"/>
    </row>
    <row r="40" spans="2:7" x14ac:dyDescent="0.2">
      <c r="B40" s="4131"/>
      <c r="C40" s="4132" t="s">
        <v>2372</v>
      </c>
      <c r="D40" s="4132" t="s">
        <v>2378</v>
      </c>
      <c r="E40" s="4528" t="s">
        <v>2379</v>
      </c>
      <c r="F40" s="4529"/>
    </row>
    <row r="41" spans="2:7" x14ac:dyDescent="0.2">
      <c r="B41" s="4131"/>
      <c r="C41" s="4133" t="s">
        <v>2372</v>
      </c>
      <c r="D41" s="4132" t="s">
        <v>2437</v>
      </c>
      <c r="E41" s="4528" t="s">
        <v>2442</v>
      </c>
      <c r="F41" s="4529"/>
    </row>
    <row r="42" spans="2:7" ht="40.5" customHeight="1" x14ac:dyDescent="0.2">
      <c r="B42" s="4131"/>
      <c r="C42" s="4133" t="s">
        <v>1831</v>
      </c>
      <c r="D42" s="4133" t="s">
        <v>2436</v>
      </c>
      <c r="E42" s="4530" t="s">
        <v>2435</v>
      </c>
      <c r="F42" s="4531"/>
    </row>
    <row r="43" spans="2:7" x14ac:dyDescent="0.2">
      <c r="B43" s="4131"/>
      <c r="C43" s="4133" t="s">
        <v>1831</v>
      </c>
      <c r="D43" s="4132" t="s">
        <v>2391</v>
      </c>
      <c r="E43" s="4530" t="s">
        <v>2394</v>
      </c>
      <c r="F43" s="4531"/>
    </row>
    <row r="44" spans="2:7" x14ac:dyDescent="0.2">
      <c r="B44" s="4131"/>
      <c r="C44" s="4132" t="s">
        <v>2381</v>
      </c>
      <c r="D44" s="4132" t="s">
        <v>2444</v>
      </c>
      <c r="E44" s="4528" t="s">
        <v>2445</v>
      </c>
      <c r="F44" s="4529"/>
    </row>
    <row r="45" spans="2:7" x14ac:dyDescent="0.2">
      <c r="B45" s="4131"/>
      <c r="C45" s="4132" t="s">
        <v>2381</v>
      </c>
      <c r="D45" s="4132" t="s">
        <v>2446</v>
      </c>
      <c r="E45" s="4528" t="s">
        <v>2447</v>
      </c>
      <c r="F45" s="4529"/>
    </row>
    <row r="46" spans="2:7" x14ac:dyDescent="0.2">
      <c r="B46" s="4131"/>
      <c r="C46" s="4132" t="s">
        <v>2381</v>
      </c>
      <c r="D46" s="4132" t="s">
        <v>2383</v>
      </c>
      <c r="E46" s="4528" t="s">
        <v>2439</v>
      </c>
      <c r="F46" s="4529"/>
    </row>
    <row r="47" spans="2:7" x14ac:dyDescent="0.2">
      <c r="B47" s="868"/>
      <c r="C47" s="4132" t="s">
        <v>2381</v>
      </c>
      <c r="D47" s="4132" t="s">
        <v>2382</v>
      </c>
      <c r="E47" s="4528" t="s">
        <v>2443</v>
      </c>
      <c r="F47" s="4529"/>
    </row>
    <row r="48" spans="2:7" ht="18" customHeight="1" x14ac:dyDescent="0.2">
      <c r="B48" s="867" t="s">
        <v>1539</v>
      </c>
      <c r="C48" s="4132"/>
      <c r="D48" s="4132"/>
      <c r="E48" s="4528"/>
      <c r="F48" s="4529"/>
    </row>
    <row r="49" spans="2:6" ht="18" customHeight="1" x14ac:dyDescent="0.2">
      <c r="B49" s="868"/>
      <c r="C49" s="4132"/>
      <c r="D49" s="4132"/>
      <c r="E49" s="4528"/>
      <c r="F49" s="4529"/>
    </row>
    <row r="50" spans="2:6" ht="18" customHeight="1" x14ac:dyDescent="0.2">
      <c r="B50" s="867" t="s">
        <v>1511</v>
      </c>
      <c r="C50" s="4132"/>
      <c r="D50" s="4132"/>
      <c r="E50" s="4528"/>
      <c r="F50" s="4529"/>
    </row>
    <row r="51" spans="2:6" ht="18" customHeight="1" x14ac:dyDescent="0.2">
      <c r="B51" s="868"/>
      <c r="C51" s="4132"/>
      <c r="D51" s="4132"/>
      <c r="E51" s="4528"/>
      <c r="F51" s="4529"/>
    </row>
    <row r="52" spans="2:6" ht="18" customHeight="1" x14ac:dyDescent="0.2">
      <c r="B52" s="2558" t="s">
        <v>2119</v>
      </c>
      <c r="C52" s="4132"/>
      <c r="D52" s="4132"/>
      <c r="E52" s="4528"/>
      <c r="F52" s="4529"/>
    </row>
    <row r="53" spans="2:6" ht="18" customHeight="1" x14ac:dyDescent="0.2">
      <c r="B53" s="2559" t="s">
        <v>2120</v>
      </c>
      <c r="C53" s="4132"/>
      <c r="D53" s="4132"/>
      <c r="E53" s="4528"/>
      <c r="F53" s="4529"/>
    </row>
    <row r="54" spans="2:6" ht="18" customHeight="1" x14ac:dyDescent="0.2">
      <c r="B54" s="2558" t="s">
        <v>1621</v>
      </c>
      <c r="C54" s="4132"/>
      <c r="D54" s="4132"/>
      <c r="E54" s="4528"/>
      <c r="F54" s="4529"/>
    </row>
    <row r="55" spans="2:6" ht="18" customHeight="1" x14ac:dyDescent="0.2">
      <c r="B55" s="2559"/>
      <c r="C55" s="4132"/>
      <c r="D55" s="4132"/>
      <c r="E55" s="4528"/>
      <c r="F55" s="4529"/>
    </row>
    <row r="56" spans="2:6" ht="18" customHeight="1" x14ac:dyDescent="0.2">
      <c r="B56" s="2560" t="s">
        <v>1754</v>
      </c>
      <c r="C56" s="4132"/>
      <c r="D56" s="4132"/>
      <c r="E56" s="4528"/>
      <c r="F56" s="4529"/>
    </row>
    <row r="57" spans="2:6" ht="18" customHeight="1" thickBot="1" x14ac:dyDescent="0.25">
      <c r="B57" s="2561"/>
      <c r="C57" s="4134"/>
      <c r="D57" s="4134"/>
      <c r="E57" s="4541"/>
      <c r="F57" s="4542"/>
    </row>
    <row r="58" spans="2:6" ht="18" customHeight="1" thickBot="1" x14ac:dyDescent="0.25">
      <c r="B58" s="2562"/>
      <c r="C58" s="2528"/>
      <c r="D58" s="2528"/>
      <c r="E58" s="2528"/>
      <c r="F58" s="2529"/>
    </row>
    <row r="59" spans="2:6" ht="18" customHeight="1" x14ac:dyDescent="0.2">
      <c r="B59" s="2563" t="s">
        <v>2126</v>
      </c>
      <c r="C59" s="2526"/>
      <c r="D59" s="2526"/>
      <c r="E59" s="2526"/>
      <c r="F59" s="2527"/>
    </row>
    <row r="60" spans="2:6" ht="18" customHeight="1" thickBot="1" x14ac:dyDescent="0.25">
      <c r="B60" s="2564" t="s">
        <v>1697</v>
      </c>
      <c r="C60" s="649" t="s">
        <v>1703</v>
      </c>
      <c r="D60" s="649" t="s">
        <v>1704</v>
      </c>
      <c r="E60" s="649" t="s">
        <v>1705</v>
      </c>
      <c r="F60" s="749" t="s">
        <v>1698</v>
      </c>
    </row>
    <row r="61" spans="2:6" ht="26.25" thickTop="1" x14ac:dyDescent="0.2">
      <c r="B61" s="2565" t="s">
        <v>1560</v>
      </c>
      <c r="C61" s="4132" t="s">
        <v>2317</v>
      </c>
      <c r="D61" s="4133" t="s">
        <v>2329</v>
      </c>
      <c r="E61" s="4133" t="s">
        <v>2332</v>
      </c>
      <c r="F61" s="4144" t="s">
        <v>2333</v>
      </c>
    </row>
    <row r="62" spans="2:6" ht="25.5" x14ac:dyDescent="0.2">
      <c r="B62" s="4142"/>
      <c r="C62" s="4132" t="s">
        <v>2317</v>
      </c>
      <c r="D62" s="4133" t="s">
        <v>2334</v>
      </c>
      <c r="E62" s="4133" t="s">
        <v>2332</v>
      </c>
      <c r="F62" s="4144" t="s">
        <v>2335</v>
      </c>
    </row>
    <row r="63" spans="2:6" ht="25.5" x14ac:dyDescent="0.2">
      <c r="B63" s="4142"/>
      <c r="C63" s="4132" t="s">
        <v>2317</v>
      </c>
      <c r="D63" s="4133" t="s">
        <v>2337</v>
      </c>
      <c r="E63" s="4133" t="s">
        <v>2338</v>
      </c>
      <c r="F63" s="4144" t="s">
        <v>2336</v>
      </c>
    </row>
    <row r="64" spans="2:6" ht="25.5" x14ac:dyDescent="0.2">
      <c r="B64" s="4142"/>
      <c r="C64" s="4132" t="s">
        <v>2317</v>
      </c>
      <c r="D64" s="4132" t="s">
        <v>2330</v>
      </c>
      <c r="E64" s="4132" t="s">
        <v>2331</v>
      </c>
      <c r="F64" s="4144" t="s">
        <v>2328</v>
      </c>
    </row>
    <row r="65" spans="2:6" ht="25.5" x14ac:dyDescent="0.2">
      <c r="B65" s="4142"/>
      <c r="C65" s="4132" t="s">
        <v>2317</v>
      </c>
      <c r="D65" s="4132" t="s">
        <v>2323</v>
      </c>
      <c r="E65" s="4132" t="s">
        <v>2324</v>
      </c>
      <c r="F65" s="4144" t="s">
        <v>2325</v>
      </c>
    </row>
    <row r="66" spans="2:6" x14ac:dyDescent="0.2">
      <c r="B66" s="4142"/>
      <c r="C66" s="4132" t="s">
        <v>2317</v>
      </c>
      <c r="D66" s="4132" t="s">
        <v>2326</v>
      </c>
      <c r="E66" s="4132" t="s">
        <v>2324</v>
      </c>
      <c r="F66" s="4144" t="s">
        <v>2327</v>
      </c>
    </row>
    <row r="67" spans="2:6" ht="25.5" x14ac:dyDescent="0.2">
      <c r="B67" s="4142"/>
      <c r="C67" s="4132" t="s">
        <v>2317</v>
      </c>
      <c r="D67" s="4132" t="s">
        <v>2340</v>
      </c>
      <c r="E67" s="4132" t="s">
        <v>2342</v>
      </c>
      <c r="F67" s="4144" t="s">
        <v>2344</v>
      </c>
    </row>
    <row r="68" spans="2:6" ht="25.5" x14ac:dyDescent="0.2">
      <c r="B68" s="4142"/>
      <c r="C68" s="4132" t="s">
        <v>1827</v>
      </c>
      <c r="D68" s="4132" t="s">
        <v>2352</v>
      </c>
      <c r="E68" s="4133" t="s">
        <v>2353</v>
      </c>
      <c r="F68" s="4144" t="s">
        <v>2354</v>
      </c>
    </row>
    <row r="69" spans="2:6" ht="25.5" x14ac:dyDescent="0.2">
      <c r="B69" s="4142"/>
      <c r="C69" s="4132" t="s">
        <v>1827</v>
      </c>
      <c r="D69" s="4132" t="s">
        <v>2357</v>
      </c>
      <c r="E69" s="4133" t="s">
        <v>2355</v>
      </c>
      <c r="F69" s="4144" t="s">
        <v>2356</v>
      </c>
    </row>
    <row r="70" spans="2:6" ht="25.5" x14ac:dyDescent="0.2">
      <c r="B70" s="4142"/>
      <c r="C70" s="4132" t="s">
        <v>1827</v>
      </c>
      <c r="D70" s="4132" t="s">
        <v>1613</v>
      </c>
      <c r="E70" s="4133" t="s">
        <v>2355</v>
      </c>
      <c r="F70" s="4144" t="s">
        <v>2358</v>
      </c>
    </row>
    <row r="71" spans="2:6" ht="25.5" x14ac:dyDescent="0.2">
      <c r="B71" s="4142"/>
      <c r="C71" s="4132" t="s">
        <v>1827</v>
      </c>
      <c r="D71" s="4132" t="s">
        <v>2363</v>
      </c>
      <c r="E71" s="4133" t="s">
        <v>2364</v>
      </c>
      <c r="F71" s="4144" t="s">
        <v>2365</v>
      </c>
    </row>
    <row r="72" spans="2:6" ht="12.75" customHeight="1" x14ac:dyDescent="0.2">
      <c r="B72" s="4142"/>
      <c r="C72" s="4132" t="s">
        <v>1827</v>
      </c>
      <c r="D72" s="4132" t="s">
        <v>2453</v>
      </c>
      <c r="E72" s="4132" t="s">
        <v>2448</v>
      </c>
      <c r="F72" s="4144" t="s">
        <v>2449</v>
      </c>
    </row>
    <row r="73" spans="2:6" ht="67.5" customHeight="1" x14ac:dyDescent="0.2">
      <c r="B73" s="4142"/>
      <c r="C73" s="4132" t="s">
        <v>1827</v>
      </c>
      <c r="D73" s="4132" t="s">
        <v>2452</v>
      </c>
      <c r="E73" s="4132" t="s">
        <v>2448</v>
      </c>
      <c r="F73" s="4144" t="s">
        <v>2454</v>
      </c>
    </row>
    <row r="74" spans="2:6" ht="67.5" customHeight="1" x14ac:dyDescent="0.2">
      <c r="B74" s="4142"/>
      <c r="C74" s="4132" t="s">
        <v>1827</v>
      </c>
      <c r="D74" s="4132" t="s">
        <v>2455</v>
      </c>
      <c r="E74" s="4132" t="s">
        <v>2448</v>
      </c>
      <c r="F74" s="4144" t="s">
        <v>2454</v>
      </c>
    </row>
    <row r="75" spans="2:6" ht="67.5" customHeight="1" x14ac:dyDescent="0.2">
      <c r="B75" s="4142"/>
      <c r="C75" s="4132" t="s">
        <v>1827</v>
      </c>
      <c r="D75" s="4132" t="s">
        <v>2456</v>
      </c>
      <c r="E75" s="4132" t="s">
        <v>2448</v>
      </c>
      <c r="F75" s="4144" t="s">
        <v>2454</v>
      </c>
    </row>
    <row r="76" spans="2:6" ht="67.5" customHeight="1" x14ac:dyDescent="0.2">
      <c r="B76" s="4142"/>
      <c r="C76" s="4132" t="s">
        <v>1827</v>
      </c>
      <c r="D76" s="4132" t="s">
        <v>2457</v>
      </c>
      <c r="E76" s="4132" t="s">
        <v>2448</v>
      </c>
      <c r="F76" s="4144" t="s">
        <v>2454</v>
      </c>
    </row>
    <row r="77" spans="2:6" ht="67.5" customHeight="1" x14ac:dyDescent="0.2">
      <c r="B77" s="4142"/>
      <c r="C77" s="4132" t="s">
        <v>1827</v>
      </c>
      <c r="D77" s="4132" t="s">
        <v>2458</v>
      </c>
      <c r="E77" s="4132" t="s">
        <v>2448</v>
      </c>
      <c r="F77" s="4144" t="s">
        <v>2454</v>
      </c>
    </row>
    <row r="78" spans="2:6" ht="25.5" x14ac:dyDescent="0.2">
      <c r="B78" s="4142"/>
      <c r="C78" s="4132" t="s">
        <v>1827</v>
      </c>
      <c r="D78" s="4132" t="s">
        <v>2349</v>
      </c>
      <c r="E78" s="4132" t="s">
        <v>2342</v>
      </c>
      <c r="F78" s="4144" t="s">
        <v>2366</v>
      </c>
    </row>
    <row r="79" spans="2:6" x14ac:dyDescent="0.2">
      <c r="B79" s="4142"/>
      <c r="C79" s="4132" t="s">
        <v>1827</v>
      </c>
      <c r="D79" s="4132" t="s">
        <v>2350</v>
      </c>
      <c r="E79" s="4132" t="s">
        <v>2342</v>
      </c>
      <c r="F79" s="4144" t="s">
        <v>2367</v>
      </c>
    </row>
    <row r="80" spans="2:6" ht="25.5" x14ac:dyDescent="0.2">
      <c r="B80" s="4142"/>
      <c r="C80" s="4132" t="s">
        <v>1831</v>
      </c>
      <c r="D80" s="4132" t="s">
        <v>2404</v>
      </c>
      <c r="E80" s="4133" t="s">
        <v>2405</v>
      </c>
      <c r="F80" s="4144" t="s">
        <v>2396</v>
      </c>
    </row>
    <row r="81" spans="2:6" ht="38.25" x14ac:dyDescent="0.2">
      <c r="B81" s="4142"/>
      <c r="C81" s="4132" t="s">
        <v>1831</v>
      </c>
      <c r="D81" s="4132" t="s">
        <v>2397</v>
      </c>
      <c r="E81" s="4132" t="s">
        <v>2398</v>
      </c>
      <c r="F81" s="4144" t="s">
        <v>2399</v>
      </c>
    </row>
    <row r="82" spans="2:6" ht="38.25" x14ac:dyDescent="0.2">
      <c r="B82" s="4142"/>
      <c r="C82" s="4132" t="s">
        <v>1831</v>
      </c>
      <c r="D82" s="4132" t="s">
        <v>1056</v>
      </c>
      <c r="E82" s="4132" t="s">
        <v>985</v>
      </c>
      <c r="F82" s="4144" t="s">
        <v>2421</v>
      </c>
    </row>
    <row r="83" spans="2:6" ht="38.25" x14ac:dyDescent="0.2">
      <c r="B83" s="4142"/>
      <c r="C83" s="4132" t="s">
        <v>1831</v>
      </c>
      <c r="D83" s="4132" t="s">
        <v>1068</v>
      </c>
      <c r="E83" s="4132" t="s">
        <v>985</v>
      </c>
      <c r="F83" s="4144" t="s">
        <v>2421</v>
      </c>
    </row>
    <row r="84" spans="2:6" ht="25.5" x14ac:dyDescent="0.2">
      <c r="B84" s="4142"/>
      <c r="C84" s="4132" t="s">
        <v>1831</v>
      </c>
      <c r="D84" s="4132" t="s">
        <v>1102</v>
      </c>
      <c r="E84" s="4132" t="s">
        <v>993</v>
      </c>
      <c r="F84" s="4144" t="s">
        <v>2422</v>
      </c>
    </row>
    <row r="85" spans="2:6" ht="25.5" x14ac:dyDescent="0.2">
      <c r="B85" s="4142"/>
      <c r="C85" s="4132" t="s">
        <v>1831</v>
      </c>
      <c r="D85" s="4132" t="s">
        <v>1103</v>
      </c>
      <c r="E85" s="4132" t="s">
        <v>993</v>
      </c>
      <c r="F85" s="4144" t="s">
        <v>2422</v>
      </c>
    </row>
    <row r="86" spans="2:6" ht="25.5" x14ac:dyDescent="0.2">
      <c r="B86" s="4142"/>
      <c r="C86" s="4132" t="s">
        <v>1831</v>
      </c>
      <c r="D86" s="4132" t="s">
        <v>1104</v>
      </c>
      <c r="E86" s="4132" t="s">
        <v>993</v>
      </c>
      <c r="F86" s="4144" t="s">
        <v>2422</v>
      </c>
    </row>
    <row r="87" spans="2:6" x14ac:dyDescent="0.2">
      <c r="B87" s="4142"/>
      <c r="C87" s="4132" t="s">
        <v>1831</v>
      </c>
      <c r="D87" s="4132" t="s">
        <v>2395</v>
      </c>
      <c r="E87" s="4132" t="s">
        <v>1087</v>
      </c>
      <c r="F87" s="4144" t="s">
        <v>2406</v>
      </c>
    </row>
    <row r="88" spans="2:6" ht="25.5" x14ac:dyDescent="0.2">
      <c r="B88" s="4142"/>
      <c r="C88" s="4132" t="s">
        <v>1831</v>
      </c>
      <c r="D88" s="4132" t="s">
        <v>1666</v>
      </c>
      <c r="E88" s="4132" t="s">
        <v>2403</v>
      </c>
      <c r="F88" s="4144" t="s">
        <v>2414</v>
      </c>
    </row>
    <row r="89" spans="2:6" ht="25.5" x14ac:dyDescent="0.2">
      <c r="B89" s="4142"/>
      <c r="C89" s="4132" t="s">
        <v>1831</v>
      </c>
      <c r="D89" s="4132" t="s">
        <v>2409</v>
      </c>
      <c r="E89" s="4133" t="s">
        <v>2410</v>
      </c>
      <c r="F89" s="4144" t="s">
        <v>2412</v>
      </c>
    </row>
    <row r="90" spans="2:6" ht="25.5" x14ac:dyDescent="0.2">
      <c r="B90" s="4142"/>
      <c r="C90" s="4132" t="s">
        <v>1831</v>
      </c>
      <c r="D90" s="4132" t="s">
        <v>2411</v>
      </c>
      <c r="E90" s="4133" t="s">
        <v>2410</v>
      </c>
      <c r="F90" s="4144" t="s">
        <v>2413</v>
      </c>
    </row>
    <row r="91" spans="2:6" ht="25.5" x14ac:dyDescent="0.2">
      <c r="B91" s="4142"/>
      <c r="C91" s="4132" t="s">
        <v>1831</v>
      </c>
      <c r="D91" s="4132" t="s">
        <v>2415</v>
      </c>
      <c r="E91" s="4133" t="s">
        <v>2416</v>
      </c>
      <c r="F91" s="4144" t="s">
        <v>2417</v>
      </c>
    </row>
    <row r="92" spans="2:6" ht="38.25" x14ac:dyDescent="0.2">
      <c r="B92" s="4142"/>
      <c r="C92" s="4132" t="s">
        <v>1831</v>
      </c>
      <c r="D92" s="4132" t="s">
        <v>2418</v>
      </c>
      <c r="E92" s="4133" t="s">
        <v>2423</v>
      </c>
      <c r="F92" s="4144" t="s">
        <v>2425</v>
      </c>
    </row>
    <row r="93" spans="2:6" ht="38.25" x14ac:dyDescent="0.2">
      <c r="B93" s="4142"/>
      <c r="C93" s="4132" t="s">
        <v>1831</v>
      </c>
      <c r="D93" s="4133" t="s">
        <v>2408</v>
      </c>
      <c r="E93" s="4133" t="s">
        <v>2424</v>
      </c>
      <c r="F93" s="4144" t="s">
        <v>2426</v>
      </c>
    </row>
    <row r="94" spans="2:6" ht="25.5" x14ac:dyDescent="0.2">
      <c r="B94" s="2558" t="s">
        <v>1561</v>
      </c>
      <c r="C94" s="4132" t="s">
        <v>2317</v>
      </c>
      <c r="D94" s="4133" t="s">
        <v>2329</v>
      </c>
      <c r="E94" s="4133" t="s">
        <v>2332</v>
      </c>
      <c r="F94" s="4144" t="s">
        <v>2333</v>
      </c>
    </row>
    <row r="95" spans="2:6" ht="25.5" x14ac:dyDescent="0.2">
      <c r="B95" s="4142"/>
      <c r="C95" s="4132" t="s">
        <v>2317</v>
      </c>
      <c r="D95" s="4133" t="s">
        <v>2334</v>
      </c>
      <c r="E95" s="4133" t="s">
        <v>2332</v>
      </c>
      <c r="F95" s="4144" t="s">
        <v>2335</v>
      </c>
    </row>
    <row r="96" spans="2:6" ht="25.5" x14ac:dyDescent="0.2">
      <c r="B96" s="4142"/>
      <c r="C96" s="4132" t="s">
        <v>2317</v>
      </c>
      <c r="D96" s="4133" t="s">
        <v>2337</v>
      </c>
      <c r="E96" s="4133" t="s">
        <v>2338</v>
      </c>
      <c r="F96" s="4144" t="s">
        <v>2336</v>
      </c>
    </row>
    <row r="97" spans="2:6" ht="25.5" x14ac:dyDescent="0.2">
      <c r="B97" s="4142"/>
      <c r="C97" s="4132" t="s">
        <v>2317</v>
      </c>
      <c r="D97" s="4133" t="s">
        <v>2330</v>
      </c>
      <c r="E97" s="4133" t="s">
        <v>2331</v>
      </c>
      <c r="F97" s="4144" t="s">
        <v>2328</v>
      </c>
    </row>
    <row r="98" spans="2:6" ht="25.5" x14ac:dyDescent="0.2">
      <c r="B98" s="4142"/>
      <c r="C98" s="4132" t="s">
        <v>2317</v>
      </c>
      <c r="D98" s="4133" t="s">
        <v>2323</v>
      </c>
      <c r="E98" s="4133" t="s">
        <v>2324</v>
      </c>
      <c r="F98" s="4144" t="s">
        <v>2325</v>
      </c>
    </row>
    <row r="99" spans="2:6" x14ac:dyDescent="0.2">
      <c r="B99" s="4142"/>
      <c r="C99" s="4132" t="s">
        <v>2317</v>
      </c>
      <c r="D99" s="4133" t="s">
        <v>2326</v>
      </c>
      <c r="E99" s="4133" t="s">
        <v>2324</v>
      </c>
      <c r="F99" s="4144" t="s">
        <v>2327</v>
      </c>
    </row>
    <row r="100" spans="2:6" x14ac:dyDescent="0.2">
      <c r="B100" s="4142"/>
      <c r="C100" s="4132" t="s">
        <v>2317</v>
      </c>
      <c r="D100" s="4133" t="s">
        <v>342</v>
      </c>
      <c r="E100" s="4133" t="s">
        <v>341</v>
      </c>
      <c r="F100" s="4144" t="s">
        <v>2339</v>
      </c>
    </row>
    <row r="101" spans="2:6" ht="25.5" x14ac:dyDescent="0.2">
      <c r="B101" s="4142"/>
      <c r="C101" s="4132" t="s">
        <v>2317</v>
      </c>
      <c r="D101" s="4133" t="s">
        <v>2340</v>
      </c>
      <c r="E101" s="4133" t="s">
        <v>2342</v>
      </c>
      <c r="F101" s="4144" t="s">
        <v>2343</v>
      </c>
    </row>
    <row r="102" spans="2:6" ht="25.5" x14ac:dyDescent="0.2">
      <c r="B102" s="4142"/>
      <c r="C102" s="4132" t="s">
        <v>1827</v>
      </c>
      <c r="D102" s="4133" t="s">
        <v>2346</v>
      </c>
      <c r="E102" s="4133" t="s">
        <v>2359</v>
      </c>
      <c r="F102" s="4144" t="s">
        <v>2360</v>
      </c>
    </row>
    <row r="103" spans="2:6" ht="25.5" x14ac:dyDescent="0.2">
      <c r="B103" s="4142"/>
      <c r="C103" s="4132" t="s">
        <v>1827</v>
      </c>
      <c r="D103" s="4133" t="s">
        <v>2347</v>
      </c>
      <c r="E103" s="4133" t="s">
        <v>2359</v>
      </c>
      <c r="F103" s="4144" t="s">
        <v>2361</v>
      </c>
    </row>
    <row r="104" spans="2:6" ht="25.5" x14ac:dyDescent="0.2">
      <c r="B104" s="4142"/>
      <c r="C104" s="4132" t="s">
        <v>1827</v>
      </c>
      <c r="D104" s="4133" t="s">
        <v>2348</v>
      </c>
      <c r="E104" s="4133" t="s">
        <v>2359</v>
      </c>
      <c r="F104" s="4144" t="s">
        <v>2362</v>
      </c>
    </row>
    <row r="105" spans="2:6" ht="19.5" customHeight="1" x14ac:dyDescent="0.2">
      <c r="B105" s="4142"/>
      <c r="C105" s="4132" t="s">
        <v>1827</v>
      </c>
      <c r="D105" s="4132" t="s">
        <v>2453</v>
      </c>
      <c r="E105" s="4132" t="s">
        <v>2448</v>
      </c>
      <c r="F105" s="4144" t="s">
        <v>2449</v>
      </c>
    </row>
    <row r="106" spans="2:6" ht="25.5" x14ac:dyDescent="0.2">
      <c r="B106" s="4142"/>
      <c r="C106" s="4132" t="s">
        <v>1827</v>
      </c>
      <c r="D106" s="4132" t="s">
        <v>2452</v>
      </c>
      <c r="E106" s="4132" t="s">
        <v>2448</v>
      </c>
      <c r="F106" s="4144" t="s">
        <v>2449</v>
      </c>
    </row>
    <row r="107" spans="2:6" ht="25.5" x14ac:dyDescent="0.2">
      <c r="B107" s="4142"/>
      <c r="C107" s="4132" t="s">
        <v>1827</v>
      </c>
      <c r="D107" s="4132" t="s">
        <v>2455</v>
      </c>
      <c r="E107" s="4132" t="s">
        <v>2448</v>
      </c>
      <c r="F107" s="4144" t="s">
        <v>2449</v>
      </c>
    </row>
    <row r="108" spans="2:6" ht="25.5" x14ac:dyDescent="0.2">
      <c r="B108" s="4142"/>
      <c r="C108" s="4132" t="s">
        <v>1827</v>
      </c>
      <c r="D108" s="4132" t="s">
        <v>2456</v>
      </c>
      <c r="E108" s="4132" t="s">
        <v>2448</v>
      </c>
      <c r="F108" s="4144" t="s">
        <v>2449</v>
      </c>
    </row>
    <row r="109" spans="2:6" ht="25.5" x14ac:dyDescent="0.2">
      <c r="B109" s="4142"/>
      <c r="C109" s="4132" t="s">
        <v>1827</v>
      </c>
      <c r="D109" s="4132" t="s">
        <v>2457</v>
      </c>
      <c r="E109" s="4132" t="s">
        <v>2448</v>
      </c>
      <c r="F109" s="4144" t="s">
        <v>2449</v>
      </c>
    </row>
    <row r="110" spans="2:6" ht="25.5" x14ac:dyDescent="0.2">
      <c r="B110" s="4142"/>
      <c r="C110" s="4132" t="s">
        <v>1827</v>
      </c>
      <c r="D110" s="4132" t="s">
        <v>2458</v>
      </c>
      <c r="E110" s="4132" t="s">
        <v>2448</v>
      </c>
      <c r="F110" s="4144" t="s">
        <v>2449</v>
      </c>
    </row>
    <row r="111" spans="2:6" ht="25.5" x14ac:dyDescent="0.2">
      <c r="B111" s="4142"/>
      <c r="C111" s="4132" t="s">
        <v>1827</v>
      </c>
      <c r="D111" s="4132" t="s">
        <v>2349</v>
      </c>
      <c r="E111" s="4132" t="s">
        <v>2342</v>
      </c>
      <c r="F111" s="4144" t="s">
        <v>2366</v>
      </c>
    </row>
    <row r="112" spans="2:6" ht="25.5" x14ac:dyDescent="0.2">
      <c r="B112" s="4142"/>
      <c r="C112" s="4132" t="s">
        <v>1831</v>
      </c>
      <c r="D112" s="4132" t="s">
        <v>2409</v>
      </c>
      <c r="E112" s="4133" t="s">
        <v>2410</v>
      </c>
      <c r="F112" s="4144" t="s">
        <v>2412</v>
      </c>
    </row>
    <row r="113" spans="2:6" ht="25.5" x14ac:dyDescent="0.2">
      <c r="B113" s="4142"/>
      <c r="C113" s="4132" t="s">
        <v>1831</v>
      </c>
      <c r="D113" s="4132" t="s">
        <v>2411</v>
      </c>
      <c r="E113" s="4133" t="s">
        <v>2410</v>
      </c>
      <c r="F113" s="4144" t="s">
        <v>2413</v>
      </c>
    </row>
    <row r="114" spans="2:6" ht="25.5" x14ac:dyDescent="0.2">
      <c r="B114" s="4142"/>
      <c r="C114" s="4132" t="s">
        <v>1831</v>
      </c>
      <c r="D114" s="4132" t="s">
        <v>2415</v>
      </c>
      <c r="E114" s="4133" t="s">
        <v>2416</v>
      </c>
      <c r="F114" s="4144" t="s">
        <v>2417</v>
      </c>
    </row>
    <row r="115" spans="2:6" ht="38.25" x14ac:dyDescent="0.2">
      <c r="B115" s="4142"/>
      <c r="C115" s="4132" t="s">
        <v>1831</v>
      </c>
      <c r="D115" s="4132" t="s">
        <v>2418</v>
      </c>
      <c r="E115" s="4133" t="s">
        <v>2423</v>
      </c>
      <c r="F115" s="4144" t="s">
        <v>2425</v>
      </c>
    </row>
    <row r="116" spans="2:6" ht="38.25" x14ac:dyDescent="0.2">
      <c r="B116" s="4142"/>
      <c r="C116" s="4132" t="s">
        <v>1831</v>
      </c>
      <c r="D116" s="4133" t="s">
        <v>2408</v>
      </c>
      <c r="E116" s="4133" t="s">
        <v>2424</v>
      </c>
      <c r="F116" s="4144" t="s">
        <v>2426</v>
      </c>
    </row>
    <row r="117" spans="2:6" ht="38.25" x14ac:dyDescent="0.2">
      <c r="B117" s="4142"/>
      <c r="C117" s="4132" t="s">
        <v>2381</v>
      </c>
      <c r="D117" s="4132" t="s">
        <v>2459</v>
      </c>
      <c r="E117" s="4132" t="s">
        <v>2460</v>
      </c>
      <c r="F117" s="4144" t="s">
        <v>2461</v>
      </c>
    </row>
    <row r="118" spans="2:6" ht="25.5" x14ac:dyDescent="0.2">
      <c r="B118" s="4142"/>
      <c r="C118" s="4132" t="s">
        <v>2381</v>
      </c>
      <c r="D118" s="4132" t="s">
        <v>2431</v>
      </c>
      <c r="E118" s="4132" t="s">
        <v>2430</v>
      </c>
      <c r="F118" s="4144" t="s">
        <v>2462</v>
      </c>
    </row>
    <row r="119" spans="2:6" ht="25.5" x14ac:dyDescent="0.2">
      <c r="B119" s="4142"/>
      <c r="C119" s="4132" t="s">
        <v>2381</v>
      </c>
      <c r="D119" s="4132" t="s">
        <v>2432</v>
      </c>
      <c r="E119" s="4132" t="s">
        <v>2430</v>
      </c>
      <c r="F119" s="4144" t="s">
        <v>2462</v>
      </c>
    </row>
    <row r="120" spans="2:6" ht="25.5" x14ac:dyDescent="0.2">
      <c r="B120" s="4142"/>
      <c r="C120" s="4132" t="s">
        <v>2381</v>
      </c>
      <c r="D120" s="4132" t="s">
        <v>2433</v>
      </c>
      <c r="E120" s="4132" t="s">
        <v>2430</v>
      </c>
      <c r="F120" s="4144" t="s">
        <v>2462</v>
      </c>
    </row>
    <row r="121" spans="2:6" ht="38.25" x14ac:dyDescent="0.2">
      <c r="B121" s="4142"/>
      <c r="C121" s="4132" t="s">
        <v>2381</v>
      </c>
      <c r="D121" s="4132" t="s">
        <v>2463</v>
      </c>
      <c r="E121" s="4132" t="s">
        <v>2384</v>
      </c>
      <c r="F121" s="4144" t="s">
        <v>2461</v>
      </c>
    </row>
    <row r="122" spans="2:6" ht="38.25" x14ac:dyDescent="0.2">
      <c r="B122" s="4142"/>
      <c r="C122" s="4132" t="s">
        <v>2381</v>
      </c>
      <c r="D122" s="4132" t="s">
        <v>2384</v>
      </c>
      <c r="E122" s="4132" t="s">
        <v>2385</v>
      </c>
      <c r="F122" s="4144" t="s">
        <v>2461</v>
      </c>
    </row>
    <row r="123" spans="2:6" ht="25.5" x14ac:dyDescent="0.2">
      <c r="B123" s="2558" t="s">
        <v>1562</v>
      </c>
      <c r="C123" s="4132" t="s">
        <v>2317</v>
      </c>
      <c r="D123" s="4133" t="s">
        <v>2329</v>
      </c>
      <c r="E123" s="4133" t="s">
        <v>2332</v>
      </c>
      <c r="F123" s="4144" t="s">
        <v>2333</v>
      </c>
    </row>
    <row r="124" spans="2:6" ht="25.5" x14ac:dyDescent="0.2">
      <c r="B124" s="4142"/>
      <c r="C124" s="4132" t="s">
        <v>2317</v>
      </c>
      <c r="D124" s="4133" t="s">
        <v>2334</v>
      </c>
      <c r="E124" s="4133" t="s">
        <v>2332</v>
      </c>
      <c r="F124" s="4144" t="s">
        <v>2335</v>
      </c>
    </row>
    <row r="125" spans="2:6" ht="25.5" x14ac:dyDescent="0.2">
      <c r="B125" s="4142"/>
      <c r="C125" s="4132" t="s">
        <v>2317</v>
      </c>
      <c r="D125" s="4133" t="s">
        <v>2337</v>
      </c>
      <c r="E125" s="4133" t="s">
        <v>2338</v>
      </c>
      <c r="F125" s="4144" t="s">
        <v>2336</v>
      </c>
    </row>
    <row r="126" spans="2:6" ht="25.5" x14ac:dyDescent="0.2">
      <c r="B126" s="4142"/>
      <c r="C126" s="4132" t="s">
        <v>2317</v>
      </c>
      <c r="D126" s="4132" t="s">
        <v>2330</v>
      </c>
      <c r="E126" s="4132" t="s">
        <v>2331</v>
      </c>
      <c r="F126" s="4144" t="s">
        <v>2328</v>
      </c>
    </row>
    <row r="127" spans="2:6" ht="25.5" x14ac:dyDescent="0.2">
      <c r="B127" s="4142"/>
      <c r="C127" s="4132" t="s">
        <v>2317</v>
      </c>
      <c r="D127" s="4132" t="s">
        <v>2323</v>
      </c>
      <c r="E127" s="4132" t="s">
        <v>2324</v>
      </c>
      <c r="F127" s="4144" t="s">
        <v>2325</v>
      </c>
    </row>
    <row r="128" spans="2:6" x14ac:dyDescent="0.2">
      <c r="B128" s="4142"/>
      <c r="C128" s="4132" t="s">
        <v>2317</v>
      </c>
      <c r="D128" s="4132" t="s">
        <v>2326</v>
      </c>
      <c r="E128" s="4132" t="s">
        <v>2324</v>
      </c>
      <c r="F128" s="4144" t="s">
        <v>2327</v>
      </c>
    </row>
    <row r="129" spans="2:6" x14ac:dyDescent="0.2">
      <c r="B129" s="4142"/>
      <c r="C129" s="4132" t="s">
        <v>1827</v>
      </c>
      <c r="D129" s="4132" t="s">
        <v>2368</v>
      </c>
      <c r="E129" s="4132" t="s">
        <v>2351</v>
      </c>
      <c r="F129" s="4144" t="s">
        <v>2369</v>
      </c>
    </row>
    <row r="130" spans="2:6" ht="25.5" x14ac:dyDescent="0.2">
      <c r="B130" s="4142"/>
      <c r="C130" s="4132" t="s">
        <v>1831</v>
      </c>
      <c r="D130" s="4133" t="s">
        <v>2400</v>
      </c>
      <c r="E130" s="4133" t="s">
        <v>2419</v>
      </c>
      <c r="F130" s="4144" t="s">
        <v>2402</v>
      </c>
    </row>
    <row r="131" spans="2:6" ht="25.5" x14ac:dyDescent="0.2">
      <c r="B131" s="4142"/>
      <c r="C131" s="4132" t="s">
        <v>1831</v>
      </c>
      <c r="D131" s="4132" t="s">
        <v>1235</v>
      </c>
      <c r="E131" s="4133" t="s">
        <v>2419</v>
      </c>
      <c r="F131" s="4144" t="s">
        <v>2420</v>
      </c>
    </row>
    <row r="132" spans="2:6" ht="25.5" x14ac:dyDescent="0.2">
      <c r="B132" s="4142"/>
      <c r="C132" s="4132" t="s">
        <v>1831</v>
      </c>
      <c r="D132" s="4132" t="s">
        <v>1241</v>
      </c>
      <c r="E132" s="4133" t="s">
        <v>2419</v>
      </c>
      <c r="F132" s="4144" t="s">
        <v>2420</v>
      </c>
    </row>
    <row r="133" spans="2:6" ht="25.5" x14ac:dyDescent="0.2">
      <c r="B133" s="4142"/>
      <c r="C133" s="4132" t="s">
        <v>1831</v>
      </c>
      <c r="D133" s="4132" t="s">
        <v>1253</v>
      </c>
      <c r="E133" s="4133" t="s">
        <v>2419</v>
      </c>
      <c r="F133" s="4144" t="s">
        <v>2420</v>
      </c>
    </row>
    <row r="134" spans="2:6" ht="25.5" x14ac:dyDescent="0.2">
      <c r="B134" s="4142"/>
      <c r="C134" s="4132" t="s">
        <v>1831</v>
      </c>
      <c r="D134" s="4132" t="s">
        <v>1254</v>
      </c>
      <c r="E134" s="4133" t="s">
        <v>2419</v>
      </c>
      <c r="F134" s="4144" t="s">
        <v>2420</v>
      </c>
    </row>
    <row r="135" spans="2:6" ht="25.5" x14ac:dyDescent="0.2">
      <c r="B135" s="4142"/>
      <c r="C135" s="4132" t="s">
        <v>1831</v>
      </c>
      <c r="D135" s="4132" t="s">
        <v>2409</v>
      </c>
      <c r="E135" s="4133" t="s">
        <v>2410</v>
      </c>
      <c r="F135" s="4144" t="s">
        <v>2412</v>
      </c>
    </row>
    <row r="136" spans="2:6" ht="25.5" x14ac:dyDescent="0.2">
      <c r="B136" s="4142"/>
      <c r="C136" s="4132" t="s">
        <v>1831</v>
      </c>
      <c r="D136" s="4132" t="s">
        <v>2411</v>
      </c>
      <c r="E136" s="4133" t="s">
        <v>2410</v>
      </c>
      <c r="F136" s="4144" t="s">
        <v>2413</v>
      </c>
    </row>
    <row r="137" spans="2:6" ht="25.5" x14ac:dyDescent="0.2">
      <c r="B137" s="4142"/>
      <c r="C137" s="4132" t="s">
        <v>1831</v>
      </c>
      <c r="D137" s="4132" t="s">
        <v>2415</v>
      </c>
      <c r="E137" s="4133" t="s">
        <v>2416</v>
      </c>
      <c r="F137" s="4144" t="s">
        <v>2417</v>
      </c>
    </row>
    <row r="138" spans="2:6" ht="38.25" x14ac:dyDescent="0.2">
      <c r="B138" s="4142"/>
      <c r="C138" s="4132" t="s">
        <v>1831</v>
      </c>
      <c r="D138" s="4132" t="s">
        <v>2418</v>
      </c>
      <c r="E138" s="4133" t="s">
        <v>2423</v>
      </c>
      <c r="F138" s="4144" t="s">
        <v>2425</v>
      </c>
    </row>
    <row r="139" spans="2:6" ht="38.25" x14ac:dyDescent="0.2">
      <c r="B139" s="4142"/>
      <c r="C139" s="4132" t="s">
        <v>1831</v>
      </c>
      <c r="D139" s="4133" t="s">
        <v>2408</v>
      </c>
      <c r="E139" s="4133" t="s">
        <v>2424</v>
      </c>
      <c r="F139" s="4144" t="s">
        <v>2426</v>
      </c>
    </row>
    <row r="140" spans="2:6" ht="25.5" x14ac:dyDescent="0.2">
      <c r="B140" s="4142"/>
      <c r="C140" s="4132" t="s">
        <v>2381</v>
      </c>
      <c r="D140" s="4132" t="s">
        <v>2389</v>
      </c>
      <c r="E140" s="4132" t="s">
        <v>2388</v>
      </c>
      <c r="F140" s="4144" t="s">
        <v>2387</v>
      </c>
    </row>
    <row r="141" spans="2:6" ht="25.5" x14ac:dyDescent="0.2">
      <c r="B141" s="2559"/>
      <c r="C141" s="4132" t="s">
        <v>2381</v>
      </c>
      <c r="D141" s="4132" t="s">
        <v>2386</v>
      </c>
      <c r="E141" s="4132" t="s">
        <v>2388</v>
      </c>
      <c r="F141" s="4144" t="s">
        <v>2387</v>
      </c>
    </row>
    <row r="142" spans="2:6" ht="18" customHeight="1" x14ac:dyDescent="0.2">
      <c r="B142" s="2558" t="s">
        <v>1539</v>
      </c>
      <c r="C142" s="4132" t="s">
        <v>1827</v>
      </c>
      <c r="D142" s="4132" t="s">
        <v>670</v>
      </c>
      <c r="E142" s="4132" t="s">
        <v>668</v>
      </c>
      <c r="F142" s="4144" t="s">
        <v>2370</v>
      </c>
    </row>
    <row r="143" spans="2:6" ht="18" customHeight="1" x14ac:dyDescent="0.2">
      <c r="B143" s="2559"/>
      <c r="C143" s="4132" t="s">
        <v>1827</v>
      </c>
      <c r="D143" s="4132" t="s">
        <v>675</v>
      </c>
      <c r="E143" s="4132" t="s">
        <v>674</v>
      </c>
      <c r="F143" s="4144" t="s">
        <v>2371</v>
      </c>
    </row>
    <row r="144" spans="2:6" ht="18" customHeight="1" x14ac:dyDescent="0.2">
      <c r="B144" s="2558" t="s">
        <v>1511</v>
      </c>
      <c r="C144" s="4132"/>
      <c r="D144" s="4132"/>
      <c r="E144" s="4132"/>
      <c r="F144" s="4144"/>
    </row>
    <row r="145" spans="2:6" ht="18" customHeight="1" x14ac:dyDescent="0.2">
      <c r="B145" s="2559"/>
      <c r="C145" s="4132"/>
      <c r="D145" s="4132"/>
      <c r="E145" s="4132"/>
      <c r="F145" s="4144"/>
    </row>
    <row r="146" spans="2:6" ht="18" customHeight="1" x14ac:dyDescent="0.2">
      <c r="B146" s="2558" t="s">
        <v>2119</v>
      </c>
      <c r="C146" s="4132"/>
      <c r="D146" s="4132"/>
      <c r="E146" s="4132"/>
      <c r="F146" s="4144"/>
    </row>
    <row r="147" spans="2:6" ht="18" customHeight="1" x14ac:dyDescent="0.2">
      <c r="B147" s="2559" t="s">
        <v>2120</v>
      </c>
      <c r="C147" s="4132"/>
      <c r="D147" s="4132"/>
      <c r="E147" s="4132"/>
      <c r="F147" s="4144"/>
    </row>
    <row r="148" spans="2:6" ht="18" customHeight="1" x14ac:dyDescent="0.2">
      <c r="B148" s="2558" t="s">
        <v>1621</v>
      </c>
      <c r="C148" s="4132"/>
      <c r="D148" s="4132"/>
      <c r="E148" s="4132" t="s">
        <v>414</v>
      </c>
      <c r="F148" s="4144"/>
    </row>
    <row r="149" spans="2:6" ht="18" customHeight="1" x14ac:dyDescent="0.2">
      <c r="B149" s="2559"/>
      <c r="C149" s="4132"/>
      <c r="D149" s="4132"/>
      <c r="E149" s="4132"/>
      <c r="F149" s="4144"/>
    </row>
    <row r="150" spans="2:6" ht="18" customHeight="1" x14ac:dyDescent="0.2">
      <c r="B150" s="869" t="s">
        <v>1702</v>
      </c>
      <c r="C150" s="4132"/>
      <c r="D150" s="4132"/>
      <c r="E150" s="4132"/>
      <c r="F150" s="4144"/>
    </row>
    <row r="151" spans="2:6" ht="18" customHeight="1" thickBot="1" x14ac:dyDescent="0.25">
      <c r="B151" s="870"/>
      <c r="C151" s="4143"/>
      <c r="D151" s="4143"/>
      <c r="E151" s="4143"/>
      <c r="F151" s="4145"/>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3"/>
    </row>
  </sheetData>
  <mergeCells count="49">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9:F9"/>
    <mergeCell ref="E10:F10"/>
    <mergeCell ref="E11:F11"/>
    <mergeCell ref="E12:F12"/>
    <mergeCell ref="E14:F14"/>
    <mergeCell ref="E13:F13"/>
    <mergeCell ref="E33:F33"/>
    <mergeCell ref="E44:F44"/>
    <mergeCell ref="E39:F39"/>
    <mergeCell ref="E15:F15"/>
    <mergeCell ref="E25:F25"/>
    <mergeCell ref="E17:F17"/>
    <mergeCell ref="E29:F29"/>
    <mergeCell ref="E16:F16"/>
    <mergeCell ref="E18:F18"/>
    <mergeCell ref="E19:F19"/>
    <mergeCell ref="E20:F20"/>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6" t="s">
        <v>64</v>
      </c>
    </row>
    <row r="8" spans="1:37" ht="60" customHeight="1" x14ac:dyDescent="0.2">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25">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25">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25">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25">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25">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25">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25">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25">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25"/>
    <row r="69" spans="2:37" ht="18" customHeight="1" thickBot="1" x14ac:dyDescent="0.25">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25">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25">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
      <c r="E75" t="s">
        <v>389</v>
      </c>
    </row>
    <row r="76" spans="2:37" x14ac:dyDescent="0.2">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25">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25">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25">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25">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25">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25">
      <c r="AK69" s="2012"/>
    </row>
    <row r="70" spans="2:38" ht="18" customHeight="1" x14ac:dyDescent="0.2">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25">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
      <c r="B74" s="634"/>
    </row>
    <row r="75" spans="2:38" ht="12" customHeight="1" x14ac:dyDescent="0.2">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25">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25">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25">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25">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25">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
      <c r="B72" s="775"/>
      <c r="AL72" s="19"/>
    </row>
    <row r="73" spans="2:38" ht="12" customHeight="1" x14ac:dyDescent="0.2">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433">
        <f>SUM(E11,E17,E20)</f>
        <v>6.5822252886058932</v>
      </c>
      <c r="F10" s="4433">
        <f t="shared" ref="F10:AJ10" si="0">SUM(F11,F17,F20)</f>
        <v>6.6985612369461691</v>
      </c>
      <c r="G10" s="4433">
        <f t="shared" si="0"/>
        <v>6.9040599045912607</v>
      </c>
      <c r="H10" s="4433">
        <f t="shared" si="0"/>
        <v>7.3628964431994337</v>
      </c>
      <c r="I10" s="4433">
        <f t="shared" si="0"/>
        <v>7.6520272596509837</v>
      </c>
      <c r="J10" s="4433">
        <f t="shared" si="0"/>
        <v>8.0847487878292572</v>
      </c>
      <c r="K10" s="4433">
        <f t="shared" si="0"/>
        <v>8.4100346317820414</v>
      </c>
      <c r="L10" s="4433">
        <f t="shared" si="0"/>
        <v>8.8342105942418421</v>
      </c>
      <c r="M10" s="4433">
        <f t="shared" si="0"/>
        <v>9.4065583030332043</v>
      </c>
      <c r="N10" s="4433">
        <f t="shared" si="0"/>
        <v>9.7992122569808</v>
      </c>
      <c r="O10" s="4433">
        <f t="shared" si="0"/>
        <v>10.184487629931933</v>
      </c>
      <c r="P10" s="4433">
        <f t="shared" si="0"/>
        <v>10.636438155396144</v>
      </c>
      <c r="Q10" s="4433">
        <f t="shared" si="0"/>
        <v>11.384888177803589</v>
      </c>
      <c r="R10" s="4433">
        <f t="shared" si="0"/>
        <v>12.267895878212148</v>
      </c>
      <c r="S10" s="4433">
        <f t="shared" si="0"/>
        <v>12.639290424972446</v>
      </c>
      <c r="T10" s="4433">
        <f t="shared" si="0"/>
        <v>12.7322470273491</v>
      </c>
      <c r="U10" s="4433">
        <f t="shared" si="0"/>
        <v>12.604821318482555</v>
      </c>
      <c r="V10" s="4433">
        <f t="shared" si="0"/>
        <v>12.701051157755421</v>
      </c>
      <c r="W10" s="4433">
        <f t="shared" si="0"/>
        <v>12.728503907780635</v>
      </c>
      <c r="X10" s="4433">
        <f t="shared" si="0"/>
        <v>12.390218503255735</v>
      </c>
      <c r="Y10" s="4433">
        <f t="shared" si="0"/>
        <v>12.134482974497121</v>
      </c>
      <c r="Z10" s="4433">
        <f t="shared" si="0"/>
        <v>12.412161307619693</v>
      </c>
      <c r="AA10" s="4433">
        <f t="shared" si="0"/>
        <v>12.311927068228883</v>
      </c>
      <c r="AB10" s="4433">
        <f t="shared" si="0"/>
        <v>12.268732641089295</v>
      </c>
      <c r="AC10" s="4433">
        <f t="shared" si="0"/>
        <v>11.758065937333413</v>
      </c>
      <c r="AD10" s="4433">
        <f t="shared" si="0"/>
        <v>11.013556962295443</v>
      </c>
      <c r="AE10" s="4433">
        <f t="shared" si="0"/>
        <v>10.892962913959689</v>
      </c>
      <c r="AF10" s="4433">
        <f t="shared" si="0"/>
        <v>10.882823338897811</v>
      </c>
      <c r="AG10" s="4433">
        <f t="shared" si="0"/>
        <v>10.253157524371714</v>
      </c>
      <c r="AH10" s="4433">
        <f t="shared" si="0"/>
        <v>10.026903133434217</v>
      </c>
      <c r="AI10" s="4433">
        <f t="shared" si="0"/>
        <v>9.6569005805382755</v>
      </c>
      <c r="AJ10" s="4433">
        <f t="shared" si="0"/>
        <v>9.5273563992289922</v>
      </c>
      <c r="AK10" s="4434">
        <f>IF(AJ10="NO",IF(E10="NO","NA",-100),IF(E10="NO",100,AJ10/E10*100-100))</f>
        <v>44.743699607505761</v>
      </c>
      <c r="AL10" s="713"/>
    </row>
    <row r="11" spans="2:38" ht="18" customHeight="1" x14ac:dyDescent="0.2">
      <c r="B11" s="1370" t="s">
        <v>1477</v>
      </c>
      <c r="C11" s="1995"/>
      <c r="D11" s="1995"/>
      <c r="E11" s="4435">
        <f>SUM(E12:E16)</f>
        <v>6.4471737052587237</v>
      </c>
      <c r="F11" s="4435">
        <f t="shared" ref="F11:AJ11" si="1">SUM(F12:F16)</f>
        <v>6.5736259448986516</v>
      </c>
      <c r="G11" s="4435">
        <f t="shared" si="1"/>
        <v>6.7766706748586705</v>
      </c>
      <c r="H11" s="4435">
        <f t="shared" si="1"/>
        <v>7.2425464955099237</v>
      </c>
      <c r="I11" s="4435">
        <f t="shared" si="1"/>
        <v>7.5411208642013197</v>
      </c>
      <c r="J11" s="4435">
        <f t="shared" si="1"/>
        <v>7.9688482584606941</v>
      </c>
      <c r="K11" s="4435">
        <f t="shared" si="1"/>
        <v>8.3093073676460172</v>
      </c>
      <c r="L11" s="4435">
        <f t="shared" si="1"/>
        <v>8.7468410505869372</v>
      </c>
      <c r="M11" s="4435">
        <f t="shared" si="1"/>
        <v>9.3207345529646588</v>
      </c>
      <c r="N11" s="4435">
        <f t="shared" si="1"/>
        <v>9.7073059004298035</v>
      </c>
      <c r="O11" s="4435">
        <f t="shared" si="1"/>
        <v>10.080116089281933</v>
      </c>
      <c r="P11" s="4435">
        <f t="shared" si="1"/>
        <v>10.527557806485792</v>
      </c>
      <c r="Q11" s="4435">
        <f t="shared" si="1"/>
        <v>11.285943354458034</v>
      </c>
      <c r="R11" s="4435">
        <f t="shared" si="1"/>
        <v>12.184639535248822</v>
      </c>
      <c r="S11" s="4435">
        <f t="shared" si="1"/>
        <v>12.556681376876513</v>
      </c>
      <c r="T11" s="4435">
        <f t="shared" si="1"/>
        <v>12.65324584152402</v>
      </c>
      <c r="U11" s="4435">
        <f t="shared" si="1"/>
        <v>12.523654224849878</v>
      </c>
      <c r="V11" s="4435">
        <f t="shared" si="1"/>
        <v>12.61058795638445</v>
      </c>
      <c r="W11" s="4435">
        <f t="shared" si="1"/>
        <v>12.637035243069619</v>
      </c>
      <c r="X11" s="4435">
        <f t="shared" si="1"/>
        <v>12.292639584731464</v>
      </c>
      <c r="Y11" s="4435">
        <f t="shared" si="1"/>
        <v>12.029501637908735</v>
      </c>
      <c r="Z11" s="4435">
        <f t="shared" si="1"/>
        <v>12.327313562487577</v>
      </c>
      <c r="AA11" s="4435">
        <f t="shared" si="1"/>
        <v>12.197301920440971</v>
      </c>
      <c r="AB11" s="4435">
        <f t="shared" si="1"/>
        <v>12.147944752598997</v>
      </c>
      <c r="AC11" s="4435">
        <f t="shared" si="1"/>
        <v>11.639601847477298</v>
      </c>
      <c r="AD11" s="4435">
        <f t="shared" si="1"/>
        <v>10.853009083001748</v>
      </c>
      <c r="AE11" s="4435">
        <f t="shared" si="1"/>
        <v>10.687458755213239</v>
      </c>
      <c r="AF11" s="4435">
        <f t="shared" si="1"/>
        <v>10.610550176100688</v>
      </c>
      <c r="AG11" s="4435">
        <f t="shared" si="1"/>
        <v>10.000031713248097</v>
      </c>
      <c r="AH11" s="4435">
        <f t="shared" si="1"/>
        <v>9.7221811520111121</v>
      </c>
      <c r="AI11" s="4435">
        <f t="shared" si="1"/>
        <v>9.4286313453582959</v>
      </c>
      <c r="AJ11" s="4435">
        <f t="shared" si="1"/>
        <v>9.3488006201156431</v>
      </c>
      <c r="AK11" s="4434">
        <f t="shared" ref="AK11:AK56" si="2">IF(AJ11="NO",IF(E11="NO","NA",-100),IF(E11="NO",100,AJ11/E11*100-100))</f>
        <v>45.006184841741884</v>
      </c>
      <c r="AL11" s="713"/>
    </row>
    <row r="12" spans="2:38" ht="18" customHeight="1" x14ac:dyDescent="0.2">
      <c r="B12" s="1371" t="s">
        <v>1478</v>
      </c>
      <c r="C12" s="1995"/>
      <c r="D12" s="1995"/>
      <c r="E12" s="4435">
        <v>1.7009294785985118</v>
      </c>
      <c r="F12" s="4435">
        <v>1.6290682412384687</v>
      </c>
      <c r="G12" s="4435">
        <v>1.6581035249510141</v>
      </c>
      <c r="H12" s="4435">
        <v>1.7306924205792555</v>
      </c>
      <c r="I12" s="4435">
        <v>1.7273876632427021</v>
      </c>
      <c r="J12" s="4435">
        <v>1.7976662692551446</v>
      </c>
      <c r="K12" s="4435">
        <v>1.8378522822117114</v>
      </c>
      <c r="L12" s="4435">
        <v>2.0352450444763983</v>
      </c>
      <c r="M12" s="4435">
        <v>2.2515240802437124</v>
      </c>
      <c r="N12" s="4435">
        <v>2.2324247480307475</v>
      </c>
      <c r="O12" s="4435">
        <v>2.3443755514005433</v>
      </c>
      <c r="P12" s="4435">
        <v>2.6400816051644824</v>
      </c>
      <c r="Q12" s="4435">
        <v>2.9973257240636362</v>
      </c>
      <c r="R12" s="4435">
        <v>3.36574686993489</v>
      </c>
      <c r="S12" s="4435">
        <v>3.4547141470598972</v>
      </c>
      <c r="T12" s="4435">
        <v>3.6356739756511334</v>
      </c>
      <c r="U12" s="4435">
        <v>3.645083868973102</v>
      </c>
      <c r="V12" s="4435">
        <v>3.7612196537347939</v>
      </c>
      <c r="W12" s="4435">
        <v>3.7433117435250378</v>
      </c>
      <c r="X12" s="4435">
        <v>3.9406827398383073</v>
      </c>
      <c r="Y12" s="4435">
        <v>3.794300812425687</v>
      </c>
      <c r="Z12" s="4435">
        <v>4.1907240327255195</v>
      </c>
      <c r="AA12" s="4435">
        <v>4.1252416381587018</v>
      </c>
      <c r="AB12" s="4435">
        <v>4.0946551694115421</v>
      </c>
      <c r="AC12" s="4435">
        <v>3.9105557082378528</v>
      </c>
      <c r="AD12" s="4435">
        <v>3.1706338463043902</v>
      </c>
      <c r="AE12" s="4435">
        <v>3.2185072400352954</v>
      </c>
      <c r="AF12" s="4435">
        <v>3.2315361520461878</v>
      </c>
      <c r="AG12" s="4435">
        <v>3.0129441502913008</v>
      </c>
      <c r="AH12" s="4435">
        <v>3.0093588323332585</v>
      </c>
      <c r="AI12" s="4435">
        <v>3.1529275509261439</v>
      </c>
      <c r="AJ12" s="4435">
        <v>2.9414287450729968</v>
      </c>
      <c r="AK12" s="4434">
        <f t="shared" si="2"/>
        <v>72.930670088485954</v>
      </c>
      <c r="AL12" s="713"/>
    </row>
    <row r="13" spans="2:38" ht="18" customHeight="1" x14ac:dyDescent="0.2">
      <c r="B13" s="1371" t="s">
        <v>1714</v>
      </c>
      <c r="C13" s="1995"/>
      <c r="D13" s="1995"/>
      <c r="E13" s="4435">
        <v>1.134710846917538</v>
      </c>
      <c r="F13" s="4435">
        <v>1.1069438707977839</v>
      </c>
      <c r="G13" s="4435">
        <v>1.0243107840034231</v>
      </c>
      <c r="H13" s="4435">
        <v>1.1166433143750729</v>
      </c>
      <c r="I13" s="4435">
        <v>1.1738863251427409</v>
      </c>
      <c r="J13" s="4435">
        <v>1.221623326831905</v>
      </c>
      <c r="K13" s="4435">
        <v>1.2791349757582684</v>
      </c>
      <c r="L13" s="4435">
        <v>1.3163789997832436</v>
      </c>
      <c r="M13" s="4435">
        <v>1.3289940991559224</v>
      </c>
      <c r="N13" s="4435">
        <v>1.3209948143262531</v>
      </c>
      <c r="O13" s="4435">
        <v>1.3022394470025569</v>
      </c>
      <c r="P13" s="4435">
        <v>1.2429528375383514</v>
      </c>
      <c r="Q13" s="4435">
        <v>1.2472585483209393</v>
      </c>
      <c r="R13" s="4435">
        <v>1.2610637219971466</v>
      </c>
      <c r="S13" s="4435">
        <v>1.2935425084862127</v>
      </c>
      <c r="T13" s="4435">
        <v>1.3423266239671301</v>
      </c>
      <c r="U13" s="4435">
        <v>1.3342298221966118</v>
      </c>
      <c r="V13" s="4435">
        <v>1.3715263252857555</v>
      </c>
      <c r="W13" s="4435">
        <v>1.42404088702423</v>
      </c>
      <c r="X13" s="4435">
        <v>1.0925420454198596</v>
      </c>
      <c r="Y13" s="4435">
        <v>1.2717698342144876</v>
      </c>
      <c r="Z13" s="4435">
        <v>1.2938737542015724</v>
      </c>
      <c r="AA13" s="4435">
        <v>1.3750591461183619</v>
      </c>
      <c r="AB13" s="4435">
        <v>1.511638252726148</v>
      </c>
      <c r="AC13" s="4435">
        <v>1.4779110280187984</v>
      </c>
      <c r="AD13" s="4435">
        <v>1.4903860924080672</v>
      </c>
      <c r="AE13" s="4435">
        <v>1.4733786885629305</v>
      </c>
      <c r="AF13" s="4435">
        <v>1.5348628188166988</v>
      </c>
      <c r="AG13" s="4435">
        <v>1.504047081515018</v>
      </c>
      <c r="AH13" s="4435">
        <v>1.4685903922899706</v>
      </c>
      <c r="AI13" s="4435">
        <v>1.4718197078709196</v>
      </c>
      <c r="AJ13" s="4435">
        <v>1.5766839659058423</v>
      </c>
      <c r="AK13" s="4434">
        <f t="shared" si="2"/>
        <v>38.950285897850733</v>
      </c>
      <c r="AL13" s="713"/>
    </row>
    <row r="14" spans="2:38" ht="18" customHeight="1" x14ac:dyDescent="0.2">
      <c r="B14" s="1371" t="s">
        <v>1480</v>
      </c>
      <c r="C14" s="1995"/>
      <c r="D14" s="1995"/>
      <c r="E14" s="4435">
        <v>3.0681889642603748</v>
      </c>
      <c r="F14" s="4435">
        <v>3.2846479580695087</v>
      </c>
      <c r="G14" s="4435">
        <v>3.5247618929079318</v>
      </c>
      <c r="H14" s="4435">
        <v>3.8122408714501748</v>
      </c>
      <c r="I14" s="4435">
        <v>4.0534315250603346</v>
      </c>
      <c r="J14" s="4435">
        <v>4.3475660104684701</v>
      </c>
      <c r="K14" s="4435">
        <v>4.5820869441448693</v>
      </c>
      <c r="L14" s="4435">
        <v>4.7758348071430978</v>
      </c>
      <c r="M14" s="4435">
        <v>5.1228691269862399</v>
      </c>
      <c r="N14" s="4435">
        <v>5.5384186929027024</v>
      </c>
      <c r="O14" s="4435">
        <v>5.8142239937416154</v>
      </c>
      <c r="P14" s="4435">
        <v>5.9826816597628731</v>
      </c>
      <c r="Q14" s="4435">
        <v>6.4041698370851226</v>
      </c>
      <c r="R14" s="4435">
        <v>6.8789964315150698</v>
      </c>
      <c r="S14" s="4435">
        <v>7.1292786174709937</v>
      </c>
      <c r="T14" s="4435">
        <v>6.9829600090416601</v>
      </c>
      <c r="U14" s="4435">
        <v>6.8637756581244895</v>
      </c>
      <c r="V14" s="4435">
        <v>6.8052834178180879</v>
      </c>
      <c r="W14" s="4435">
        <v>6.7910723849360659</v>
      </c>
      <c r="X14" s="4435">
        <v>6.5901892421657928</v>
      </c>
      <c r="Y14" s="4435">
        <v>6.2856682531525374</v>
      </c>
      <c r="Z14" s="4435">
        <v>6.1637530186666085</v>
      </c>
      <c r="AA14" s="4435">
        <v>6.0065920475633572</v>
      </c>
      <c r="AB14" s="4435">
        <v>5.8400152572765105</v>
      </c>
      <c r="AC14" s="4435">
        <v>5.5646353224705196</v>
      </c>
      <c r="AD14" s="4435">
        <v>5.4738715668083664</v>
      </c>
      <c r="AE14" s="4435">
        <v>5.2576312136662873</v>
      </c>
      <c r="AF14" s="4435">
        <v>5.0806583326894934</v>
      </c>
      <c r="AG14" s="4435">
        <v>4.7239156075148996</v>
      </c>
      <c r="AH14" s="4435">
        <v>4.5630965797818499</v>
      </c>
      <c r="AI14" s="4435">
        <v>4.1532091410307688</v>
      </c>
      <c r="AJ14" s="4435">
        <v>4.067701382798365</v>
      </c>
      <c r="AK14" s="4434">
        <f t="shared" si="2"/>
        <v>32.57662517467972</v>
      </c>
      <c r="AL14" s="713"/>
    </row>
    <row r="15" spans="2:38" ht="18" customHeight="1" x14ac:dyDescent="0.2">
      <c r="B15" s="1371" t="s">
        <v>1481</v>
      </c>
      <c r="C15" s="1995"/>
      <c r="D15" s="1995"/>
      <c r="E15" s="4435">
        <v>0.5321479738167656</v>
      </c>
      <c r="F15" s="4435">
        <v>0.54180638504574474</v>
      </c>
      <c r="G15" s="4435">
        <v>0.55695757984167837</v>
      </c>
      <c r="H15" s="4435">
        <v>0.57024125070918219</v>
      </c>
      <c r="I15" s="4435">
        <v>0.57121943648528406</v>
      </c>
      <c r="J15" s="4435">
        <v>0.58303768417451851</v>
      </c>
      <c r="K15" s="4435">
        <v>0.58896986539236917</v>
      </c>
      <c r="L15" s="4435">
        <v>0.59697391044693204</v>
      </c>
      <c r="M15" s="4435">
        <v>0.59864468082477551</v>
      </c>
      <c r="N15" s="4435">
        <v>0.5983519156095326</v>
      </c>
      <c r="O15" s="4435">
        <v>0.60222133286227619</v>
      </c>
      <c r="P15" s="4435">
        <v>0.64445846970012666</v>
      </c>
      <c r="Q15" s="4435">
        <v>0.62101485581758964</v>
      </c>
      <c r="R15" s="4435">
        <v>0.66362785139415914</v>
      </c>
      <c r="S15" s="4435">
        <v>0.66328647233038751</v>
      </c>
      <c r="T15" s="4435">
        <v>0.6752328371783568</v>
      </c>
      <c r="U15" s="4435">
        <v>0.66256796242867133</v>
      </c>
      <c r="V15" s="4435">
        <v>0.64962709765742377</v>
      </c>
      <c r="W15" s="4435">
        <v>0.65508919048432157</v>
      </c>
      <c r="X15" s="4435">
        <v>0.6460284296662745</v>
      </c>
      <c r="Y15" s="4435">
        <v>0.65301319071314501</v>
      </c>
      <c r="Z15" s="4435">
        <v>0.65368566787579641</v>
      </c>
      <c r="AA15" s="4435">
        <v>0.66598351676016165</v>
      </c>
      <c r="AB15" s="4435">
        <v>0.67607594560883466</v>
      </c>
      <c r="AC15" s="4435">
        <v>0.65793939875223129</v>
      </c>
      <c r="AD15" s="4435">
        <v>0.69205372598082715</v>
      </c>
      <c r="AE15" s="4435">
        <v>0.70676215558306732</v>
      </c>
      <c r="AF15" s="4435">
        <v>0.73754164904195596</v>
      </c>
      <c r="AG15" s="4435">
        <v>0.73332096634122068</v>
      </c>
      <c r="AH15" s="4435">
        <v>0.65923445738914177</v>
      </c>
      <c r="AI15" s="4435">
        <v>0.62436663118663072</v>
      </c>
      <c r="AJ15" s="4435">
        <v>0.74015994229954174</v>
      </c>
      <c r="AK15" s="4434">
        <f t="shared" si="2"/>
        <v>39.089121582261413</v>
      </c>
      <c r="AL15" s="713"/>
    </row>
    <row r="16" spans="2:38" ht="18" customHeight="1" x14ac:dyDescent="0.2">
      <c r="B16" s="1371" t="s">
        <v>1482</v>
      </c>
      <c r="C16" s="1995"/>
      <c r="D16" s="1995"/>
      <c r="E16" s="4435">
        <v>1.1196441665532852E-2</v>
      </c>
      <c r="F16" s="4435">
        <v>1.1159489747144877E-2</v>
      </c>
      <c r="G16" s="4435">
        <v>1.2536893154623004E-2</v>
      </c>
      <c r="H16" s="4435">
        <v>1.272863839623793E-2</v>
      </c>
      <c r="I16" s="4435">
        <v>1.5195914270257847E-2</v>
      </c>
      <c r="J16" s="4435">
        <v>1.8954967730655532E-2</v>
      </c>
      <c r="K16" s="4435">
        <v>2.1263300138799256E-2</v>
      </c>
      <c r="L16" s="4435">
        <v>2.2408288737265684E-2</v>
      </c>
      <c r="M16" s="4435">
        <v>1.8702565754007937E-2</v>
      </c>
      <c r="N16" s="4435">
        <v>1.7115729560568681E-2</v>
      </c>
      <c r="O16" s="4435">
        <v>1.7055764274940568E-2</v>
      </c>
      <c r="P16" s="4435">
        <v>1.7383234319957891E-2</v>
      </c>
      <c r="Q16" s="4435">
        <v>1.6174389170746161E-2</v>
      </c>
      <c r="R16" s="4435">
        <v>1.5204660407556064E-2</v>
      </c>
      <c r="S16" s="4435">
        <v>1.5859631529023716E-2</v>
      </c>
      <c r="T16" s="4435">
        <v>1.7052395685740039E-2</v>
      </c>
      <c r="U16" s="4435">
        <v>1.7996913127003019E-2</v>
      </c>
      <c r="V16" s="4435">
        <v>2.2931461888388016E-2</v>
      </c>
      <c r="W16" s="4435">
        <v>2.3521037099963411E-2</v>
      </c>
      <c r="X16" s="4435">
        <v>2.3197127641231184E-2</v>
      </c>
      <c r="Y16" s="4435">
        <v>2.4749547402879473E-2</v>
      </c>
      <c r="Z16" s="4435">
        <v>2.5277089018079773E-2</v>
      </c>
      <c r="AA16" s="4435">
        <v>2.4425571840387569E-2</v>
      </c>
      <c r="AB16" s="4435">
        <v>2.5560127575961652E-2</v>
      </c>
      <c r="AC16" s="4435">
        <v>2.8560389997894974E-2</v>
      </c>
      <c r="AD16" s="4435">
        <v>2.6063851500097154E-2</v>
      </c>
      <c r="AE16" s="4435">
        <v>3.1179457365658667E-2</v>
      </c>
      <c r="AF16" s="4435">
        <v>2.5951223506352986E-2</v>
      </c>
      <c r="AG16" s="4435">
        <v>2.5803907585655421E-2</v>
      </c>
      <c r="AH16" s="4435">
        <v>2.1900890216890161E-2</v>
      </c>
      <c r="AI16" s="4435">
        <v>2.630831434383317E-2</v>
      </c>
      <c r="AJ16" s="4435">
        <v>2.2826584038897677E-2</v>
      </c>
      <c r="AK16" s="4434">
        <f t="shared" si="2"/>
        <v>103.87355841067861</v>
      </c>
      <c r="AL16" s="713"/>
    </row>
    <row r="17" spans="2:38" ht="18" customHeight="1" x14ac:dyDescent="0.2">
      <c r="B17" s="1370" t="s">
        <v>99</v>
      </c>
      <c r="C17" s="1995"/>
      <c r="D17" s="1995"/>
      <c r="E17" s="4435">
        <f>SUM(E18:E19)</f>
        <v>0.13505158334716985</v>
      </c>
      <c r="F17" s="4435">
        <f t="shared" ref="F17:AJ17" si="3">SUM(F18:F19)</f>
        <v>0.12493529204751767</v>
      </c>
      <c r="G17" s="4435">
        <f t="shared" si="3"/>
        <v>0.1273892297325899</v>
      </c>
      <c r="H17" s="4435">
        <f t="shared" si="3"/>
        <v>0.12034994768950996</v>
      </c>
      <c r="I17" s="4435">
        <f t="shared" si="3"/>
        <v>0.11090639544966409</v>
      </c>
      <c r="J17" s="4435">
        <f t="shared" si="3"/>
        <v>0.11590052936856374</v>
      </c>
      <c r="K17" s="4435">
        <f t="shared" si="3"/>
        <v>0.10072726413602331</v>
      </c>
      <c r="L17" s="4435">
        <f t="shared" si="3"/>
        <v>8.7369543654904444E-2</v>
      </c>
      <c r="M17" s="4435">
        <f t="shared" si="3"/>
        <v>8.5823750068545937E-2</v>
      </c>
      <c r="N17" s="4435">
        <f t="shared" si="3"/>
        <v>9.1906356550996562E-2</v>
      </c>
      <c r="O17" s="4435">
        <f t="shared" si="3"/>
        <v>0.10437154064999947</v>
      </c>
      <c r="P17" s="4435">
        <f t="shared" si="3"/>
        <v>0.10888034891035292</v>
      </c>
      <c r="Q17" s="4435">
        <f t="shared" si="3"/>
        <v>9.8944823345555377E-2</v>
      </c>
      <c r="R17" s="4435">
        <f t="shared" si="3"/>
        <v>8.3256342963326568E-2</v>
      </c>
      <c r="S17" s="4435">
        <f t="shared" si="3"/>
        <v>8.260904809593192E-2</v>
      </c>
      <c r="T17" s="4435">
        <f t="shared" si="3"/>
        <v>7.9001185825078882E-2</v>
      </c>
      <c r="U17" s="4435">
        <f t="shared" si="3"/>
        <v>8.1167093632677129E-2</v>
      </c>
      <c r="V17" s="4435">
        <f t="shared" si="3"/>
        <v>9.046320137097158E-2</v>
      </c>
      <c r="W17" s="4435">
        <f t="shared" si="3"/>
        <v>9.1468664711016029E-2</v>
      </c>
      <c r="X17" s="4435">
        <f t="shared" si="3"/>
        <v>9.757891852426967E-2</v>
      </c>
      <c r="Y17" s="4435">
        <f t="shared" si="3"/>
        <v>0.10498133658838611</v>
      </c>
      <c r="Z17" s="4435">
        <f t="shared" si="3"/>
        <v>8.4847745132115335E-2</v>
      </c>
      <c r="AA17" s="4435">
        <f t="shared" si="3"/>
        <v>0.11462514778791104</v>
      </c>
      <c r="AB17" s="4435">
        <f t="shared" si="3"/>
        <v>0.12078788849029788</v>
      </c>
      <c r="AC17" s="4435">
        <f t="shared" si="3"/>
        <v>0.11846408985611549</v>
      </c>
      <c r="AD17" s="4435">
        <f t="shared" si="3"/>
        <v>0.16054787929369541</v>
      </c>
      <c r="AE17" s="4435">
        <f t="shared" si="3"/>
        <v>0.2055041587464507</v>
      </c>
      <c r="AF17" s="4435">
        <f t="shared" si="3"/>
        <v>0.27227316279712371</v>
      </c>
      <c r="AG17" s="4435">
        <f t="shared" si="3"/>
        <v>0.2531258111236166</v>
      </c>
      <c r="AH17" s="4435">
        <f t="shared" si="3"/>
        <v>0.30472198142310525</v>
      </c>
      <c r="AI17" s="4435">
        <f t="shared" si="3"/>
        <v>0.22826923517997966</v>
      </c>
      <c r="AJ17" s="4435">
        <f t="shared" si="3"/>
        <v>0.17855577911334869</v>
      </c>
      <c r="AK17" s="4434">
        <f t="shared" si="2"/>
        <v>32.213021638069165</v>
      </c>
      <c r="AL17" s="713"/>
    </row>
    <row r="18" spans="2:38" ht="18" customHeight="1" x14ac:dyDescent="0.2">
      <c r="B18" s="1371" t="s">
        <v>1483</v>
      </c>
      <c r="C18" s="1995"/>
      <c r="D18" s="1995"/>
      <c r="E18" s="4435">
        <v>5.329956551366039E-7</v>
      </c>
      <c r="F18" s="4435">
        <v>7.2957855859744104E-7</v>
      </c>
      <c r="G18" s="4435">
        <v>1.4128143447441426E-6</v>
      </c>
      <c r="H18" s="4435">
        <v>3.5019572999164302E-6</v>
      </c>
      <c r="I18" s="4435">
        <v>3.9371016007193637E-6</v>
      </c>
      <c r="J18" s="4435">
        <v>4.869435864353228E-6</v>
      </c>
      <c r="K18" s="4435">
        <v>8.5239745790063225E-6</v>
      </c>
      <c r="L18" s="4435">
        <v>1.4331691445815465E-5</v>
      </c>
      <c r="M18" s="4435">
        <v>1.8881593331029871E-5</v>
      </c>
      <c r="N18" s="4435">
        <v>1.9356941613281385E-5</v>
      </c>
      <c r="O18" s="4435">
        <v>1.9708395205607618E-5</v>
      </c>
      <c r="P18" s="4435">
        <v>1.6997205392465636E-5</v>
      </c>
      <c r="Q18" s="4435">
        <v>1.4653075432969966E-5</v>
      </c>
      <c r="R18" s="4435">
        <v>3.1792026882863641E-5</v>
      </c>
      <c r="S18" s="4435">
        <v>1.0085912030617021E-4</v>
      </c>
      <c r="T18" s="4435">
        <v>1.1288330491516995E-4</v>
      </c>
      <c r="U18" s="4435">
        <v>1.2579774697436016E-4</v>
      </c>
      <c r="V18" s="4435">
        <v>1.2741952051547868E-4</v>
      </c>
      <c r="W18" s="4435">
        <v>1.5507322621949082E-4</v>
      </c>
      <c r="X18" s="4435">
        <v>3.4002767032537785E-4</v>
      </c>
      <c r="Y18" s="4435">
        <v>4.5988490439254325E-4</v>
      </c>
      <c r="Z18" s="4435">
        <v>3.1277662797985807E-4</v>
      </c>
      <c r="AA18" s="4435">
        <v>3.5333623858198928E-4</v>
      </c>
      <c r="AB18" s="4435">
        <v>1.085977925640887E-3</v>
      </c>
      <c r="AC18" s="4435">
        <v>1.4676359872572309E-3</v>
      </c>
      <c r="AD18" s="4435">
        <v>1.2925263983728057E-3</v>
      </c>
      <c r="AE18" s="4435">
        <v>1.3498895622026015E-3</v>
      </c>
      <c r="AF18" s="4435">
        <v>1.5804250317938316E-3</v>
      </c>
      <c r="AG18" s="4435">
        <v>1.5778380369077659E-3</v>
      </c>
      <c r="AH18" s="4435">
        <v>1.327348684102706E-3</v>
      </c>
      <c r="AI18" s="4435">
        <v>2.0495385605331928E-3</v>
      </c>
      <c r="AJ18" s="4435">
        <v>1.9761010269859756E-3</v>
      </c>
      <c r="AK18" s="4434">
        <f>IF(AJ18="NO",IF(E18="NO","NA",-100),IF(E18="NO",100,AJ18/E18*100-100))</f>
        <v>370653.6840013286</v>
      </c>
      <c r="AL18" s="713"/>
    </row>
    <row r="19" spans="2:38" ht="18" customHeight="1" x14ac:dyDescent="0.2">
      <c r="B19" s="1415" t="s">
        <v>1484</v>
      </c>
      <c r="C19" s="1995"/>
      <c r="D19" s="1995"/>
      <c r="E19" s="4435">
        <v>0.13505105035151471</v>
      </c>
      <c r="F19" s="4435">
        <v>0.12493456246895908</v>
      </c>
      <c r="G19" s="4435">
        <v>0.12738781691824516</v>
      </c>
      <c r="H19" s="4435">
        <v>0.12034644573221004</v>
      </c>
      <c r="I19" s="4435">
        <v>0.11090245834806337</v>
      </c>
      <c r="J19" s="4435">
        <v>0.11589565993269939</v>
      </c>
      <c r="K19" s="4435">
        <v>0.1007187401614443</v>
      </c>
      <c r="L19" s="4435">
        <v>8.7355211963458634E-2</v>
      </c>
      <c r="M19" s="4435">
        <v>8.5804868475214902E-2</v>
      </c>
      <c r="N19" s="4435">
        <v>9.1886999609383277E-2</v>
      </c>
      <c r="O19" s="4435">
        <v>0.10435183225479386</v>
      </c>
      <c r="P19" s="4435">
        <v>0.10886335170496045</v>
      </c>
      <c r="Q19" s="4435">
        <v>9.8930170270122408E-2</v>
      </c>
      <c r="R19" s="4435">
        <v>8.3224550936443709E-2</v>
      </c>
      <c r="S19" s="4435">
        <v>8.2508188975625743E-2</v>
      </c>
      <c r="T19" s="4435">
        <v>7.8888302520163711E-2</v>
      </c>
      <c r="U19" s="4435">
        <v>8.1041295885702774E-2</v>
      </c>
      <c r="V19" s="4435">
        <v>9.0335781850456098E-2</v>
      </c>
      <c r="W19" s="4435">
        <v>9.1313591484796536E-2</v>
      </c>
      <c r="X19" s="4435">
        <v>9.7238890853944299E-2</v>
      </c>
      <c r="Y19" s="4435">
        <v>0.10452145168399357</v>
      </c>
      <c r="Z19" s="4435">
        <v>8.4534968504135471E-2</v>
      </c>
      <c r="AA19" s="4435">
        <v>0.11427181154932906</v>
      </c>
      <c r="AB19" s="4435">
        <v>0.119701910564657</v>
      </c>
      <c r="AC19" s="4435">
        <v>0.11699645386885826</v>
      </c>
      <c r="AD19" s="4435">
        <v>0.15925535289532261</v>
      </c>
      <c r="AE19" s="4435">
        <v>0.20415426918424809</v>
      </c>
      <c r="AF19" s="4435">
        <v>0.27069273776532987</v>
      </c>
      <c r="AG19" s="4435">
        <v>0.25154797308670884</v>
      </c>
      <c r="AH19" s="4435">
        <v>0.30339463273900252</v>
      </c>
      <c r="AI19" s="4435">
        <v>0.22621969661944646</v>
      </c>
      <c r="AJ19" s="4435">
        <v>0.17657967808636271</v>
      </c>
      <c r="AK19" s="4434">
        <f t="shared" si="2"/>
        <v>30.750318214302013</v>
      </c>
      <c r="AL19" s="713"/>
    </row>
    <row r="20" spans="2:38" ht="18" customHeight="1" thickBot="1" x14ac:dyDescent="0.25">
      <c r="B20" s="1416" t="s">
        <v>1485</v>
      </c>
      <c r="C20" s="354"/>
      <c r="D20" s="354"/>
      <c r="E20" s="4436"/>
      <c r="F20" s="4436"/>
      <c r="G20" s="4437"/>
      <c r="H20" s="4437"/>
      <c r="I20" s="4437"/>
      <c r="J20" s="4437"/>
      <c r="K20" s="4437"/>
      <c r="L20" s="4437"/>
      <c r="M20" s="4437"/>
      <c r="N20" s="4437"/>
      <c r="O20" s="4437"/>
      <c r="P20" s="4437"/>
      <c r="Q20" s="4437"/>
      <c r="R20" s="4437"/>
      <c r="S20" s="4437"/>
      <c r="T20" s="4437"/>
      <c r="U20" s="4437"/>
      <c r="V20" s="4437"/>
      <c r="W20" s="4437"/>
      <c r="X20" s="4437"/>
      <c r="Y20" s="4437"/>
      <c r="Z20" s="4437"/>
      <c r="AA20" s="4437"/>
      <c r="AB20" s="4437"/>
      <c r="AC20" s="4437"/>
      <c r="AD20" s="4437"/>
      <c r="AE20" s="4437"/>
      <c r="AF20" s="4437"/>
      <c r="AG20" s="4437"/>
      <c r="AH20" s="4437"/>
      <c r="AI20" s="4437"/>
      <c r="AJ20" s="4437"/>
      <c r="AK20" s="4438"/>
      <c r="AL20" s="713"/>
    </row>
    <row r="21" spans="2:38" ht="18" customHeight="1" x14ac:dyDescent="0.2">
      <c r="B21" s="770" t="s">
        <v>1486</v>
      </c>
      <c r="C21" s="1998"/>
      <c r="D21" s="1998"/>
      <c r="E21" s="4439">
        <f>SUM(E22:E29)</f>
        <v>3.4138016387751899</v>
      </c>
      <c r="F21" s="4439">
        <f t="shared" ref="F21:AJ21" si="4">SUM(F22:F29)</f>
        <v>2.8344205744859208</v>
      </c>
      <c r="G21" s="4439">
        <f t="shared" si="4"/>
        <v>3.7295673250438965</v>
      </c>
      <c r="H21" s="4439">
        <f t="shared" si="4"/>
        <v>4.7166222829485518</v>
      </c>
      <c r="I21" s="4439">
        <f t="shared" si="4"/>
        <v>4.6633770707240041</v>
      </c>
      <c r="J21" s="4439">
        <f t="shared" si="4"/>
        <v>4.6579253291241027</v>
      </c>
      <c r="K21" s="4439">
        <f t="shared" si="4"/>
        <v>5.2147619485321925</v>
      </c>
      <c r="L21" s="4439">
        <f t="shared" si="4"/>
        <v>5.3797144649726709</v>
      </c>
      <c r="M21" s="4439">
        <f t="shared" si="4"/>
        <v>5.7119542878577212</v>
      </c>
      <c r="N21" s="4439">
        <f t="shared" si="4"/>
        <v>5.5516658037421696</v>
      </c>
      <c r="O21" s="4439">
        <f t="shared" si="4"/>
        <v>5.8907951458894932</v>
      </c>
      <c r="P21" s="4439">
        <f t="shared" si="4"/>
        <v>7.0675909159558241</v>
      </c>
      <c r="Q21" s="4439">
        <f t="shared" si="4"/>
        <v>7.5041150510448231</v>
      </c>
      <c r="R21" s="4439">
        <f t="shared" si="4"/>
        <v>8.4441154890878991</v>
      </c>
      <c r="S21" s="4439">
        <f t="shared" si="4"/>
        <v>8.3566343406258721</v>
      </c>
      <c r="T21" s="4439">
        <f t="shared" si="4"/>
        <v>8.9995835280197927</v>
      </c>
      <c r="U21" s="4439">
        <f t="shared" si="4"/>
        <v>8.8797618051027403</v>
      </c>
      <c r="V21" s="4439">
        <f t="shared" si="4"/>
        <v>9.2731974041721443</v>
      </c>
      <c r="W21" s="4439">
        <f t="shared" si="4"/>
        <v>10.453995265722503</v>
      </c>
      <c r="X21" s="4439">
        <f t="shared" si="4"/>
        <v>10.119455349594618</v>
      </c>
      <c r="Y21" s="4439">
        <f t="shared" si="4"/>
        <v>10.586346782515909</v>
      </c>
      <c r="Z21" s="4439">
        <f t="shared" si="4"/>
        <v>8.6400040049653821</v>
      </c>
      <c r="AA21" s="4439">
        <f t="shared" si="4"/>
        <v>8.1442053829338708</v>
      </c>
      <c r="AB21" s="4439">
        <f t="shared" si="4"/>
        <v>4.9850658574730646</v>
      </c>
      <c r="AC21" s="4439">
        <f t="shared" si="4"/>
        <v>4.7415792911946166</v>
      </c>
      <c r="AD21" s="4439">
        <f t="shared" si="4"/>
        <v>5.2365326693917149</v>
      </c>
      <c r="AE21" s="4439">
        <f t="shared" si="4"/>
        <v>4.7944999637249897</v>
      </c>
      <c r="AF21" s="4439">
        <f t="shared" si="4"/>
        <v>5.1456793172513828</v>
      </c>
      <c r="AG21" s="4439">
        <f t="shared" si="4"/>
        <v>6.1606316530955461</v>
      </c>
      <c r="AH21" s="4439">
        <f t="shared" si="4"/>
        <v>7.5315206750354031</v>
      </c>
      <c r="AI21" s="4439">
        <f t="shared" si="4"/>
        <v>6.5867418416997365</v>
      </c>
      <c r="AJ21" s="4439">
        <f t="shared" si="4"/>
        <v>5.5593193492675903</v>
      </c>
      <c r="AK21" s="4440">
        <f t="shared" si="2"/>
        <v>62.848341453786787</v>
      </c>
      <c r="AL21" s="19"/>
    </row>
    <row r="22" spans="2:38" ht="18" customHeight="1" x14ac:dyDescent="0.2">
      <c r="B22" s="1133" t="s">
        <v>1487</v>
      </c>
      <c r="C22" s="354"/>
      <c r="D22" s="354"/>
      <c r="E22" s="4436"/>
      <c r="F22" s="4436"/>
      <c r="G22" s="4437"/>
      <c r="H22" s="4437"/>
      <c r="I22" s="4437"/>
      <c r="J22" s="4437"/>
      <c r="K22" s="4437"/>
      <c r="L22" s="4437"/>
      <c r="M22" s="4437"/>
      <c r="N22" s="4437"/>
      <c r="O22" s="4437"/>
      <c r="P22" s="4437"/>
      <c r="Q22" s="4437"/>
      <c r="R22" s="4437"/>
      <c r="S22" s="4437"/>
      <c r="T22" s="4437"/>
      <c r="U22" s="4437"/>
      <c r="V22" s="4437"/>
      <c r="W22" s="4437"/>
      <c r="X22" s="4437"/>
      <c r="Y22" s="4437"/>
      <c r="Z22" s="4437"/>
      <c r="AA22" s="4437"/>
      <c r="AB22" s="4437"/>
      <c r="AC22" s="4437"/>
      <c r="AD22" s="4437"/>
      <c r="AE22" s="4437"/>
      <c r="AF22" s="4437"/>
      <c r="AG22" s="4437"/>
      <c r="AH22" s="4437"/>
      <c r="AI22" s="4437"/>
      <c r="AJ22" s="4437"/>
      <c r="AK22" s="4438"/>
      <c r="AL22" s="19"/>
    </row>
    <row r="23" spans="2:38" ht="18" customHeight="1" x14ac:dyDescent="0.2">
      <c r="B23" s="1133" t="s">
        <v>621</v>
      </c>
      <c r="C23" s="1995"/>
      <c r="D23" s="1995"/>
      <c r="E23" s="4435">
        <v>3.33906306</v>
      </c>
      <c r="F23" s="4435">
        <v>2.7620996099999999</v>
      </c>
      <c r="G23" s="4435">
        <v>3.6530679819354845</v>
      </c>
      <c r="H23" s="4435">
        <v>4.6416531664516141</v>
      </c>
      <c r="I23" s="4435">
        <v>4.5799914764516121</v>
      </c>
      <c r="J23" s="4435">
        <v>4.5844841264516134</v>
      </c>
      <c r="K23" s="4435">
        <v>5.129786246451614</v>
      </c>
      <c r="L23" s="4435">
        <v>5.2946687564516139</v>
      </c>
      <c r="M23" s="4435">
        <v>5.6305063564516136</v>
      </c>
      <c r="N23" s="4435">
        <v>5.4660888764516145</v>
      </c>
      <c r="O23" s="4435">
        <v>5.8202428264516133</v>
      </c>
      <c r="P23" s="4435">
        <v>6.9890831464516125</v>
      </c>
      <c r="Q23" s="4435">
        <v>7.4275444967741944</v>
      </c>
      <c r="R23" s="4435">
        <v>8.3545076999999992</v>
      </c>
      <c r="S23" s="4435">
        <v>8.2630274299999993</v>
      </c>
      <c r="T23" s="4435">
        <v>8.9261825845359812</v>
      </c>
      <c r="U23" s="4435">
        <v>8.8043569476129075</v>
      </c>
      <c r="V23" s="4435">
        <v>9.1940933223425496</v>
      </c>
      <c r="W23" s="4435">
        <v>10.376143045827572</v>
      </c>
      <c r="X23" s="4435">
        <v>10.056942740141993</v>
      </c>
      <c r="Y23" s="4435">
        <v>10.515402041905819</v>
      </c>
      <c r="Z23" s="4435">
        <v>8.5573786003910044</v>
      </c>
      <c r="AA23" s="4435">
        <v>8.0798403411564426</v>
      </c>
      <c r="AB23" s="4435">
        <v>4.9338356261489773</v>
      </c>
      <c r="AC23" s="4435">
        <v>4.6936928492164975</v>
      </c>
      <c r="AD23" s="4435">
        <v>5.1857166552448222</v>
      </c>
      <c r="AE23" s="4435">
        <v>4.7422822444604087</v>
      </c>
      <c r="AF23" s="4435">
        <v>5.0896642594993722</v>
      </c>
      <c r="AG23" s="4435">
        <v>6.1034972207218603</v>
      </c>
      <c r="AH23" s="4435">
        <v>7.4754004933564833</v>
      </c>
      <c r="AI23" s="4435">
        <v>6.5334890447315539</v>
      </c>
      <c r="AJ23" s="4435">
        <v>5.5046915439456114</v>
      </c>
      <c r="AK23" s="4441">
        <f t="shared" si="2"/>
        <v>64.857370017612396</v>
      </c>
      <c r="AL23" s="19"/>
    </row>
    <row r="24" spans="2:38" ht="18" customHeight="1" x14ac:dyDescent="0.2">
      <c r="B24" s="1133" t="s">
        <v>459</v>
      </c>
      <c r="C24" s="1995"/>
      <c r="D24" s="1995"/>
      <c r="E24" s="4435">
        <v>7.4738578775190162E-2</v>
      </c>
      <c r="F24" s="4435">
        <v>7.2320964485920639E-2</v>
      </c>
      <c r="G24" s="4435">
        <v>7.6499343108412041E-2</v>
      </c>
      <c r="H24" s="4435">
        <v>7.4969116496937285E-2</v>
      </c>
      <c r="I24" s="4435">
        <v>8.3385594272391811E-2</v>
      </c>
      <c r="J24" s="4435">
        <v>7.3441202672488951E-2</v>
      </c>
      <c r="K24" s="4435">
        <v>8.4975702080578183E-2</v>
      </c>
      <c r="L24" s="4435">
        <v>8.5045708521057403E-2</v>
      </c>
      <c r="M24" s="4435">
        <v>8.1447931406107357E-2</v>
      </c>
      <c r="N24" s="4435">
        <v>8.5576927290555119E-2</v>
      </c>
      <c r="O24" s="4435">
        <v>7.0552319437879721E-2</v>
      </c>
      <c r="P24" s="4435">
        <v>7.8507769504211899E-2</v>
      </c>
      <c r="Q24" s="4435">
        <v>7.6570554270628893E-2</v>
      </c>
      <c r="R24" s="4435">
        <v>8.9607789087900527E-2</v>
      </c>
      <c r="S24" s="4435">
        <v>9.3606910625872897E-2</v>
      </c>
      <c r="T24" s="4435">
        <v>7.3400943483812195E-2</v>
      </c>
      <c r="U24" s="4435">
        <v>7.5404857489833013E-2</v>
      </c>
      <c r="V24" s="4435">
        <v>7.9104081829594983E-2</v>
      </c>
      <c r="W24" s="4435">
        <v>7.7852219894930172E-2</v>
      </c>
      <c r="X24" s="4435">
        <v>6.2512609452625476E-2</v>
      </c>
      <c r="Y24" s="4435">
        <v>7.0944740610090012E-2</v>
      </c>
      <c r="Z24" s="4435">
        <v>8.262540457437717E-2</v>
      </c>
      <c r="AA24" s="4435">
        <v>6.4365041777428578E-2</v>
      </c>
      <c r="AB24" s="4435">
        <v>5.1230231324087425E-2</v>
      </c>
      <c r="AC24" s="4435">
        <v>4.7886441978119261E-2</v>
      </c>
      <c r="AD24" s="4435">
        <v>5.0816014146892859E-2</v>
      </c>
      <c r="AE24" s="4435">
        <v>5.2217719264580575E-2</v>
      </c>
      <c r="AF24" s="4435">
        <v>5.6015057752010815E-2</v>
      </c>
      <c r="AG24" s="4435">
        <v>5.7134432373685706E-2</v>
      </c>
      <c r="AH24" s="4435">
        <v>5.6120181678920175E-2</v>
      </c>
      <c r="AI24" s="4435">
        <v>5.3252796968182643E-2</v>
      </c>
      <c r="AJ24" s="4435">
        <v>5.4627805321978577E-2</v>
      </c>
      <c r="AK24" s="4434">
        <f t="shared" si="2"/>
        <v>-26.908156112660052</v>
      </c>
      <c r="AL24" s="19"/>
    </row>
    <row r="25" spans="2:38" ht="18" customHeight="1" x14ac:dyDescent="0.2">
      <c r="B25" s="1133" t="s">
        <v>1488</v>
      </c>
      <c r="C25" s="1995"/>
      <c r="D25" s="1995"/>
      <c r="E25" s="4442" t="s">
        <v>2146</v>
      </c>
      <c r="F25" s="4442" t="s">
        <v>2146</v>
      </c>
      <c r="G25" s="4442" t="s">
        <v>2146</v>
      </c>
      <c r="H25" s="4442" t="s">
        <v>2146</v>
      </c>
      <c r="I25" s="4442" t="s">
        <v>2146</v>
      </c>
      <c r="J25" s="4442" t="s">
        <v>2146</v>
      </c>
      <c r="K25" s="4442" t="s">
        <v>2146</v>
      </c>
      <c r="L25" s="4442" t="s">
        <v>2146</v>
      </c>
      <c r="M25" s="4442" t="s">
        <v>2146</v>
      </c>
      <c r="N25" s="4442" t="s">
        <v>2146</v>
      </c>
      <c r="O25" s="4442" t="s">
        <v>2146</v>
      </c>
      <c r="P25" s="4442" t="s">
        <v>2146</v>
      </c>
      <c r="Q25" s="4442" t="s">
        <v>2146</v>
      </c>
      <c r="R25" s="4442" t="s">
        <v>2146</v>
      </c>
      <c r="S25" s="4442" t="s">
        <v>2146</v>
      </c>
      <c r="T25" s="4442" t="s">
        <v>2146</v>
      </c>
      <c r="U25" s="4442" t="s">
        <v>2146</v>
      </c>
      <c r="V25" s="4442" t="s">
        <v>2146</v>
      </c>
      <c r="W25" s="4442" t="s">
        <v>2146</v>
      </c>
      <c r="X25" s="4442" t="s">
        <v>2146</v>
      </c>
      <c r="Y25" s="4442" t="s">
        <v>2146</v>
      </c>
      <c r="Z25" s="4442" t="s">
        <v>2146</v>
      </c>
      <c r="AA25" s="4442" t="s">
        <v>2146</v>
      </c>
      <c r="AB25" s="4442" t="s">
        <v>2146</v>
      </c>
      <c r="AC25" s="4442" t="s">
        <v>2146</v>
      </c>
      <c r="AD25" s="4442" t="s">
        <v>2146</v>
      </c>
      <c r="AE25" s="4442" t="s">
        <v>2146</v>
      </c>
      <c r="AF25" s="4442" t="s">
        <v>2146</v>
      </c>
      <c r="AG25" s="4442" t="s">
        <v>2146</v>
      </c>
      <c r="AH25" s="4442" t="s">
        <v>2146</v>
      </c>
      <c r="AI25" s="4442" t="s">
        <v>2146</v>
      </c>
      <c r="AJ25" s="4442" t="s">
        <v>2146</v>
      </c>
      <c r="AK25" s="4443" t="str">
        <f t="shared" si="2"/>
        <v>NA</v>
      </c>
      <c r="AL25" s="19"/>
    </row>
    <row r="26" spans="2:38" ht="18" customHeight="1" x14ac:dyDescent="0.2">
      <c r="B26" s="1133" t="s">
        <v>1489</v>
      </c>
      <c r="C26" s="1995"/>
      <c r="D26" s="1995"/>
      <c r="E26" s="4442" t="s">
        <v>2146</v>
      </c>
      <c r="F26" s="4442" t="s">
        <v>2146</v>
      </c>
      <c r="G26" s="4444" t="s">
        <v>2146</v>
      </c>
      <c r="H26" s="4444" t="s">
        <v>2146</v>
      </c>
      <c r="I26" s="4444" t="s">
        <v>2146</v>
      </c>
      <c r="J26" s="4444" t="s">
        <v>2146</v>
      </c>
      <c r="K26" s="4444" t="s">
        <v>2146</v>
      </c>
      <c r="L26" s="4444" t="s">
        <v>2146</v>
      </c>
      <c r="M26" s="4444" t="s">
        <v>2146</v>
      </c>
      <c r="N26" s="4444" t="s">
        <v>2146</v>
      </c>
      <c r="O26" s="4444" t="s">
        <v>2146</v>
      </c>
      <c r="P26" s="4444" t="s">
        <v>2146</v>
      </c>
      <c r="Q26" s="4444" t="s">
        <v>2146</v>
      </c>
      <c r="R26" s="4444" t="s">
        <v>2146</v>
      </c>
      <c r="S26" s="4444" t="s">
        <v>2146</v>
      </c>
      <c r="T26" s="4444" t="s">
        <v>2146</v>
      </c>
      <c r="U26" s="4444" t="s">
        <v>2146</v>
      </c>
      <c r="V26" s="4444" t="s">
        <v>2146</v>
      </c>
      <c r="W26" s="4444" t="s">
        <v>2146</v>
      </c>
      <c r="X26" s="4444" t="s">
        <v>2146</v>
      </c>
      <c r="Y26" s="4444" t="s">
        <v>2146</v>
      </c>
      <c r="Z26" s="4444" t="s">
        <v>2146</v>
      </c>
      <c r="AA26" s="4444" t="s">
        <v>2146</v>
      </c>
      <c r="AB26" s="4444" t="s">
        <v>2146</v>
      </c>
      <c r="AC26" s="4444" t="s">
        <v>2146</v>
      </c>
      <c r="AD26" s="4444" t="s">
        <v>2146</v>
      </c>
      <c r="AE26" s="4444" t="s">
        <v>2146</v>
      </c>
      <c r="AF26" s="4444" t="s">
        <v>2146</v>
      </c>
      <c r="AG26" s="4444" t="s">
        <v>2146</v>
      </c>
      <c r="AH26" s="4444" t="s">
        <v>2146</v>
      </c>
      <c r="AI26" s="4444" t="s">
        <v>2146</v>
      </c>
      <c r="AJ26" s="4444" t="s">
        <v>2146</v>
      </c>
      <c r="AK26" s="4443" t="str">
        <f t="shared" si="2"/>
        <v>NA</v>
      </c>
      <c r="AL26" s="19"/>
    </row>
    <row r="27" spans="2:38" ht="18" customHeight="1" x14ac:dyDescent="0.2">
      <c r="B27" s="1133" t="s">
        <v>1490</v>
      </c>
      <c r="C27" s="348"/>
      <c r="D27" s="348"/>
      <c r="E27" s="4445"/>
      <c r="F27" s="4445"/>
      <c r="G27" s="4446"/>
      <c r="H27" s="4446"/>
      <c r="I27" s="4446"/>
      <c r="J27" s="4446"/>
      <c r="K27" s="4446"/>
      <c r="L27" s="4446"/>
      <c r="M27" s="4446"/>
      <c r="N27" s="4446"/>
      <c r="O27" s="4446"/>
      <c r="P27" s="4446"/>
      <c r="Q27" s="4446"/>
      <c r="R27" s="4446"/>
      <c r="S27" s="4446"/>
      <c r="T27" s="4446"/>
      <c r="U27" s="4446"/>
      <c r="V27" s="4446"/>
      <c r="W27" s="4446"/>
      <c r="X27" s="4446"/>
      <c r="Y27" s="4446"/>
      <c r="Z27" s="4446"/>
      <c r="AA27" s="4446"/>
      <c r="AB27" s="4446"/>
      <c r="AC27" s="4446"/>
      <c r="AD27" s="4446"/>
      <c r="AE27" s="4446"/>
      <c r="AF27" s="4446"/>
      <c r="AG27" s="4446"/>
      <c r="AH27" s="4446"/>
      <c r="AI27" s="4446"/>
      <c r="AJ27" s="4446"/>
      <c r="AK27" s="4447"/>
      <c r="AL27" s="19"/>
    </row>
    <row r="28" spans="2:38" ht="18" customHeight="1" x14ac:dyDescent="0.2">
      <c r="B28" s="1133" t="s">
        <v>480</v>
      </c>
      <c r="C28" s="1995"/>
      <c r="D28" s="1995"/>
      <c r="E28" s="4442" t="s">
        <v>2153</v>
      </c>
      <c r="F28" s="4442" t="s">
        <v>2153</v>
      </c>
      <c r="G28" s="4442" t="s">
        <v>2153</v>
      </c>
      <c r="H28" s="4442" t="s">
        <v>2153</v>
      </c>
      <c r="I28" s="4442" t="s">
        <v>2153</v>
      </c>
      <c r="J28" s="4442" t="s">
        <v>2153</v>
      </c>
      <c r="K28" s="4442" t="s">
        <v>2153</v>
      </c>
      <c r="L28" s="4442" t="s">
        <v>2153</v>
      </c>
      <c r="M28" s="4442" t="s">
        <v>2153</v>
      </c>
      <c r="N28" s="4442" t="s">
        <v>2153</v>
      </c>
      <c r="O28" s="4442" t="s">
        <v>2153</v>
      </c>
      <c r="P28" s="4442" t="s">
        <v>2153</v>
      </c>
      <c r="Q28" s="4442" t="s">
        <v>2153</v>
      </c>
      <c r="R28" s="4442" t="s">
        <v>2153</v>
      </c>
      <c r="S28" s="4442" t="s">
        <v>2153</v>
      </c>
      <c r="T28" s="4442" t="s">
        <v>2153</v>
      </c>
      <c r="U28" s="4442" t="s">
        <v>2153</v>
      </c>
      <c r="V28" s="4442" t="s">
        <v>2153</v>
      </c>
      <c r="W28" s="4442" t="s">
        <v>2153</v>
      </c>
      <c r="X28" s="4442" t="s">
        <v>2153</v>
      </c>
      <c r="Y28" s="4442" t="s">
        <v>2153</v>
      </c>
      <c r="Z28" s="4442" t="s">
        <v>2153</v>
      </c>
      <c r="AA28" s="4442" t="s">
        <v>2153</v>
      </c>
      <c r="AB28" s="4442" t="s">
        <v>2153</v>
      </c>
      <c r="AC28" s="4442" t="s">
        <v>2153</v>
      </c>
      <c r="AD28" s="4442" t="s">
        <v>2153</v>
      </c>
      <c r="AE28" s="4442" t="s">
        <v>2153</v>
      </c>
      <c r="AF28" s="4442" t="s">
        <v>2153</v>
      </c>
      <c r="AG28" s="4442" t="s">
        <v>2153</v>
      </c>
      <c r="AH28" s="4442" t="s">
        <v>2153</v>
      </c>
      <c r="AI28" s="4442" t="s">
        <v>2153</v>
      </c>
      <c r="AJ28" s="4442" t="s">
        <v>2153</v>
      </c>
      <c r="AK28" s="4443" t="s">
        <v>2147</v>
      </c>
      <c r="AL28" s="19"/>
    </row>
    <row r="29" spans="2:38" ht="18" customHeight="1" thickBot="1" x14ac:dyDescent="0.25">
      <c r="B29" s="1375" t="s">
        <v>1715</v>
      </c>
      <c r="C29" s="2013"/>
      <c r="D29" s="2013"/>
      <c r="E29" s="4448" t="s">
        <v>2146</v>
      </c>
      <c r="F29" s="4448" t="s">
        <v>2146</v>
      </c>
      <c r="G29" s="4449" t="s">
        <v>2146</v>
      </c>
      <c r="H29" s="4449" t="s">
        <v>2146</v>
      </c>
      <c r="I29" s="4449" t="s">
        <v>2146</v>
      </c>
      <c r="J29" s="4449" t="s">
        <v>2146</v>
      </c>
      <c r="K29" s="4449" t="s">
        <v>2146</v>
      </c>
      <c r="L29" s="4449" t="s">
        <v>2146</v>
      </c>
      <c r="M29" s="4449" t="s">
        <v>2146</v>
      </c>
      <c r="N29" s="4449" t="s">
        <v>2146</v>
      </c>
      <c r="O29" s="4449" t="s">
        <v>2146</v>
      </c>
      <c r="P29" s="4449" t="s">
        <v>2146</v>
      </c>
      <c r="Q29" s="4449" t="s">
        <v>2146</v>
      </c>
      <c r="R29" s="4449" t="s">
        <v>2146</v>
      </c>
      <c r="S29" s="4449" t="s">
        <v>2146</v>
      </c>
      <c r="T29" s="4449" t="s">
        <v>2146</v>
      </c>
      <c r="U29" s="4449" t="s">
        <v>2146</v>
      </c>
      <c r="V29" s="4449" t="s">
        <v>2146</v>
      </c>
      <c r="W29" s="4449" t="s">
        <v>2146</v>
      </c>
      <c r="X29" s="4449" t="s">
        <v>2146</v>
      </c>
      <c r="Y29" s="4449" t="s">
        <v>2146</v>
      </c>
      <c r="Z29" s="4449" t="s">
        <v>2146</v>
      </c>
      <c r="AA29" s="4449" t="s">
        <v>2146</v>
      </c>
      <c r="AB29" s="4449" t="s">
        <v>2146</v>
      </c>
      <c r="AC29" s="4449" t="s">
        <v>2146</v>
      </c>
      <c r="AD29" s="4449" t="s">
        <v>2146</v>
      </c>
      <c r="AE29" s="4449" t="s">
        <v>2146</v>
      </c>
      <c r="AF29" s="4449" t="s">
        <v>2146</v>
      </c>
      <c r="AG29" s="4449" t="s">
        <v>2146</v>
      </c>
      <c r="AH29" s="4449" t="s">
        <v>2146</v>
      </c>
      <c r="AI29" s="4449" t="s">
        <v>2146</v>
      </c>
      <c r="AJ29" s="4449" t="s">
        <v>2146</v>
      </c>
      <c r="AK29" s="4450" t="str">
        <f t="shared" si="2"/>
        <v>NA</v>
      </c>
      <c r="AL29" s="19"/>
    </row>
    <row r="30" spans="2:38" ht="18" customHeight="1" x14ac:dyDescent="0.2">
      <c r="B30" s="765" t="s">
        <v>1491</v>
      </c>
      <c r="C30" s="1998"/>
      <c r="D30" s="1998"/>
      <c r="E30" s="4439">
        <f>SUM(E31:E40)</f>
        <v>42.929199844169077</v>
      </c>
      <c r="F30" s="4439">
        <f t="shared" ref="F30:AJ30" si="5">SUM(F31:F40)</f>
        <v>42.017615631318712</v>
      </c>
      <c r="G30" s="4439">
        <f t="shared" si="5"/>
        <v>40.315632942925866</v>
      </c>
      <c r="H30" s="4439">
        <f t="shared" si="5"/>
        <v>40.382609202706547</v>
      </c>
      <c r="I30" s="4439">
        <f t="shared" si="5"/>
        <v>41.559447105110578</v>
      </c>
      <c r="J30" s="4439">
        <f t="shared" si="5"/>
        <v>38.335436661842564</v>
      </c>
      <c r="K30" s="4439">
        <f t="shared" si="5"/>
        <v>41.663391236812956</v>
      </c>
      <c r="L30" s="4439">
        <f t="shared" si="5"/>
        <v>43.673659626670215</v>
      </c>
      <c r="M30" s="4439">
        <f t="shared" si="5"/>
        <v>42.920260706467431</v>
      </c>
      <c r="N30" s="4439">
        <f t="shared" si="5"/>
        <v>44.258586676092172</v>
      </c>
      <c r="O30" s="4439">
        <f t="shared" si="5"/>
        <v>46.664991387392156</v>
      </c>
      <c r="P30" s="4439">
        <f t="shared" si="5"/>
        <v>46.06599907335255</v>
      </c>
      <c r="Q30" s="4439">
        <f t="shared" si="5"/>
        <v>46.553284740067404</v>
      </c>
      <c r="R30" s="4439">
        <f t="shared" si="5"/>
        <v>40.83004815006403</v>
      </c>
      <c r="S30" s="4439">
        <f t="shared" si="5"/>
        <v>46.16080833168958</v>
      </c>
      <c r="T30" s="4439">
        <f t="shared" si="5"/>
        <v>45.632562258458002</v>
      </c>
      <c r="U30" s="4439">
        <f t="shared" si="5"/>
        <v>45.528596387212012</v>
      </c>
      <c r="V30" s="4439">
        <f t="shared" si="5"/>
        <v>39.646160078923188</v>
      </c>
      <c r="W30" s="4439">
        <f t="shared" si="5"/>
        <v>39.445000995473158</v>
      </c>
      <c r="X30" s="4439">
        <f t="shared" si="5"/>
        <v>41.385076096598176</v>
      </c>
      <c r="Y30" s="4439">
        <f t="shared" si="5"/>
        <v>40.649304481768304</v>
      </c>
      <c r="Z30" s="4439">
        <f t="shared" si="5"/>
        <v>44.780989980916559</v>
      </c>
      <c r="AA30" s="4439">
        <f t="shared" si="5"/>
        <v>46.328036828827699</v>
      </c>
      <c r="AB30" s="4439">
        <f t="shared" si="5"/>
        <v>45.640764870818195</v>
      </c>
      <c r="AC30" s="4439">
        <f t="shared" si="5"/>
        <v>47.618047150109263</v>
      </c>
      <c r="AD30" s="4439">
        <f t="shared" si="5"/>
        <v>45.696315514849573</v>
      </c>
      <c r="AE30" s="4439">
        <f t="shared" si="5"/>
        <v>46.098036793869383</v>
      </c>
      <c r="AF30" s="4439">
        <f t="shared" si="5"/>
        <v>51.455684754938439</v>
      </c>
      <c r="AG30" s="4439">
        <f t="shared" si="5"/>
        <v>47.212350807632909</v>
      </c>
      <c r="AH30" s="4439">
        <f t="shared" si="5"/>
        <v>44.225457917240895</v>
      </c>
      <c r="AI30" s="4439">
        <f t="shared" si="5"/>
        <v>43.800575094302815</v>
      </c>
      <c r="AJ30" s="4439">
        <f t="shared" si="5"/>
        <v>51.784878674305745</v>
      </c>
      <c r="AK30" s="4451">
        <f t="shared" si="2"/>
        <v>20.628567181038449</v>
      </c>
      <c r="AL30" s="713"/>
    </row>
    <row r="31" spans="2:38" ht="18" customHeight="1" x14ac:dyDescent="0.2">
      <c r="B31" s="1135" t="s">
        <v>1492</v>
      </c>
      <c r="C31" s="348"/>
      <c r="D31" s="348"/>
      <c r="E31" s="4452"/>
      <c r="F31" s="4452"/>
      <c r="G31" s="4453"/>
      <c r="H31" s="4453"/>
      <c r="I31" s="4453"/>
      <c r="J31" s="4453"/>
      <c r="K31" s="4453"/>
      <c r="L31" s="4453"/>
      <c r="M31" s="4453"/>
      <c r="N31" s="4453"/>
      <c r="O31" s="4453"/>
      <c r="P31" s="4453"/>
      <c r="Q31" s="4453"/>
      <c r="R31" s="4453"/>
      <c r="S31" s="4453"/>
      <c r="T31" s="4453"/>
      <c r="U31" s="4453"/>
      <c r="V31" s="4453"/>
      <c r="W31" s="4453"/>
      <c r="X31" s="4453"/>
      <c r="Y31" s="4453"/>
      <c r="Z31" s="4453"/>
      <c r="AA31" s="4453"/>
      <c r="AB31" s="4453"/>
      <c r="AC31" s="4453"/>
      <c r="AD31" s="4453"/>
      <c r="AE31" s="4453"/>
      <c r="AF31" s="4453"/>
      <c r="AG31" s="4453"/>
      <c r="AH31" s="4453"/>
      <c r="AI31" s="4453"/>
      <c r="AJ31" s="4453"/>
      <c r="AK31" s="4454"/>
      <c r="AL31" s="713"/>
    </row>
    <row r="32" spans="2:38" ht="18" customHeight="1" x14ac:dyDescent="0.2">
      <c r="B32" s="1135" t="s">
        <v>1493</v>
      </c>
      <c r="C32" s="1995"/>
      <c r="D32" s="1995"/>
      <c r="E32" s="4435">
        <v>0.76816438643373797</v>
      </c>
      <c r="F32" s="4435">
        <v>0.77861845864059653</v>
      </c>
      <c r="G32" s="4435">
        <v>0.81145672043367267</v>
      </c>
      <c r="H32" s="4435">
        <v>0.83367464720933981</v>
      </c>
      <c r="I32" s="4435">
        <v>0.88904978659560019</v>
      </c>
      <c r="J32" s="4435">
        <v>0.9623384755779818</v>
      </c>
      <c r="K32" s="4435">
        <v>0.95622890457958354</v>
      </c>
      <c r="L32" s="4435">
        <v>0.94800546248963469</v>
      </c>
      <c r="M32" s="4435">
        <v>1.0305680559504724</v>
      </c>
      <c r="N32" s="4435">
        <v>1.0916567131806578</v>
      </c>
      <c r="O32" s="4435">
        <v>1.33582540977275</v>
      </c>
      <c r="P32" s="4435">
        <v>1.4544423673366769</v>
      </c>
      <c r="Q32" s="4435">
        <v>1.5273295226789434</v>
      </c>
      <c r="R32" s="4435">
        <v>1.5087567734699698</v>
      </c>
      <c r="S32" s="4435">
        <v>1.4839846739407445</v>
      </c>
      <c r="T32" s="4435">
        <v>1.6959018415521276</v>
      </c>
      <c r="U32" s="4435">
        <v>1.7609107565195992</v>
      </c>
      <c r="V32" s="4435">
        <v>1.7792742428177359</v>
      </c>
      <c r="W32" s="4435">
        <v>1.5211139747914264</v>
      </c>
      <c r="X32" s="4435">
        <v>1.5348619854931387</v>
      </c>
      <c r="Y32" s="4435">
        <v>1.5337195038126648</v>
      </c>
      <c r="Z32" s="4435">
        <v>1.6395019828870174</v>
      </c>
      <c r="AA32" s="4435">
        <v>1.6308244784434525</v>
      </c>
      <c r="AB32" s="4435">
        <v>1.6533637047673528</v>
      </c>
      <c r="AC32" s="4435">
        <v>1.7033373433807624</v>
      </c>
      <c r="AD32" s="4435">
        <v>1.8558823680409184</v>
      </c>
      <c r="AE32" s="4435">
        <v>1.8801364660716184</v>
      </c>
      <c r="AF32" s="4435">
        <v>1.9128108498363421</v>
      </c>
      <c r="AG32" s="4435">
        <v>1.9871377753914135</v>
      </c>
      <c r="AH32" s="4435">
        <v>2.0509321935399125</v>
      </c>
      <c r="AI32" s="4435">
        <v>2.0626601784741583</v>
      </c>
      <c r="AJ32" s="4435">
        <v>2.0742185194530158</v>
      </c>
      <c r="AK32" s="4443">
        <f t="shared" si="2"/>
        <v>170.02273941424625</v>
      </c>
      <c r="AL32" s="713"/>
    </row>
    <row r="33" spans="2:38" ht="18" customHeight="1" x14ac:dyDescent="0.2">
      <c r="B33" s="1135" t="s">
        <v>1494</v>
      </c>
      <c r="C33" s="348"/>
      <c r="D33" s="348"/>
      <c r="E33" s="4452"/>
      <c r="F33" s="4452"/>
      <c r="G33" s="4453"/>
      <c r="H33" s="4453"/>
      <c r="I33" s="4453"/>
      <c r="J33" s="4453"/>
      <c r="K33" s="4453"/>
      <c r="L33" s="4453"/>
      <c r="M33" s="4453"/>
      <c r="N33" s="4453"/>
      <c r="O33" s="4453"/>
      <c r="P33" s="4453"/>
      <c r="Q33" s="4453"/>
      <c r="R33" s="4453"/>
      <c r="S33" s="4453"/>
      <c r="T33" s="4453"/>
      <c r="U33" s="4453"/>
      <c r="V33" s="4453"/>
      <c r="W33" s="4453"/>
      <c r="X33" s="4453"/>
      <c r="Y33" s="4453"/>
      <c r="Z33" s="4453"/>
      <c r="AA33" s="4453"/>
      <c r="AB33" s="4453"/>
      <c r="AC33" s="4453"/>
      <c r="AD33" s="4453"/>
      <c r="AE33" s="4453"/>
      <c r="AF33" s="4453"/>
      <c r="AG33" s="4453"/>
      <c r="AH33" s="4453"/>
      <c r="AI33" s="4453"/>
      <c r="AJ33" s="4453"/>
      <c r="AK33" s="4454"/>
      <c r="AL33" s="713"/>
    </row>
    <row r="34" spans="2:38" ht="18" customHeight="1" x14ac:dyDescent="0.2">
      <c r="B34" s="1135" t="s">
        <v>1495</v>
      </c>
      <c r="C34" s="1995"/>
      <c r="D34" s="1995"/>
      <c r="E34" s="4435">
        <v>41.694921519213935</v>
      </c>
      <c r="F34" s="4435">
        <v>40.778721491556013</v>
      </c>
      <c r="G34" s="4435">
        <v>39.066836968095018</v>
      </c>
      <c r="H34" s="4435">
        <v>39.030090399235284</v>
      </c>
      <c r="I34" s="4435">
        <v>40.073222357586253</v>
      </c>
      <c r="J34" s="4435">
        <v>37.031251459494982</v>
      </c>
      <c r="K34" s="4435">
        <v>40.175448325090194</v>
      </c>
      <c r="L34" s="4435">
        <v>42.081850914369213</v>
      </c>
      <c r="M34" s="4435">
        <v>41.306933347262174</v>
      </c>
      <c r="N34" s="4435">
        <v>42.526309902217427</v>
      </c>
      <c r="O34" s="4435">
        <v>44.760203001595386</v>
      </c>
      <c r="P34" s="4435">
        <v>44.039196199818264</v>
      </c>
      <c r="Q34" s="4435">
        <v>44.434930491408089</v>
      </c>
      <c r="R34" s="4435">
        <v>39.049203534277815</v>
      </c>
      <c r="S34" s="4435">
        <v>44.108820102634994</v>
      </c>
      <c r="T34" s="4435">
        <v>43.565350378084027</v>
      </c>
      <c r="U34" s="4435">
        <v>43.293181003418454</v>
      </c>
      <c r="V34" s="4435">
        <v>37.66727190666419</v>
      </c>
      <c r="W34" s="4435">
        <v>37.660859111517247</v>
      </c>
      <c r="X34" s="4435">
        <v>39.526117877627456</v>
      </c>
      <c r="Y34" s="4435">
        <v>38.834286232943846</v>
      </c>
      <c r="Z34" s="4435">
        <v>42.725442830402386</v>
      </c>
      <c r="AA34" s="4435">
        <v>44.272713191755024</v>
      </c>
      <c r="AB34" s="4435">
        <v>43.581492714535628</v>
      </c>
      <c r="AC34" s="4435">
        <v>45.542590434300735</v>
      </c>
      <c r="AD34" s="4435">
        <v>43.485800138412749</v>
      </c>
      <c r="AE34" s="4435">
        <v>43.898827677116408</v>
      </c>
      <c r="AF34" s="4435">
        <v>49.013161092039972</v>
      </c>
      <c r="AG34" s="4435">
        <v>44.856052845818496</v>
      </c>
      <c r="AH34" s="4435">
        <v>41.947431092932661</v>
      </c>
      <c r="AI34" s="4435">
        <v>41.497126858763508</v>
      </c>
      <c r="AJ34" s="4435">
        <v>49.198060666125514</v>
      </c>
      <c r="AK34" s="4443">
        <f t="shared" si="2"/>
        <v>17.995331022397949</v>
      </c>
      <c r="AL34" s="713"/>
    </row>
    <row r="35" spans="2:38" ht="18" customHeight="1" x14ac:dyDescent="0.2">
      <c r="B35" s="1135" t="s">
        <v>1496</v>
      </c>
      <c r="C35" s="1995"/>
      <c r="D35" s="1995"/>
      <c r="E35" s="4442" t="s">
        <v>2147</v>
      </c>
      <c r="F35" s="4442" t="s">
        <v>2147</v>
      </c>
      <c r="G35" s="4442" t="s">
        <v>2147</v>
      </c>
      <c r="H35" s="4442" t="s">
        <v>2147</v>
      </c>
      <c r="I35" s="4442" t="s">
        <v>2147</v>
      </c>
      <c r="J35" s="4442" t="s">
        <v>2147</v>
      </c>
      <c r="K35" s="4442" t="s">
        <v>2147</v>
      </c>
      <c r="L35" s="4442" t="s">
        <v>2147</v>
      </c>
      <c r="M35" s="4442" t="s">
        <v>2147</v>
      </c>
      <c r="N35" s="4442" t="s">
        <v>2147</v>
      </c>
      <c r="O35" s="4442" t="s">
        <v>2147</v>
      </c>
      <c r="P35" s="4442" t="s">
        <v>2147</v>
      </c>
      <c r="Q35" s="4442" t="s">
        <v>2147</v>
      </c>
      <c r="R35" s="4442" t="s">
        <v>2147</v>
      </c>
      <c r="S35" s="4442" t="s">
        <v>2147</v>
      </c>
      <c r="T35" s="4442" t="s">
        <v>2147</v>
      </c>
      <c r="U35" s="4442" t="s">
        <v>2147</v>
      </c>
      <c r="V35" s="4442" t="s">
        <v>2147</v>
      </c>
      <c r="W35" s="4442" t="s">
        <v>2147</v>
      </c>
      <c r="X35" s="4442" t="s">
        <v>2147</v>
      </c>
      <c r="Y35" s="4442" t="s">
        <v>2147</v>
      </c>
      <c r="Z35" s="4442" t="s">
        <v>2147</v>
      </c>
      <c r="AA35" s="4442" t="s">
        <v>2147</v>
      </c>
      <c r="AB35" s="4442" t="s">
        <v>2147</v>
      </c>
      <c r="AC35" s="4442" t="s">
        <v>2147</v>
      </c>
      <c r="AD35" s="4442" t="s">
        <v>2147</v>
      </c>
      <c r="AE35" s="4442" t="s">
        <v>2147</v>
      </c>
      <c r="AF35" s="4442" t="s">
        <v>2147</v>
      </c>
      <c r="AG35" s="4442" t="s">
        <v>2147</v>
      </c>
      <c r="AH35" s="4442" t="s">
        <v>2147</v>
      </c>
      <c r="AI35" s="4442" t="s">
        <v>2147</v>
      </c>
      <c r="AJ35" s="4442" t="s">
        <v>2147</v>
      </c>
      <c r="AK35" s="4443" t="s">
        <v>2147</v>
      </c>
      <c r="AL35" s="713"/>
    </row>
    <row r="36" spans="2:38" ht="18" customHeight="1" x14ac:dyDescent="0.2">
      <c r="B36" s="1135" t="s">
        <v>1497</v>
      </c>
      <c r="C36" s="1995"/>
      <c r="D36" s="1995"/>
      <c r="E36" s="4435">
        <v>0.4661139385214037</v>
      </c>
      <c r="F36" s="4435">
        <v>0.46027568112210543</v>
      </c>
      <c r="G36" s="4435">
        <v>0.43733925439717408</v>
      </c>
      <c r="H36" s="4435">
        <v>0.51884415626192171</v>
      </c>
      <c r="I36" s="4435">
        <v>0.59717496092872757</v>
      </c>
      <c r="J36" s="4435">
        <v>0.34184672676960454</v>
      </c>
      <c r="K36" s="4435">
        <v>0.53171400714317996</v>
      </c>
      <c r="L36" s="4435">
        <v>0.6438032498113726</v>
      </c>
      <c r="M36" s="4435">
        <v>0.58275930325478098</v>
      </c>
      <c r="N36" s="4435">
        <v>0.6406200606940875</v>
      </c>
      <c r="O36" s="4435">
        <v>0.56896297602401846</v>
      </c>
      <c r="P36" s="4435">
        <v>0.57236050619761281</v>
      </c>
      <c r="Q36" s="4435">
        <v>0.59102472598037292</v>
      </c>
      <c r="R36" s="4435">
        <v>0.27208784231624822</v>
      </c>
      <c r="S36" s="4435">
        <v>0.56800355511383671</v>
      </c>
      <c r="T36" s="4435">
        <v>0.37131003882184332</v>
      </c>
      <c r="U36" s="4435">
        <v>0.47450462727395798</v>
      </c>
      <c r="V36" s="4435">
        <v>0.19961392944126016</v>
      </c>
      <c r="W36" s="4435">
        <v>0.26302790916448576</v>
      </c>
      <c r="X36" s="4435">
        <v>0.32409623347758237</v>
      </c>
      <c r="Y36" s="4435">
        <v>0.28129874501179614</v>
      </c>
      <c r="Z36" s="4435">
        <v>0.41604516762715543</v>
      </c>
      <c r="AA36" s="4435">
        <v>0.42449915862922627</v>
      </c>
      <c r="AB36" s="4435">
        <v>0.40590845151521499</v>
      </c>
      <c r="AC36" s="4435">
        <v>0.37211937242776477</v>
      </c>
      <c r="AD36" s="4435">
        <v>0.35463300839590872</v>
      </c>
      <c r="AE36" s="4435">
        <v>0.31907265068135793</v>
      </c>
      <c r="AF36" s="4435">
        <v>0.52971281306212881</v>
      </c>
      <c r="AG36" s="4435">
        <v>0.36916018642300474</v>
      </c>
      <c r="AH36" s="4435">
        <v>0.22709463076832143</v>
      </c>
      <c r="AI36" s="4435">
        <v>0.24078805706514347</v>
      </c>
      <c r="AJ36" s="4435">
        <v>0.51259948872721606</v>
      </c>
      <c r="AK36" s="4443">
        <f t="shared" si="2"/>
        <v>9.9730015268955015</v>
      </c>
      <c r="AL36" s="713"/>
    </row>
    <row r="37" spans="2:38" ht="18" customHeight="1" x14ac:dyDescent="0.2">
      <c r="B37" s="1136" t="s">
        <v>721</v>
      </c>
      <c r="C37" s="354"/>
      <c r="D37" s="354"/>
      <c r="E37" s="4436"/>
      <c r="F37" s="4436"/>
      <c r="G37" s="4437"/>
      <c r="H37" s="4437"/>
      <c r="I37" s="4437"/>
      <c r="J37" s="4437"/>
      <c r="K37" s="4437"/>
      <c r="L37" s="4437"/>
      <c r="M37" s="4437"/>
      <c r="N37" s="4437"/>
      <c r="O37" s="4437"/>
      <c r="P37" s="4437"/>
      <c r="Q37" s="4437"/>
      <c r="R37" s="4437"/>
      <c r="S37" s="4437"/>
      <c r="T37" s="4437"/>
      <c r="U37" s="4437"/>
      <c r="V37" s="4437"/>
      <c r="W37" s="4437"/>
      <c r="X37" s="4437"/>
      <c r="Y37" s="4437"/>
      <c r="Z37" s="4437"/>
      <c r="AA37" s="4437"/>
      <c r="AB37" s="4437"/>
      <c r="AC37" s="4437"/>
      <c r="AD37" s="4437"/>
      <c r="AE37" s="4437"/>
      <c r="AF37" s="4437"/>
      <c r="AG37" s="4437"/>
      <c r="AH37" s="4437"/>
      <c r="AI37" s="4437"/>
      <c r="AJ37" s="4437"/>
      <c r="AK37" s="4438"/>
      <c r="AL37" s="713"/>
    </row>
    <row r="38" spans="2:38" ht="18" customHeight="1" x14ac:dyDescent="0.2">
      <c r="B38" s="1136" t="s">
        <v>722</v>
      </c>
      <c r="C38" s="354"/>
      <c r="D38" s="354"/>
      <c r="E38" s="4436"/>
      <c r="F38" s="4436"/>
      <c r="G38" s="4437"/>
      <c r="H38" s="4437"/>
      <c r="I38" s="4437"/>
      <c r="J38" s="4437"/>
      <c r="K38" s="4437"/>
      <c r="L38" s="4437"/>
      <c r="M38" s="4437"/>
      <c r="N38" s="4437"/>
      <c r="O38" s="4437"/>
      <c r="P38" s="4437"/>
      <c r="Q38" s="4437"/>
      <c r="R38" s="4437"/>
      <c r="S38" s="4437"/>
      <c r="T38" s="4437"/>
      <c r="U38" s="4437"/>
      <c r="V38" s="4437"/>
      <c r="W38" s="4437"/>
      <c r="X38" s="4437"/>
      <c r="Y38" s="4437"/>
      <c r="Z38" s="4437"/>
      <c r="AA38" s="4437"/>
      <c r="AB38" s="4437"/>
      <c r="AC38" s="4437"/>
      <c r="AD38" s="4437"/>
      <c r="AE38" s="4437"/>
      <c r="AF38" s="4437"/>
      <c r="AG38" s="4437"/>
      <c r="AH38" s="4437"/>
      <c r="AI38" s="4437"/>
      <c r="AJ38" s="4437"/>
      <c r="AK38" s="4438"/>
      <c r="AL38" s="713"/>
    </row>
    <row r="39" spans="2:38" ht="18" customHeight="1" x14ac:dyDescent="0.2">
      <c r="B39" s="1136" t="s">
        <v>1498</v>
      </c>
      <c r="C39" s="354"/>
      <c r="D39" s="354"/>
      <c r="E39" s="4436"/>
      <c r="F39" s="4436"/>
      <c r="G39" s="4437"/>
      <c r="H39" s="4437"/>
      <c r="I39" s="4437"/>
      <c r="J39" s="4437"/>
      <c r="K39" s="4437"/>
      <c r="L39" s="4437"/>
      <c r="M39" s="4437"/>
      <c r="N39" s="4437"/>
      <c r="O39" s="4437"/>
      <c r="P39" s="4437"/>
      <c r="Q39" s="4437"/>
      <c r="R39" s="4437"/>
      <c r="S39" s="4437"/>
      <c r="T39" s="4437"/>
      <c r="U39" s="4437"/>
      <c r="V39" s="4437"/>
      <c r="W39" s="4437"/>
      <c r="X39" s="4437"/>
      <c r="Y39" s="4437"/>
      <c r="Z39" s="4437"/>
      <c r="AA39" s="4437"/>
      <c r="AB39" s="4437"/>
      <c r="AC39" s="4437"/>
      <c r="AD39" s="4437"/>
      <c r="AE39" s="4437"/>
      <c r="AF39" s="4437"/>
      <c r="AG39" s="4437"/>
      <c r="AH39" s="4437"/>
      <c r="AI39" s="4437"/>
      <c r="AJ39" s="4437"/>
      <c r="AK39" s="4454"/>
      <c r="AL39" s="713"/>
    </row>
    <row r="40" spans="2:38" ht="18" customHeight="1" thickBot="1" x14ac:dyDescent="0.25">
      <c r="B40" s="1376" t="s">
        <v>1499</v>
      </c>
      <c r="C40" s="2013"/>
      <c r="D40" s="2013"/>
      <c r="E40" s="4448" t="s">
        <v>2146</v>
      </c>
      <c r="F40" s="4448" t="s">
        <v>2146</v>
      </c>
      <c r="G40" s="4449" t="s">
        <v>2146</v>
      </c>
      <c r="H40" s="4449" t="s">
        <v>2146</v>
      </c>
      <c r="I40" s="4449" t="s">
        <v>2146</v>
      </c>
      <c r="J40" s="4449" t="s">
        <v>2146</v>
      </c>
      <c r="K40" s="4449" t="s">
        <v>2146</v>
      </c>
      <c r="L40" s="4449" t="s">
        <v>2146</v>
      </c>
      <c r="M40" s="4449" t="s">
        <v>2146</v>
      </c>
      <c r="N40" s="4449" t="s">
        <v>2146</v>
      </c>
      <c r="O40" s="4449" t="s">
        <v>2146</v>
      </c>
      <c r="P40" s="4449" t="s">
        <v>2146</v>
      </c>
      <c r="Q40" s="4449" t="s">
        <v>2146</v>
      </c>
      <c r="R40" s="4449" t="s">
        <v>2146</v>
      </c>
      <c r="S40" s="4449" t="s">
        <v>2146</v>
      </c>
      <c r="T40" s="4449" t="s">
        <v>2146</v>
      </c>
      <c r="U40" s="4449" t="s">
        <v>2146</v>
      </c>
      <c r="V40" s="4449" t="s">
        <v>2146</v>
      </c>
      <c r="W40" s="4449" t="s">
        <v>2146</v>
      </c>
      <c r="X40" s="4449" t="s">
        <v>2146</v>
      </c>
      <c r="Y40" s="4449" t="s">
        <v>2146</v>
      </c>
      <c r="Z40" s="4449" t="s">
        <v>2146</v>
      </c>
      <c r="AA40" s="4449" t="s">
        <v>2146</v>
      </c>
      <c r="AB40" s="4449" t="s">
        <v>2146</v>
      </c>
      <c r="AC40" s="4449" t="s">
        <v>2146</v>
      </c>
      <c r="AD40" s="4449" t="s">
        <v>2146</v>
      </c>
      <c r="AE40" s="4449" t="s">
        <v>2146</v>
      </c>
      <c r="AF40" s="4449" t="s">
        <v>2146</v>
      </c>
      <c r="AG40" s="4449" t="s">
        <v>2146</v>
      </c>
      <c r="AH40" s="4449" t="s">
        <v>2146</v>
      </c>
      <c r="AI40" s="4449" t="s">
        <v>2146</v>
      </c>
      <c r="AJ40" s="4449" t="s">
        <v>2146</v>
      </c>
      <c r="AK40" s="4450" t="str">
        <f t="shared" si="2"/>
        <v>NA</v>
      </c>
      <c r="AL40" s="713"/>
    </row>
    <row r="41" spans="2:38" ht="18" customHeight="1" x14ac:dyDescent="0.2">
      <c r="B41" s="765" t="s">
        <v>1716</v>
      </c>
      <c r="C41" s="1998"/>
      <c r="D41" s="1998"/>
      <c r="E41" s="4439">
        <f>SUM(E42:E49)</f>
        <v>16.158841561002379</v>
      </c>
      <c r="F41" s="4439">
        <f t="shared" ref="F41:AJ41" si="6">SUM(F42:F49)</f>
        <v>15.335132593743484</v>
      </c>
      <c r="G41" s="4439">
        <f t="shared" si="6"/>
        <v>14.065730973393464</v>
      </c>
      <c r="H41" s="4439">
        <f t="shared" si="6"/>
        <v>13.5013417039307</v>
      </c>
      <c r="I41" s="4439">
        <f t="shared" si="6"/>
        <v>13.638106323262715</v>
      </c>
      <c r="J41" s="4439">
        <f t="shared" si="6"/>
        <v>13.607801100295523</v>
      </c>
      <c r="K41" s="4439">
        <f t="shared" si="6"/>
        <v>14.717784290078102</v>
      </c>
      <c r="L41" s="4439">
        <f t="shared" si="6"/>
        <v>14.427435612922892</v>
      </c>
      <c r="M41" s="4439">
        <f t="shared" si="6"/>
        <v>14.429027769262129</v>
      </c>
      <c r="N41" s="4439">
        <f t="shared" si="6"/>
        <v>16.099685221292003</v>
      </c>
      <c r="O41" s="4439">
        <f t="shared" si="6"/>
        <v>17.105157905604958</v>
      </c>
      <c r="P41" s="4439">
        <f t="shared" si="6"/>
        <v>16.602642474097376</v>
      </c>
      <c r="Q41" s="4439">
        <f t="shared" si="6"/>
        <v>16.768273043612378</v>
      </c>
      <c r="R41" s="4439">
        <f t="shared" si="6"/>
        <v>17.873206876176024</v>
      </c>
      <c r="S41" s="4439">
        <f t="shared" si="6"/>
        <v>15.721579448202601</v>
      </c>
      <c r="T41" s="4439">
        <f t="shared" si="6"/>
        <v>16.532130619893771</v>
      </c>
      <c r="U41" s="4439">
        <f t="shared" si="6"/>
        <v>17.289384986216152</v>
      </c>
      <c r="V41" s="4439">
        <f t="shared" si="6"/>
        <v>17.82315043188391</v>
      </c>
      <c r="W41" s="4439">
        <f t="shared" si="6"/>
        <v>17.439517599166955</v>
      </c>
      <c r="X41" s="4439">
        <f t="shared" si="6"/>
        <v>18.020612939584147</v>
      </c>
      <c r="Y41" s="4439">
        <f t="shared" si="6"/>
        <v>18.941080441607792</v>
      </c>
      <c r="Z41" s="4439">
        <f t="shared" si="6"/>
        <v>19.456037540209682</v>
      </c>
      <c r="AA41" s="4439">
        <f t="shared" si="6"/>
        <v>18.53843499245647</v>
      </c>
      <c r="AB41" s="4439">
        <f t="shared" si="6"/>
        <v>17.494503567835622</v>
      </c>
      <c r="AC41" s="4439">
        <f t="shared" si="6"/>
        <v>17.388728346654723</v>
      </c>
      <c r="AD41" s="4439">
        <f t="shared" si="6"/>
        <v>15.972342718531682</v>
      </c>
      <c r="AE41" s="4439">
        <f t="shared" si="6"/>
        <v>14.544315766922185</v>
      </c>
      <c r="AF41" s="4439">
        <f t="shared" si="6"/>
        <v>14.515598738390139</v>
      </c>
      <c r="AG41" s="4439">
        <f t="shared" si="6"/>
        <v>12.970667459593111</v>
      </c>
      <c r="AH41" s="4439">
        <f t="shared" si="6"/>
        <v>12.329513783830532</v>
      </c>
      <c r="AI41" s="4439">
        <f t="shared" si="6"/>
        <v>12.278701752689837</v>
      </c>
      <c r="AJ41" s="4439">
        <f t="shared" si="6"/>
        <v>11.675809542745004</v>
      </c>
      <c r="AK41" s="4451">
        <f t="shared" si="2"/>
        <v>-27.743523577065631</v>
      </c>
      <c r="AL41" s="713"/>
    </row>
    <row r="42" spans="2:38" ht="18" customHeight="1" x14ac:dyDescent="0.2">
      <c r="B42" s="1135" t="s">
        <v>981</v>
      </c>
      <c r="C42" s="1995"/>
      <c r="D42" s="1995"/>
      <c r="E42" s="4435">
        <v>4.5564987128722088</v>
      </c>
      <c r="F42" s="4435">
        <v>4.8611115768679802</v>
      </c>
      <c r="G42" s="4435">
        <v>4.9733235005788545</v>
      </c>
      <c r="H42" s="4435">
        <v>4.8253703705396553</v>
      </c>
      <c r="I42" s="4435">
        <v>4.6361842258305899</v>
      </c>
      <c r="J42" s="4435">
        <v>4.531344016077635</v>
      </c>
      <c r="K42" s="4435">
        <v>4.5362976040779452</v>
      </c>
      <c r="L42" s="4435">
        <v>4.1757944701376717</v>
      </c>
      <c r="M42" s="4435">
        <v>4.1288590284281446</v>
      </c>
      <c r="N42" s="4435">
        <v>4.4446220989247172</v>
      </c>
      <c r="O42" s="4435">
        <v>4.7640524513046492</v>
      </c>
      <c r="P42" s="4435">
        <v>4.5479830526331337</v>
      </c>
      <c r="Q42" s="4435">
        <v>4.7650262664799561</v>
      </c>
      <c r="R42" s="4435">
        <v>4.8539087263538798</v>
      </c>
      <c r="S42" s="4435">
        <v>4.563587363109959</v>
      </c>
      <c r="T42" s="4435">
        <v>4.5280226489477027</v>
      </c>
      <c r="U42" s="4435">
        <v>4.7588687531444736</v>
      </c>
      <c r="V42" s="4435">
        <v>4.9450298453544974</v>
      </c>
      <c r="W42" s="4435">
        <v>5.5451387617763155</v>
      </c>
      <c r="X42" s="4435">
        <v>5.8001507472247242</v>
      </c>
      <c r="Y42" s="4435">
        <v>6.4809922444469352</v>
      </c>
      <c r="Z42" s="4435">
        <v>7.0292544585440329</v>
      </c>
      <c r="AA42" s="4435">
        <v>6.4022581602565234</v>
      </c>
      <c r="AB42" s="4435">
        <v>6.1762583551851442</v>
      </c>
      <c r="AC42" s="4435">
        <v>5.9163748894072414</v>
      </c>
      <c r="AD42" s="4435">
        <v>5.6320858774824663</v>
      </c>
      <c r="AE42" s="4435">
        <v>5.1549411564902936</v>
      </c>
      <c r="AF42" s="4435">
        <v>5.08187048011842</v>
      </c>
      <c r="AG42" s="4435">
        <v>4.4896358264906508</v>
      </c>
      <c r="AH42" s="4435">
        <v>4.4779210689633286</v>
      </c>
      <c r="AI42" s="4435">
        <v>4.2453602807586828</v>
      </c>
      <c r="AJ42" s="4435">
        <v>4.0685652367060792</v>
      </c>
      <c r="AK42" s="4443">
        <f t="shared" si="2"/>
        <v>-10.708517809688104</v>
      </c>
      <c r="AL42" s="713"/>
    </row>
    <row r="43" spans="2:38" ht="18" customHeight="1" x14ac:dyDescent="0.2">
      <c r="B43" s="1135" t="s">
        <v>984</v>
      </c>
      <c r="C43" s="1995"/>
      <c r="D43" s="1995"/>
      <c r="E43" s="4435">
        <v>0.56256655724854354</v>
      </c>
      <c r="F43" s="4435">
        <v>0.51126953224202798</v>
      </c>
      <c r="G43" s="4435">
        <v>0.34728920466759539</v>
      </c>
      <c r="H43" s="4435">
        <v>0.27148900020503253</v>
      </c>
      <c r="I43" s="4435">
        <v>0.23155930639150762</v>
      </c>
      <c r="J43" s="4435">
        <v>0.25520864831611695</v>
      </c>
      <c r="K43" s="4435">
        <v>0.21628050868962251</v>
      </c>
      <c r="L43" s="4435">
        <v>0.21998643827670733</v>
      </c>
      <c r="M43" s="4435">
        <v>0.23407454048426529</v>
      </c>
      <c r="N43" s="4435">
        <v>0.23714124362800956</v>
      </c>
      <c r="O43" s="4435">
        <v>0.17494225886210718</v>
      </c>
      <c r="P43" s="4435">
        <v>0.18710331874141861</v>
      </c>
      <c r="Q43" s="4435">
        <v>0.19250837028800041</v>
      </c>
      <c r="R43" s="4435">
        <v>0.20391587266921507</v>
      </c>
      <c r="S43" s="4435">
        <v>0.16303286912344206</v>
      </c>
      <c r="T43" s="4435">
        <v>0.23370915903268344</v>
      </c>
      <c r="U43" s="4435">
        <v>0.13524441726366035</v>
      </c>
      <c r="V43" s="4435">
        <v>0.20992904669944568</v>
      </c>
      <c r="W43" s="4435">
        <v>0.15753790487858593</v>
      </c>
      <c r="X43" s="4435">
        <v>0.14814045161818612</v>
      </c>
      <c r="Y43" s="4435">
        <v>0.17767911098095826</v>
      </c>
      <c r="Z43" s="4435">
        <v>0.16647354520966731</v>
      </c>
      <c r="AA43" s="4435">
        <v>0.1184342643430861</v>
      </c>
      <c r="AB43" s="4435">
        <v>0.15521001285450314</v>
      </c>
      <c r="AC43" s="4435">
        <v>0.14216134906321654</v>
      </c>
      <c r="AD43" s="4435">
        <v>0.10987448312544423</v>
      </c>
      <c r="AE43" s="4435">
        <v>0.1527644847598269</v>
      </c>
      <c r="AF43" s="4435">
        <v>5.7492564946878419E-2</v>
      </c>
      <c r="AG43" s="4435">
        <v>7.7234494380934438E-2</v>
      </c>
      <c r="AH43" s="4435">
        <v>9.2457917625437924E-2</v>
      </c>
      <c r="AI43" s="4435">
        <v>9.610091329523307E-2</v>
      </c>
      <c r="AJ43" s="4435">
        <v>0.11510606232598503</v>
      </c>
      <c r="AK43" s="4443">
        <f t="shared" si="2"/>
        <v>-79.539121043924609</v>
      </c>
      <c r="AL43" s="713"/>
    </row>
    <row r="44" spans="2:38" ht="18" customHeight="1" x14ac:dyDescent="0.2">
      <c r="B44" s="1135" t="s">
        <v>1717</v>
      </c>
      <c r="C44" s="1995"/>
      <c r="D44" s="1995"/>
      <c r="E44" s="4435">
        <v>10.622257691750297</v>
      </c>
      <c r="F44" s="4435">
        <v>9.57240800224392</v>
      </c>
      <c r="G44" s="4435">
        <v>8.3647743180925715</v>
      </c>
      <c r="H44" s="4435">
        <v>8.0441497449864023</v>
      </c>
      <c r="I44" s="4435">
        <v>8.4307847621007745</v>
      </c>
      <c r="J44" s="4435">
        <v>8.5114766360509755</v>
      </c>
      <c r="K44" s="4435">
        <v>9.5779709463662321</v>
      </c>
      <c r="L44" s="4435">
        <v>9.6084416321108517</v>
      </c>
      <c r="M44" s="4435">
        <v>9.6251852531349407</v>
      </c>
      <c r="N44" s="4435">
        <v>10.924468425358237</v>
      </c>
      <c r="O44" s="4435">
        <v>11.622411308111847</v>
      </c>
      <c r="P44" s="4435">
        <v>11.377073870658498</v>
      </c>
      <c r="Q44" s="4435">
        <v>11.29404283536058</v>
      </c>
      <c r="R44" s="4435">
        <v>12.286622495808034</v>
      </c>
      <c r="S44" s="4435">
        <v>10.507537199883716</v>
      </c>
      <c r="T44" s="4435">
        <v>11.260733068521617</v>
      </c>
      <c r="U44" s="4435">
        <v>11.842644006660519</v>
      </c>
      <c r="V44" s="4435">
        <v>12.11728189237113</v>
      </c>
      <c r="W44" s="4435">
        <v>11.155017322234478</v>
      </c>
      <c r="X44" s="4435">
        <v>11.462288683163896</v>
      </c>
      <c r="Y44" s="4435">
        <v>11.676561444354059</v>
      </c>
      <c r="Z44" s="4435">
        <v>11.627427453047156</v>
      </c>
      <c r="AA44" s="4435">
        <v>11.410514164762851</v>
      </c>
      <c r="AB44" s="4435">
        <v>10.573672709782256</v>
      </c>
      <c r="AC44" s="4435">
        <v>10.755586189108108</v>
      </c>
      <c r="AD44" s="4435">
        <v>9.6422613694427657</v>
      </c>
      <c r="AE44" s="4435">
        <v>8.6750238985645254</v>
      </c>
      <c r="AF44" s="4435">
        <v>8.8219186290114475</v>
      </c>
      <c r="AG44" s="4435">
        <v>7.8781397149614172</v>
      </c>
      <c r="AH44" s="4435">
        <v>7.2390851908034985</v>
      </c>
      <c r="AI44" s="4435">
        <v>7.4147472803391521</v>
      </c>
      <c r="AJ44" s="4435">
        <v>6.9689710181786486</v>
      </c>
      <c r="AK44" s="4443">
        <f t="shared" si="2"/>
        <v>-34.392751330152237</v>
      </c>
      <c r="AL44" s="713"/>
    </row>
    <row r="45" spans="2:38" ht="18" customHeight="1" x14ac:dyDescent="0.2">
      <c r="B45" s="1135" t="s">
        <v>1525</v>
      </c>
      <c r="C45" s="1995"/>
      <c r="D45" s="1995"/>
      <c r="E45" s="4435">
        <v>0.25716816698448591</v>
      </c>
      <c r="F45" s="4435">
        <v>0.24933026672966452</v>
      </c>
      <c r="G45" s="4435">
        <v>0.23163920607718327</v>
      </c>
      <c r="H45" s="4435">
        <v>0.22902240286985903</v>
      </c>
      <c r="I45" s="4435">
        <v>0.19293400835230148</v>
      </c>
      <c r="J45" s="4435">
        <v>0.18433889691286789</v>
      </c>
      <c r="K45" s="4435">
        <v>0.25898418625954311</v>
      </c>
      <c r="L45" s="4435">
        <v>0.29465863159628103</v>
      </c>
      <c r="M45" s="4435">
        <v>0.30845295559243241</v>
      </c>
      <c r="N45" s="4435">
        <v>0.33938700527281829</v>
      </c>
      <c r="O45" s="4435">
        <v>0.38237543546207542</v>
      </c>
      <c r="P45" s="4435">
        <v>0.33108748856043096</v>
      </c>
      <c r="Q45" s="4435">
        <v>0.35398587456775088</v>
      </c>
      <c r="R45" s="4435">
        <v>0.35972259591801381</v>
      </c>
      <c r="S45" s="4435">
        <v>0.30323428600378544</v>
      </c>
      <c r="T45" s="4435">
        <v>0.31028479213423604</v>
      </c>
      <c r="U45" s="4435">
        <v>0.34193934540547777</v>
      </c>
      <c r="V45" s="4435">
        <v>0.33803494271444195</v>
      </c>
      <c r="W45" s="4435">
        <v>0.35874025369277646</v>
      </c>
      <c r="X45" s="4435">
        <v>0.39522643228248899</v>
      </c>
      <c r="Y45" s="4435">
        <v>0.37992872291407942</v>
      </c>
      <c r="Z45" s="4435">
        <v>0.38388102919579276</v>
      </c>
      <c r="AA45" s="4435">
        <v>0.36492752773778342</v>
      </c>
      <c r="AB45" s="4435">
        <v>0.3753915894976646</v>
      </c>
      <c r="AC45" s="4435">
        <v>0.36277340217249221</v>
      </c>
      <c r="AD45" s="4435">
        <v>0.35234476278596094</v>
      </c>
      <c r="AE45" s="4435">
        <v>0.31412217494954964</v>
      </c>
      <c r="AF45" s="4435">
        <v>0.31498351433597283</v>
      </c>
      <c r="AG45" s="4435">
        <v>0.2741344942480905</v>
      </c>
      <c r="AH45" s="4435">
        <v>0.28754175304370511</v>
      </c>
      <c r="AI45" s="4435">
        <v>0.25261268023934924</v>
      </c>
      <c r="AJ45" s="4435">
        <v>0.25193637902854277</v>
      </c>
      <c r="AK45" s="4443">
        <f t="shared" si="2"/>
        <v>-2.0343839664489991</v>
      </c>
      <c r="AL45" s="713"/>
    </row>
    <row r="46" spans="2:38" ht="18" customHeight="1" x14ac:dyDescent="0.2">
      <c r="B46" s="1135" t="s">
        <v>992</v>
      </c>
      <c r="C46" s="1995"/>
      <c r="D46" s="1995"/>
      <c r="E46" s="4435">
        <v>0.1475923807182756</v>
      </c>
      <c r="F46" s="4435">
        <v>0.12497535708846486</v>
      </c>
      <c r="G46" s="4435">
        <v>0.12058072969154436</v>
      </c>
      <c r="H46" s="4435">
        <v>9.9553153901180261E-2</v>
      </c>
      <c r="I46" s="4435">
        <v>0.1051989434446851</v>
      </c>
      <c r="J46" s="4435">
        <v>9.1346810080783714E-2</v>
      </c>
      <c r="K46" s="4435">
        <v>9.1387074684759165E-2</v>
      </c>
      <c r="L46" s="4435">
        <v>9.1764830801381383E-2</v>
      </c>
      <c r="M46" s="4435">
        <v>8.8989915908059394E-2</v>
      </c>
      <c r="N46" s="4435">
        <v>0.10035728239393597</v>
      </c>
      <c r="O46" s="4435">
        <v>9.6829594999993135E-2</v>
      </c>
      <c r="P46" s="4435">
        <v>8.6515803492469304E-2</v>
      </c>
      <c r="Q46" s="4435">
        <v>8.2051072951802972E-2</v>
      </c>
      <c r="R46" s="4435">
        <v>9.386952428687928E-2</v>
      </c>
      <c r="S46" s="4435">
        <v>0.10057413797884034</v>
      </c>
      <c r="T46" s="4435">
        <v>0.12089166875324349</v>
      </c>
      <c r="U46" s="4435">
        <v>0.11617100008916365</v>
      </c>
      <c r="V46" s="4435">
        <v>0.10928771560620945</v>
      </c>
      <c r="W46" s="4435">
        <v>0.11231950074338193</v>
      </c>
      <c r="X46" s="4435">
        <v>9.3216906580797843E-2</v>
      </c>
      <c r="Y46" s="4435">
        <v>9.8030806978341128E-2</v>
      </c>
      <c r="Z46" s="4435">
        <v>0.11365646211374719</v>
      </c>
      <c r="AA46" s="4435">
        <v>8.3668072865101362E-2</v>
      </c>
      <c r="AB46" s="4435">
        <v>6.0562156104684579E-2</v>
      </c>
      <c r="AC46" s="4435">
        <v>6.1507895850934045E-2</v>
      </c>
      <c r="AD46" s="4435">
        <v>6.0271916490330264E-2</v>
      </c>
      <c r="AE46" s="4435">
        <v>5.2575269293704825E-2</v>
      </c>
      <c r="AF46" s="4435">
        <v>5.4394915893134638E-2</v>
      </c>
      <c r="AG46" s="4435">
        <v>4.0960516634874954E-2</v>
      </c>
      <c r="AH46" s="4435">
        <v>3.4920054823134886E-2</v>
      </c>
      <c r="AI46" s="4435">
        <v>4.2453193771706421E-2</v>
      </c>
      <c r="AJ46" s="4435">
        <v>4.3803442220034357E-2</v>
      </c>
      <c r="AK46" s="4443">
        <f t="shared" si="2"/>
        <v>-70.321339078033859</v>
      </c>
      <c r="AL46" s="713"/>
    </row>
    <row r="47" spans="2:38" ht="18" customHeight="1" x14ac:dyDescent="0.2">
      <c r="B47" s="1135" t="s">
        <v>1527</v>
      </c>
      <c r="C47" s="1995"/>
      <c r="D47" s="1995"/>
      <c r="E47" s="4442" t="s">
        <v>2146</v>
      </c>
      <c r="F47" s="4442" t="s">
        <v>2146</v>
      </c>
      <c r="G47" s="4442" t="s">
        <v>2146</v>
      </c>
      <c r="H47" s="4442" t="s">
        <v>2146</v>
      </c>
      <c r="I47" s="4442" t="s">
        <v>2146</v>
      </c>
      <c r="J47" s="4442" t="s">
        <v>2146</v>
      </c>
      <c r="K47" s="4442" t="s">
        <v>2146</v>
      </c>
      <c r="L47" s="4442" t="s">
        <v>2146</v>
      </c>
      <c r="M47" s="4442" t="s">
        <v>2146</v>
      </c>
      <c r="N47" s="4442" t="s">
        <v>2146</v>
      </c>
      <c r="O47" s="4442" t="s">
        <v>2146</v>
      </c>
      <c r="P47" s="4442" t="s">
        <v>2146</v>
      </c>
      <c r="Q47" s="4442" t="s">
        <v>2146</v>
      </c>
      <c r="R47" s="4442" t="s">
        <v>2146</v>
      </c>
      <c r="S47" s="4442" t="s">
        <v>2146</v>
      </c>
      <c r="T47" s="4442" t="s">
        <v>2146</v>
      </c>
      <c r="U47" s="4442" t="s">
        <v>2146</v>
      </c>
      <c r="V47" s="4442" t="s">
        <v>2146</v>
      </c>
      <c r="W47" s="4442" t="s">
        <v>2146</v>
      </c>
      <c r="X47" s="4442" t="s">
        <v>2146</v>
      </c>
      <c r="Y47" s="4442" t="s">
        <v>2146</v>
      </c>
      <c r="Z47" s="4442" t="s">
        <v>2146</v>
      </c>
      <c r="AA47" s="4442" t="s">
        <v>2146</v>
      </c>
      <c r="AB47" s="4442" t="s">
        <v>2146</v>
      </c>
      <c r="AC47" s="4442" t="s">
        <v>2146</v>
      </c>
      <c r="AD47" s="4442" t="s">
        <v>2146</v>
      </c>
      <c r="AE47" s="4442" t="s">
        <v>2146</v>
      </c>
      <c r="AF47" s="4442" t="s">
        <v>2146</v>
      </c>
      <c r="AG47" s="4442" t="s">
        <v>2146</v>
      </c>
      <c r="AH47" s="4442" t="s">
        <v>2146</v>
      </c>
      <c r="AI47" s="4442" t="s">
        <v>2146</v>
      </c>
      <c r="AJ47" s="4442" t="s">
        <v>2146</v>
      </c>
      <c r="AK47" s="4443" t="str">
        <f t="shared" si="2"/>
        <v>NA</v>
      </c>
      <c r="AL47" s="713"/>
    </row>
    <row r="48" spans="2:38" ht="18" customHeight="1" x14ac:dyDescent="0.2">
      <c r="B48" s="1135" t="s">
        <v>1528</v>
      </c>
      <c r="C48" s="354"/>
      <c r="D48" s="354"/>
      <c r="E48" s="4436"/>
      <c r="F48" s="4436"/>
      <c r="G48" s="4436"/>
      <c r="H48" s="4436"/>
      <c r="I48" s="4436"/>
      <c r="J48" s="4436"/>
      <c r="K48" s="4436"/>
      <c r="L48" s="4436"/>
      <c r="M48" s="4436"/>
      <c r="N48" s="4436"/>
      <c r="O48" s="4436"/>
      <c r="P48" s="4436"/>
      <c r="Q48" s="4436"/>
      <c r="R48" s="4436"/>
      <c r="S48" s="4436"/>
      <c r="T48" s="4436"/>
      <c r="U48" s="4436"/>
      <c r="V48" s="4436"/>
      <c r="W48" s="4436"/>
      <c r="X48" s="4436"/>
      <c r="Y48" s="4436"/>
      <c r="Z48" s="4436"/>
      <c r="AA48" s="4436"/>
      <c r="AB48" s="4436"/>
      <c r="AC48" s="4436"/>
      <c r="AD48" s="4436"/>
      <c r="AE48" s="4436"/>
      <c r="AF48" s="4436"/>
      <c r="AG48" s="4436"/>
      <c r="AH48" s="4436"/>
      <c r="AI48" s="4436"/>
      <c r="AJ48" s="4436"/>
      <c r="AK48" s="4454"/>
      <c r="AL48" s="713"/>
    </row>
    <row r="49" spans="2:38" ht="18" customHeight="1" thickBot="1" x14ac:dyDescent="0.25">
      <c r="B49" s="1376" t="s">
        <v>1718</v>
      </c>
      <c r="C49" s="2013"/>
      <c r="D49" s="2013"/>
      <c r="E49" s="4455">
        <v>1.2758051428571431E-2</v>
      </c>
      <c r="F49" s="4455">
        <v>1.6037858571428573E-2</v>
      </c>
      <c r="G49" s="4455">
        <v>2.8124014285714288E-2</v>
      </c>
      <c r="H49" s="4455">
        <v>3.1757031428571433E-2</v>
      </c>
      <c r="I49" s="4455">
        <v>4.144507714285714E-2</v>
      </c>
      <c r="J49" s="4455">
        <v>3.4086092857142862E-2</v>
      </c>
      <c r="K49" s="4455">
        <v>3.6863970000000003E-2</v>
      </c>
      <c r="L49" s="4455">
        <v>3.6789610000000007E-2</v>
      </c>
      <c r="M49" s="4455">
        <v>4.3466075714285714E-2</v>
      </c>
      <c r="N49" s="4455">
        <v>5.3709165714285717E-2</v>
      </c>
      <c r="O49" s="4455">
        <v>6.4546856864285712E-2</v>
      </c>
      <c r="P49" s="4455">
        <v>7.287894001142857E-2</v>
      </c>
      <c r="Q49" s="4455">
        <v>8.0658623964285719E-2</v>
      </c>
      <c r="R49" s="4455">
        <v>7.5167661140000008E-2</v>
      </c>
      <c r="S49" s="4455">
        <v>8.3613592102857154E-2</v>
      </c>
      <c r="T49" s="4455">
        <v>7.8489282504285732E-2</v>
      </c>
      <c r="U49" s="4455">
        <v>9.4517463652857153E-2</v>
      </c>
      <c r="V49" s="4455">
        <v>0.1035869891381873</v>
      </c>
      <c r="W49" s="4455">
        <v>0.11076385584141431</v>
      </c>
      <c r="X49" s="4455">
        <v>0.12158971871405545</v>
      </c>
      <c r="Y49" s="4455">
        <v>0.12788811193341856</v>
      </c>
      <c r="Z49" s="4455">
        <v>0.13534459209928801</v>
      </c>
      <c r="AA49" s="4455">
        <v>0.15863280249112216</v>
      </c>
      <c r="AB49" s="4455">
        <v>0.15340874441137142</v>
      </c>
      <c r="AC49" s="4455">
        <v>0.15032462105272859</v>
      </c>
      <c r="AD49" s="4455">
        <v>0.17550430920471427</v>
      </c>
      <c r="AE49" s="4455">
        <v>0.19488878286428571</v>
      </c>
      <c r="AF49" s="4455">
        <v>0.18493863408428571</v>
      </c>
      <c r="AG49" s="4455">
        <v>0.21056241287714289</v>
      </c>
      <c r="AH49" s="4455">
        <v>0.19758779857142855</v>
      </c>
      <c r="AI49" s="4455">
        <v>0.22742740428571434</v>
      </c>
      <c r="AJ49" s="4455">
        <v>0.22742740428571434</v>
      </c>
      <c r="AK49" s="4450">
        <f t="shared" si="2"/>
        <v>1682.6186511240633</v>
      </c>
      <c r="AL49" s="713"/>
    </row>
    <row r="50" spans="2:38" ht="18" customHeight="1" x14ac:dyDescent="0.2">
      <c r="B50" s="766" t="s">
        <v>1500</v>
      </c>
      <c r="C50" s="1994"/>
      <c r="D50" s="1994"/>
      <c r="E50" s="4456">
        <f>SUM(E51:E55)</f>
        <v>0.59380049335514651</v>
      </c>
      <c r="F50" s="4456">
        <f t="shared" ref="F50:AJ50" si="7">SUM(F51:F55)</f>
        <v>0.61813364076428645</v>
      </c>
      <c r="G50" s="4456">
        <f t="shared" si="7"/>
        <v>0.64167034590775029</v>
      </c>
      <c r="H50" s="4456">
        <f t="shared" si="7"/>
        <v>0.66480169878840234</v>
      </c>
      <c r="I50" s="4456">
        <f t="shared" si="7"/>
        <v>0.6748602533814182</v>
      </c>
      <c r="J50" s="4456">
        <f t="shared" si="7"/>
        <v>0.68677642061202049</v>
      </c>
      <c r="K50" s="4456">
        <f t="shared" si="7"/>
        <v>0.704023228559712</v>
      </c>
      <c r="L50" s="4456">
        <f t="shared" si="7"/>
        <v>0.72880389471375728</v>
      </c>
      <c r="M50" s="4456">
        <f t="shared" si="7"/>
        <v>0.75565066334282749</v>
      </c>
      <c r="N50" s="4456">
        <f t="shared" si="7"/>
        <v>0.77667629320589471</v>
      </c>
      <c r="O50" s="4456">
        <f t="shared" si="7"/>
        <v>0.79816342621954495</v>
      </c>
      <c r="P50" s="4456">
        <f t="shared" si="7"/>
        <v>0.81989781190778277</v>
      </c>
      <c r="Q50" s="4456">
        <f t="shared" si="7"/>
        <v>0.84230124598577261</v>
      </c>
      <c r="R50" s="4456">
        <f t="shared" si="7"/>
        <v>0.86890688260120186</v>
      </c>
      <c r="S50" s="4456">
        <f t="shared" si="7"/>
        <v>0.89207302509492714</v>
      </c>
      <c r="T50" s="4456">
        <f t="shared" si="7"/>
        <v>0.91452844210611206</v>
      </c>
      <c r="U50" s="4456">
        <f t="shared" si="7"/>
        <v>0.94487305994812654</v>
      </c>
      <c r="V50" s="4456">
        <f t="shared" si="7"/>
        <v>0.97212226391401435</v>
      </c>
      <c r="W50" s="4456">
        <f t="shared" si="7"/>
        <v>1.0328899956533242</v>
      </c>
      <c r="X50" s="4456">
        <f t="shared" si="7"/>
        <v>1.2616847310806687</v>
      </c>
      <c r="Y50" s="4456">
        <f t="shared" si="7"/>
        <v>1.343791983055437</v>
      </c>
      <c r="Z50" s="4456">
        <f t="shared" si="7"/>
        <v>1.4471069682259725</v>
      </c>
      <c r="AA50" s="4456">
        <f t="shared" si="7"/>
        <v>1.2812867753564194</v>
      </c>
      <c r="AB50" s="4456">
        <f t="shared" si="7"/>
        <v>1.1808759878538786</v>
      </c>
      <c r="AC50" s="4456">
        <f t="shared" si="7"/>
        <v>1.240403827217694</v>
      </c>
      <c r="AD50" s="4456">
        <f t="shared" si="7"/>
        <v>1.287982306435683</v>
      </c>
      <c r="AE50" s="4456">
        <f t="shared" si="7"/>
        <v>1.3633861471000244</v>
      </c>
      <c r="AF50" s="4456">
        <f t="shared" si="7"/>
        <v>1.3334549536302136</v>
      </c>
      <c r="AG50" s="4456">
        <f t="shared" si="7"/>
        <v>1.3160711322537635</v>
      </c>
      <c r="AH50" s="4456">
        <f t="shared" si="7"/>
        <v>1.3393262904371759</v>
      </c>
      <c r="AI50" s="4456">
        <f t="shared" si="7"/>
        <v>1.3682815925931888</v>
      </c>
      <c r="AJ50" s="4456">
        <f t="shared" si="7"/>
        <v>1.2798477567391111</v>
      </c>
      <c r="AK50" s="4443">
        <f t="shared" si="2"/>
        <v>115.53497699329901</v>
      </c>
      <c r="AL50" s="713"/>
    </row>
    <row r="51" spans="2:38" ht="18" customHeight="1" x14ac:dyDescent="0.2">
      <c r="B51" s="1135" t="s">
        <v>1719</v>
      </c>
      <c r="C51" s="348"/>
      <c r="D51" s="348"/>
      <c r="E51" s="4452"/>
      <c r="F51" s="4452"/>
      <c r="G51" s="4453"/>
      <c r="H51" s="4453"/>
      <c r="I51" s="4453"/>
      <c r="J51" s="4453"/>
      <c r="K51" s="4453"/>
      <c r="L51" s="4453"/>
      <c r="M51" s="4453"/>
      <c r="N51" s="4453"/>
      <c r="O51" s="4453"/>
      <c r="P51" s="4453"/>
      <c r="Q51" s="4453"/>
      <c r="R51" s="4453"/>
      <c r="S51" s="4453"/>
      <c r="T51" s="4453"/>
      <c r="U51" s="4453"/>
      <c r="V51" s="4453"/>
      <c r="W51" s="4453"/>
      <c r="X51" s="4453"/>
      <c r="Y51" s="4453"/>
      <c r="Z51" s="4453"/>
      <c r="AA51" s="4453"/>
      <c r="AB51" s="4453"/>
      <c r="AC51" s="4453"/>
      <c r="AD51" s="4453"/>
      <c r="AE51" s="4453"/>
      <c r="AF51" s="4453"/>
      <c r="AG51" s="4453"/>
      <c r="AH51" s="4453"/>
      <c r="AI51" s="4453"/>
      <c r="AJ51" s="4453"/>
      <c r="AK51" s="4454"/>
      <c r="AL51" s="713"/>
    </row>
    <row r="52" spans="2:38" ht="18" customHeight="1" x14ac:dyDescent="0.2">
      <c r="B52" s="1135" t="s">
        <v>1531</v>
      </c>
      <c r="C52" s="1995"/>
      <c r="D52" s="1995"/>
      <c r="E52" s="4435">
        <v>4.4834209662719324E-2</v>
      </c>
      <c r="F52" s="4435">
        <v>6.1837012751870701E-2</v>
      </c>
      <c r="G52" s="4435">
        <v>7.8839815841023009E-2</v>
      </c>
      <c r="H52" s="4435">
        <v>9.5842618930175344E-2</v>
      </c>
      <c r="I52" s="4435">
        <v>0.11284542201932737</v>
      </c>
      <c r="J52" s="4435">
        <v>0.12984822510847871</v>
      </c>
      <c r="K52" s="4435">
        <v>0.14685102819763104</v>
      </c>
      <c r="L52" s="4435">
        <v>0.16385383128678341</v>
      </c>
      <c r="M52" s="4435">
        <v>0.18085663437593569</v>
      </c>
      <c r="N52" s="4435">
        <v>0.19785943746508797</v>
      </c>
      <c r="O52" s="4435">
        <v>0.21486224055423941</v>
      </c>
      <c r="P52" s="4435">
        <v>0.23186504364339167</v>
      </c>
      <c r="Q52" s="4435">
        <v>0.24886784673254408</v>
      </c>
      <c r="R52" s="4435">
        <v>0.26587064982169634</v>
      </c>
      <c r="S52" s="4435">
        <v>0.28287345291084803</v>
      </c>
      <c r="T52" s="4435">
        <v>0.29987625600000001</v>
      </c>
      <c r="U52" s="4435">
        <v>0.32291011199999997</v>
      </c>
      <c r="V52" s="4435">
        <v>0.34093142400000004</v>
      </c>
      <c r="W52" s="4435">
        <v>0.36703022400000013</v>
      </c>
      <c r="X52" s="4435">
        <v>0.38502451296000006</v>
      </c>
      <c r="Y52" s="4435">
        <v>0.43550678496</v>
      </c>
      <c r="Z52" s="4435">
        <v>0.50594630496000004</v>
      </c>
      <c r="AA52" s="4435">
        <v>0.51473875392000001</v>
      </c>
      <c r="AB52" s="4435">
        <v>0.52355088383999993</v>
      </c>
      <c r="AC52" s="4435">
        <v>0.5313267100800001</v>
      </c>
      <c r="AD52" s="4435">
        <v>0.5387696822400001</v>
      </c>
      <c r="AE52" s="4435">
        <v>0.55267241211228502</v>
      </c>
      <c r="AF52" s="4435">
        <v>0.56139967209225794</v>
      </c>
      <c r="AG52" s="4435">
        <v>0.57042224205820513</v>
      </c>
      <c r="AH52" s="4435">
        <v>0.57469981740377529</v>
      </c>
      <c r="AI52" s="4435">
        <v>0.58209129263598636</v>
      </c>
      <c r="AJ52" s="4435">
        <v>0.58397051121672516</v>
      </c>
      <c r="AK52" s="4443">
        <f t="shared" si="2"/>
        <v>1202.5109968701202</v>
      </c>
      <c r="AL52" s="713"/>
    </row>
    <row r="53" spans="2:38" ht="18" customHeight="1" x14ac:dyDescent="0.2">
      <c r="B53" s="1135" t="s">
        <v>1532</v>
      </c>
      <c r="C53" s="1995"/>
      <c r="D53" s="1995"/>
      <c r="E53" s="4435">
        <v>3.7979999999999993E-2</v>
      </c>
      <c r="F53" s="4435">
        <v>3.7979999999999993E-2</v>
      </c>
      <c r="G53" s="4435">
        <v>3.7979999999999993E-2</v>
      </c>
      <c r="H53" s="4435">
        <v>3.7979999999999993E-2</v>
      </c>
      <c r="I53" s="4435">
        <v>3.7979999999999993E-2</v>
      </c>
      <c r="J53" s="4435">
        <v>3.7979999999999993E-2</v>
      </c>
      <c r="K53" s="4435">
        <v>2.4749999999999998E-2</v>
      </c>
      <c r="L53" s="4435" t="s">
        <v>2146</v>
      </c>
      <c r="M53" s="4435" t="s">
        <v>2146</v>
      </c>
      <c r="N53" s="4435" t="s">
        <v>2146</v>
      </c>
      <c r="O53" s="4435" t="s">
        <v>2146</v>
      </c>
      <c r="P53" s="4435" t="s">
        <v>2146</v>
      </c>
      <c r="Q53" s="4435" t="s">
        <v>2146</v>
      </c>
      <c r="R53" s="4435" t="s">
        <v>2146</v>
      </c>
      <c r="S53" s="4435" t="s">
        <v>2146</v>
      </c>
      <c r="T53" s="4435" t="s">
        <v>2146</v>
      </c>
      <c r="U53" s="4435" t="s">
        <v>2146</v>
      </c>
      <c r="V53" s="4435" t="s">
        <v>2146</v>
      </c>
      <c r="W53" s="4435" t="s">
        <v>2146</v>
      </c>
      <c r="X53" s="4435" t="s">
        <v>2146</v>
      </c>
      <c r="Y53" s="4435" t="s">
        <v>2146</v>
      </c>
      <c r="Z53" s="4435" t="s">
        <v>2146</v>
      </c>
      <c r="AA53" s="4435" t="s">
        <v>2146</v>
      </c>
      <c r="AB53" s="4435" t="s">
        <v>2146</v>
      </c>
      <c r="AC53" s="4435" t="s">
        <v>2146</v>
      </c>
      <c r="AD53" s="4435" t="s">
        <v>2146</v>
      </c>
      <c r="AE53" s="4435" t="s">
        <v>2146</v>
      </c>
      <c r="AF53" s="4435" t="s">
        <v>2146</v>
      </c>
      <c r="AG53" s="4435" t="s">
        <v>2146</v>
      </c>
      <c r="AH53" s="4435" t="s">
        <v>2146</v>
      </c>
      <c r="AI53" s="4435" t="s">
        <v>2146</v>
      </c>
      <c r="AJ53" s="4435" t="s">
        <v>2146</v>
      </c>
      <c r="AK53" s="4443">
        <f t="shared" si="2"/>
        <v>-100</v>
      </c>
      <c r="AL53" s="713"/>
    </row>
    <row r="54" spans="2:38" ht="18" customHeight="1" x14ac:dyDescent="0.2">
      <c r="B54" s="1135" t="s">
        <v>1502</v>
      </c>
      <c r="C54" s="1995"/>
      <c r="D54" s="1995"/>
      <c r="E54" s="4435">
        <v>0.51098628369242716</v>
      </c>
      <c r="F54" s="4435">
        <v>0.51831662801241574</v>
      </c>
      <c r="G54" s="4435">
        <v>0.52485053006672733</v>
      </c>
      <c r="H54" s="4435">
        <v>0.53097907985822701</v>
      </c>
      <c r="I54" s="4435">
        <v>0.52403483136209084</v>
      </c>
      <c r="J54" s="4435">
        <v>0.51894819550354176</v>
      </c>
      <c r="K54" s="4435">
        <v>0.53242220036208099</v>
      </c>
      <c r="L54" s="4435">
        <v>0.56495006342697385</v>
      </c>
      <c r="M54" s="4435">
        <v>0.5747940289668918</v>
      </c>
      <c r="N54" s="4435">
        <v>0.57881685574080677</v>
      </c>
      <c r="O54" s="4435">
        <v>0.58330118566530553</v>
      </c>
      <c r="P54" s="4435">
        <v>0.5880327682643911</v>
      </c>
      <c r="Q54" s="4435">
        <v>0.59343339925322847</v>
      </c>
      <c r="R54" s="4435">
        <v>0.60303623277950558</v>
      </c>
      <c r="S54" s="4435">
        <v>0.60919957218407905</v>
      </c>
      <c r="T54" s="4435">
        <v>0.61465218610611205</v>
      </c>
      <c r="U54" s="4435">
        <v>0.62196294794812657</v>
      </c>
      <c r="V54" s="4435">
        <v>0.63119083991401437</v>
      </c>
      <c r="W54" s="4435">
        <v>0.665859771653324</v>
      </c>
      <c r="X54" s="4435">
        <v>0.87666021812066863</v>
      </c>
      <c r="Y54" s="4435">
        <v>0.90828519809543695</v>
      </c>
      <c r="Z54" s="4435">
        <v>0.94116066326597247</v>
      </c>
      <c r="AA54" s="4435">
        <v>0.76654802143641942</v>
      </c>
      <c r="AB54" s="4435">
        <v>0.65732510401387878</v>
      </c>
      <c r="AC54" s="4435">
        <v>0.70907711713769395</v>
      </c>
      <c r="AD54" s="4435">
        <v>0.7492126241956828</v>
      </c>
      <c r="AE54" s="4435">
        <v>0.81071373498773935</v>
      </c>
      <c r="AF54" s="4435">
        <v>0.77205528153795566</v>
      </c>
      <c r="AG54" s="4435">
        <v>0.74564889019555824</v>
      </c>
      <c r="AH54" s="4435">
        <v>0.76462647303340059</v>
      </c>
      <c r="AI54" s="4435">
        <v>0.78619029995720235</v>
      </c>
      <c r="AJ54" s="4435">
        <v>0.69587724552238606</v>
      </c>
      <c r="AK54" s="4443">
        <f t="shared" si="2"/>
        <v>36.18315554263458</v>
      </c>
      <c r="AL54" s="713"/>
    </row>
    <row r="55" spans="2:38" ht="18" customHeight="1" thickBot="1" x14ac:dyDescent="0.25">
      <c r="B55" s="1417" t="s">
        <v>1720</v>
      </c>
      <c r="C55" s="2229"/>
      <c r="D55" s="2229"/>
      <c r="E55" s="4457" t="s">
        <v>2146</v>
      </c>
      <c r="F55" s="4457" t="s">
        <v>2146</v>
      </c>
      <c r="G55" s="4457" t="s">
        <v>2146</v>
      </c>
      <c r="H55" s="4457" t="s">
        <v>2146</v>
      </c>
      <c r="I55" s="4457" t="s">
        <v>2146</v>
      </c>
      <c r="J55" s="4457" t="s">
        <v>2146</v>
      </c>
      <c r="K55" s="4457" t="s">
        <v>2146</v>
      </c>
      <c r="L55" s="4457" t="s">
        <v>2146</v>
      </c>
      <c r="M55" s="4457" t="s">
        <v>2146</v>
      </c>
      <c r="N55" s="4457" t="s">
        <v>2146</v>
      </c>
      <c r="O55" s="4457" t="s">
        <v>2146</v>
      </c>
      <c r="P55" s="4457" t="s">
        <v>2146</v>
      </c>
      <c r="Q55" s="4457" t="s">
        <v>2146</v>
      </c>
      <c r="R55" s="4457" t="s">
        <v>2146</v>
      </c>
      <c r="S55" s="4457" t="s">
        <v>2146</v>
      </c>
      <c r="T55" s="4457" t="s">
        <v>2146</v>
      </c>
      <c r="U55" s="4457" t="s">
        <v>2146</v>
      </c>
      <c r="V55" s="4457" t="s">
        <v>2146</v>
      </c>
      <c r="W55" s="4457" t="s">
        <v>2146</v>
      </c>
      <c r="X55" s="4457" t="s">
        <v>2146</v>
      </c>
      <c r="Y55" s="4457" t="s">
        <v>2146</v>
      </c>
      <c r="Z55" s="4457" t="s">
        <v>2146</v>
      </c>
      <c r="AA55" s="4457" t="s">
        <v>2146</v>
      </c>
      <c r="AB55" s="4457" t="s">
        <v>2146</v>
      </c>
      <c r="AC55" s="4457" t="s">
        <v>2146</v>
      </c>
      <c r="AD55" s="4457" t="s">
        <v>2146</v>
      </c>
      <c r="AE55" s="4457" t="s">
        <v>2146</v>
      </c>
      <c r="AF55" s="4457" t="s">
        <v>2146</v>
      </c>
      <c r="AG55" s="4457" t="s">
        <v>2146</v>
      </c>
      <c r="AH55" s="4457" t="s">
        <v>2146</v>
      </c>
      <c r="AI55" s="4457" t="s">
        <v>2146</v>
      </c>
      <c r="AJ55" s="4457" t="s">
        <v>2146</v>
      </c>
      <c r="AK55" s="4458" t="str">
        <f t="shared" si="2"/>
        <v>NA</v>
      </c>
      <c r="AL55" s="713"/>
    </row>
    <row r="56" spans="2:38" ht="18" customHeight="1" thickBot="1" x14ac:dyDescent="0.25">
      <c r="B56" s="1446" t="s">
        <v>2069</v>
      </c>
      <c r="C56" s="2000"/>
      <c r="D56" s="2000"/>
      <c r="E56" s="4459" t="s">
        <v>2146</v>
      </c>
      <c r="F56" s="4459" t="s">
        <v>2146</v>
      </c>
      <c r="G56" s="4459" t="s">
        <v>2146</v>
      </c>
      <c r="H56" s="4459" t="s">
        <v>2146</v>
      </c>
      <c r="I56" s="4459" t="s">
        <v>2146</v>
      </c>
      <c r="J56" s="4459" t="s">
        <v>2146</v>
      </c>
      <c r="K56" s="4459" t="s">
        <v>2146</v>
      </c>
      <c r="L56" s="4459" t="s">
        <v>2146</v>
      </c>
      <c r="M56" s="4459" t="s">
        <v>2146</v>
      </c>
      <c r="N56" s="4459" t="s">
        <v>2146</v>
      </c>
      <c r="O56" s="4459" t="s">
        <v>2146</v>
      </c>
      <c r="P56" s="4459" t="s">
        <v>2146</v>
      </c>
      <c r="Q56" s="4459" t="s">
        <v>2146</v>
      </c>
      <c r="R56" s="4459" t="s">
        <v>2146</v>
      </c>
      <c r="S56" s="4459" t="s">
        <v>2146</v>
      </c>
      <c r="T56" s="4459" t="s">
        <v>2146</v>
      </c>
      <c r="U56" s="4459" t="s">
        <v>2146</v>
      </c>
      <c r="V56" s="4459" t="s">
        <v>2146</v>
      </c>
      <c r="W56" s="4459" t="s">
        <v>2146</v>
      </c>
      <c r="X56" s="4459" t="s">
        <v>2146</v>
      </c>
      <c r="Y56" s="4459" t="s">
        <v>2146</v>
      </c>
      <c r="Z56" s="4459" t="s">
        <v>2146</v>
      </c>
      <c r="AA56" s="4459" t="s">
        <v>2146</v>
      </c>
      <c r="AB56" s="4459" t="s">
        <v>2146</v>
      </c>
      <c r="AC56" s="4459" t="s">
        <v>2146</v>
      </c>
      <c r="AD56" s="4459" t="s">
        <v>2146</v>
      </c>
      <c r="AE56" s="4459" t="s">
        <v>2146</v>
      </c>
      <c r="AF56" s="4459" t="s">
        <v>2146</v>
      </c>
      <c r="AG56" s="4459" t="s">
        <v>2146</v>
      </c>
      <c r="AH56" s="4459" t="s">
        <v>2146</v>
      </c>
      <c r="AI56" s="4459" t="s">
        <v>2146</v>
      </c>
      <c r="AJ56" s="4459" t="s">
        <v>2146</v>
      </c>
      <c r="AK56" s="4460" t="str">
        <f t="shared" si="2"/>
        <v>NA</v>
      </c>
      <c r="AL56" s="713"/>
    </row>
    <row r="57" spans="2:38" ht="18" customHeight="1" thickBot="1" x14ac:dyDescent="0.25">
      <c r="B57" s="985"/>
      <c r="C57" s="986"/>
      <c r="D57" s="986"/>
      <c r="E57" s="4431"/>
      <c r="F57" s="4431"/>
      <c r="G57" s="4431"/>
      <c r="H57" s="4431"/>
      <c r="I57" s="4431"/>
      <c r="J57" s="4431"/>
      <c r="K57" s="4431"/>
      <c r="L57" s="4431"/>
      <c r="M57" s="4431"/>
      <c r="N57" s="4431"/>
      <c r="O57" s="4431"/>
      <c r="P57" s="4431"/>
      <c r="Q57" s="4431"/>
      <c r="R57" s="4431"/>
      <c r="S57" s="4431"/>
      <c r="T57" s="4431"/>
      <c r="U57" s="4431"/>
      <c r="V57" s="4431"/>
      <c r="W57" s="4431"/>
      <c r="X57" s="4431"/>
      <c r="Y57" s="4431"/>
      <c r="Z57" s="4431"/>
      <c r="AA57" s="4431"/>
      <c r="AB57" s="4431"/>
      <c r="AC57" s="4431"/>
      <c r="AD57" s="4431"/>
      <c r="AE57" s="4431"/>
      <c r="AF57" s="4431"/>
      <c r="AG57" s="4431"/>
      <c r="AH57" s="4431"/>
      <c r="AI57" s="4431"/>
      <c r="AJ57" s="4431"/>
      <c r="AK57" s="4431"/>
      <c r="AL57" s="19"/>
    </row>
    <row r="58" spans="2:38" ht="18" customHeight="1" thickBot="1" x14ac:dyDescent="0.25">
      <c r="B58" s="776" t="s">
        <v>2135</v>
      </c>
      <c r="C58" s="777"/>
      <c r="D58" s="778"/>
      <c r="E58" s="4432">
        <f>SUM(E10,E21,E30,E50,E56)</f>
        <v>53.519027264905304</v>
      </c>
      <c r="F58" s="4432">
        <f t="shared" ref="F58:AJ58" si="8">SUM(F10,F21,F30,F50,F56)</f>
        <v>52.168731083515084</v>
      </c>
      <c r="G58" s="4432">
        <f t="shared" si="8"/>
        <v>51.590930518468774</v>
      </c>
      <c r="H58" s="4432">
        <f t="shared" si="8"/>
        <v>53.12692962764293</v>
      </c>
      <c r="I58" s="4432">
        <f t="shared" si="8"/>
        <v>54.549711688866985</v>
      </c>
      <c r="J58" s="4432">
        <f t="shared" si="8"/>
        <v>51.764887199407944</v>
      </c>
      <c r="K58" s="4432">
        <f t="shared" si="8"/>
        <v>55.992211045686901</v>
      </c>
      <c r="L58" s="4432">
        <f t="shared" si="8"/>
        <v>58.616388580598489</v>
      </c>
      <c r="M58" s="4432">
        <f t="shared" si="8"/>
        <v>58.794423960701188</v>
      </c>
      <c r="N58" s="4432">
        <f t="shared" si="8"/>
        <v>60.386141030021037</v>
      </c>
      <c r="O58" s="4432">
        <f t="shared" si="8"/>
        <v>63.53843758943313</v>
      </c>
      <c r="P58" s="4432">
        <f t="shared" si="8"/>
        <v>64.589925956612305</v>
      </c>
      <c r="Q58" s="4432">
        <f t="shared" si="8"/>
        <v>66.284589214901587</v>
      </c>
      <c r="R58" s="4432">
        <f t="shared" si="8"/>
        <v>62.410966399965282</v>
      </c>
      <c r="S58" s="4432">
        <f t="shared" si="8"/>
        <v>68.048806122382828</v>
      </c>
      <c r="T58" s="4432">
        <f t="shared" si="8"/>
        <v>68.278921255933014</v>
      </c>
      <c r="U58" s="4432">
        <f t="shared" si="8"/>
        <v>67.958052570745423</v>
      </c>
      <c r="V58" s="4432">
        <f t="shared" si="8"/>
        <v>62.592530904764772</v>
      </c>
      <c r="W58" s="4432">
        <f t="shared" si="8"/>
        <v>63.660390164629618</v>
      </c>
      <c r="X58" s="4432">
        <f t="shared" si="8"/>
        <v>65.156434680529202</v>
      </c>
      <c r="Y58" s="4432">
        <f t="shared" si="8"/>
        <v>64.713926221836772</v>
      </c>
      <c r="Z58" s="4432">
        <f t="shared" si="8"/>
        <v>67.2802622617276</v>
      </c>
      <c r="AA58" s="4432">
        <f t="shared" si="8"/>
        <v>68.065456055346871</v>
      </c>
      <c r="AB58" s="4432">
        <f t="shared" si="8"/>
        <v>64.07543935723443</v>
      </c>
      <c r="AC58" s="4432">
        <f t="shared" si="8"/>
        <v>65.358096205854977</v>
      </c>
      <c r="AD58" s="4432">
        <f t="shared" si="8"/>
        <v>63.234387452972413</v>
      </c>
      <c r="AE58" s="4432">
        <f t="shared" si="8"/>
        <v>63.148885818654087</v>
      </c>
      <c r="AF58" s="4432">
        <f t="shared" si="8"/>
        <v>68.817642364717841</v>
      </c>
      <c r="AG58" s="4432">
        <f t="shared" si="8"/>
        <v>64.942211117353935</v>
      </c>
      <c r="AH58" s="4432">
        <f t="shared" si="8"/>
        <v>63.123208016147693</v>
      </c>
      <c r="AI58" s="4432">
        <f t="shared" si="8"/>
        <v>61.412499109134018</v>
      </c>
      <c r="AJ58" s="4432">
        <f t="shared" si="8"/>
        <v>68.151402179541435</v>
      </c>
      <c r="AK58" s="4460">
        <f>IF(AJ58="NO",IF(E58="NO","NA",-100),IF(E58="NO",100,AJ58/E58*100-100))</f>
        <v>27.340509838136001</v>
      </c>
      <c r="AL58" s="713"/>
    </row>
    <row r="59" spans="2:38" ht="18" customHeight="1" thickBot="1" x14ac:dyDescent="0.25">
      <c r="B59" s="779" t="s">
        <v>2136</v>
      </c>
      <c r="C59" s="777"/>
      <c r="D59" s="778"/>
      <c r="E59" s="4432">
        <f>SUM(E58,E41)</f>
        <v>69.67786882590768</v>
      </c>
      <c r="F59" s="4432">
        <f t="shared" ref="F59:AJ59" si="9">SUM(F58,F41)</f>
        <v>67.503863677258565</v>
      </c>
      <c r="G59" s="4432">
        <f t="shared" si="9"/>
        <v>65.656661491862238</v>
      </c>
      <c r="H59" s="4432">
        <f t="shared" si="9"/>
        <v>66.628271331573629</v>
      </c>
      <c r="I59" s="4432">
        <f t="shared" si="9"/>
        <v>68.187818012129696</v>
      </c>
      <c r="J59" s="4432">
        <f t="shared" si="9"/>
        <v>65.372688299703469</v>
      </c>
      <c r="K59" s="4432">
        <f t="shared" si="9"/>
        <v>70.709995335765001</v>
      </c>
      <c r="L59" s="4432">
        <f t="shared" si="9"/>
        <v>73.043824193521374</v>
      </c>
      <c r="M59" s="4432">
        <f t="shared" si="9"/>
        <v>73.223451729963315</v>
      </c>
      <c r="N59" s="4432">
        <f t="shared" si="9"/>
        <v>76.485826251313043</v>
      </c>
      <c r="O59" s="4432">
        <f t="shared" si="9"/>
        <v>80.643595495038085</v>
      </c>
      <c r="P59" s="4432">
        <f t="shared" si="9"/>
        <v>81.192568430709684</v>
      </c>
      <c r="Q59" s="4432">
        <f t="shared" si="9"/>
        <v>83.052862258513969</v>
      </c>
      <c r="R59" s="4432">
        <f t="shared" si="9"/>
        <v>80.284173276141303</v>
      </c>
      <c r="S59" s="4432">
        <f t="shared" si="9"/>
        <v>83.770385570585432</v>
      </c>
      <c r="T59" s="4432">
        <f t="shared" si="9"/>
        <v>84.811051875826792</v>
      </c>
      <c r="U59" s="4432">
        <f t="shared" si="9"/>
        <v>85.247437556961572</v>
      </c>
      <c r="V59" s="4432">
        <f t="shared" si="9"/>
        <v>80.415681336648674</v>
      </c>
      <c r="W59" s="4432">
        <f t="shared" si="9"/>
        <v>81.09990776379658</v>
      </c>
      <c r="X59" s="4432">
        <f t="shared" si="9"/>
        <v>83.177047620113342</v>
      </c>
      <c r="Y59" s="4432">
        <f t="shared" si="9"/>
        <v>83.655006663444567</v>
      </c>
      <c r="Z59" s="4432">
        <f t="shared" si="9"/>
        <v>86.736299801937278</v>
      </c>
      <c r="AA59" s="4432">
        <f t="shared" si="9"/>
        <v>86.603891047803344</v>
      </c>
      <c r="AB59" s="4432">
        <f t="shared" si="9"/>
        <v>81.569942925070052</v>
      </c>
      <c r="AC59" s="4432">
        <f t="shared" si="9"/>
        <v>82.746824552509707</v>
      </c>
      <c r="AD59" s="4432">
        <f t="shared" si="9"/>
        <v>79.206730171504091</v>
      </c>
      <c r="AE59" s="4432">
        <f t="shared" si="9"/>
        <v>77.693201585576276</v>
      </c>
      <c r="AF59" s="4432">
        <f t="shared" si="9"/>
        <v>83.33324110310798</v>
      </c>
      <c r="AG59" s="4432">
        <f t="shared" si="9"/>
        <v>77.912878576947051</v>
      </c>
      <c r="AH59" s="4432">
        <f t="shared" si="9"/>
        <v>75.452721799978221</v>
      </c>
      <c r="AI59" s="4432">
        <f t="shared" si="9"/>
        <v>73.691200861823859</v>
      </c>
      <c r="AJ59" s="4432">
        <f t="shared" si="9"/>
        <v>79.827211722286435</v>
      </c>
      <c r="AK59" s="4460">
        <f>IF(AJ59="NO",IF(E59="NO","NA",-100),IF(E59="NO",100,AJ59/E59*100-100))</f>
        <v>14.56609260213915</v>
      </c>
      <c r="AL59" s="713"/>
    </row>
    <row r="60" spans="2:38" ht="18" customHeight="1" thickBot="1" x14ac:dyDescent="0.25">
      <c r="B60" s="985"/>
      <c r="C60" s="986"/>
      <c r="D60" s="986"/>
      <c r="E60" s="4431"/>
      <c r="F60" s="4431"/>
      <c r="G60" s="4431"/>
      <c r="H60" s="4431"/>
      <c r="I60" s="4431"/>
      <c r="J60" s="4431"/>
      <c r="K60" s="4431"/>
      <c r="L60" s="4431"/>
      <c r="M60" s="4431"/>
      <c r="N60" s="4431"/>
      <c r="O60" s="4431"/>
      <c r="P60" s="4431"/>
      <c r="Q60" s="4431"/>
      <c r="R60" s="4431"/>
      <c r="S60" s="4431"/>
      <c r="T60" s="4431"/>
      <c r="U60" s="4431"/>
      <c r="V60" s="4431"/>
      <c r="W60" s="4431"/>
      <c r="X60" s="4431"/>
      <c r="Y60" s="4431"/>
      <c r="Z60" s="4431"/>
      <c r="AA60" s="4431"/>
      <c r="AB60" s="4431"/>
      <c r="AC60" s="4431"/>
      <c r="AD60" s="4431"/>
      <c r="AE60" s="4431"/>
      <c r="AF60" s="4431"/>
      <c r="AG60" s="4431"/>
      <c r="AH60" s="4431"/>
      <c r="AI60" s="4431"/>
      <c r="AJ60" s="4431"/>
      <c r="AK60" s="4431"/>
      <c r="AL60" s="19"/>
    </row>
    <row r="61" spans="2:38" ht="18" customHeight="1" x14ac:dyDescent="0.2">
      <c r="B61" s="4106" t="s">
        <v>1721</v>
      </c>
      <c r="C61" s="2001"/>
      <c r="D61" s="2001"/>
      <c r="E61" s="4461"/>
      <c r="F61" s="4461"/>
      <c r="G61" s="4462"/>
      <c r="H61" s="4462"/>
      <c r="I61" s="4462"/>
      <c r="J61" s="4462"/>
      <c r="K61" s="4462"/>
      <c r="L61" s="4462"/>
      <c r="M61" s="4462"/>
      <c r="N61" s="4462"/>
      <c r="O61" s="4462"/>
      <c r="P61" s="4462"/>
      <c r="Q61" s="4462"/>
      <c r="R61" s="4462"/>
      <c r="S61" s="4462"/>
      <c r="T61" s="4462"/>
      <c r="U61" s="4462"/>
      <c r="V61" s="4462"/>
      <c r="W61" s="4462"/>
      <c r="X61" s="4462"/>
      <c r="Y61" s="4462"/>
      <c r="Z61" s="4462"/>
      <c r="AA61" s="4462"/>
      <c r="AB61" s="4462"/>
      <c r="AC61" s="4462"/>
      <c r="AD61" s="4462"/>
      <c r="AE61" s="4462"/>
      <c r="AF61" s="4462"/>
      <c r="AG61" s="4462"/>
      <c r="AH61" s="4462"/>
      <c r="AI61" s="4462"/>
      <c r="AJ61" s="4462"/>
      <c r="AK61" s="4463"/>
      <c r="AL61" s="713"/>
    </row>
    <row r="62" spans="2:38" ht="18" customHeight="1" x14ac:dyDescent="0.2">
      <c r="B62" s="1379" t="s">
        <v>110</v>
      </c>
      <c r="C62" s="1995"/>
      <c r="D62" s="1995"/>
      <c r="E62" s="4464">
        <f>SUM(E63:E64)</f>
        <v>7.9993873321929823E-2</v>
      </c>
      <c r="F62" s="4464">
        <f t="shared" ref="F62:AJ62" si="10">SUM(F63:F64)</f>
        <v>7.5386837384210537E-2</v>
      </c>
      <c r="G62" s="4464">
        <f t="shared" si="10"/>
        <v>7.4823900764035098E-2</v>
      </c>
      <c r="H62" s="4464">
        <f t="shared" si="10"/>
        <v>7.7065468544736837E-2</v>
      </c>
      <c r="I62" s="4464">
        <f t="shared" si="10"/>
        <v>8.4259927376315782E-2</v>
      </c>
      <c r="J62" s="4464">
        <f t="shared" si="10"/>
        <v>0.10483241108070175</v>
      </c>
      <c r="K62" s="4464">
        <f t="shared" si="10"/>
        <v>0.10822132526929826</v>
      </c>
      <c r="L62" s="4464">
        <f t="shared" si="10"/>
        <v>0.10435733409736841</v>
      </c>
      <c r="M62" s="4464">
        <f t="shared" si="10"/>
        <v>9.8623807064912292E-2</v>
      </c>
      <c r="N62" s="4464">
        <f t="shared" si="10"/>
        <v>0.10482924900263157</v>
      </c>
      <c r="O62" s="4464">
        <f t="shared" si="10"/>
        <v>0.11416261503947368</v>
      </c>
      <c r="P62" s="4464">
        <f t="shared" si="10"/>
        <v>0.11170550690175438</v>
      </c>
      <c r="Q62" s="4464">
        <f t="shared" si="10"/>
        <v>0.11388578527807017</v>
      </c>
      <c r="R62" s="4464">
        <f t="shared" si="10"/>
        <v>0.10956300561842106</v>
      </c>
      <c r="S62" s="4464">
        <f t="shared" si="10"/>
        <v>0.11546407625175439</v>
      </c>
      <c r="T62" s="4464">
        <f t="shared" si="10"/>
        <v>0.11666685336666668</v>
      </c>
      <c r="U62" s="4464">
        <f t="shared" si="10"/>
        <v>0.13091541353421052</v>
      </c>
      <c r="V62" s="4464">
        <f t="shared" si="10"/>
        <v>0.11710566363157895</v>
      </c>
      <c r="W62" s="4464">
        <f t="shared" si="10"/>
        <v>0.12750554307554179</v>
      </c>
      <c r="X62" s="4464">
        <f t="shared" si="10"/>
        <v>0.12281481179620027</v>
      </c>
      <c r="Y62" s="4464">
        <f t="shared" si="10"/>
        <v>0.1090583331049037</v>
      </c>
      <c r="Z62" s="4464">
        <f t="shared" si="10"/>
        <v>0.10260023191578947</v>
      </c>
      <c r="AA62" s="4464">
        <f t="shared" si="10"/>
        <v>0.1202110280188005</v>
      </c>
      <c r="AB62" s="4464">
        <f t="shared" si="10"/>
        <v>0.10893505670364748</v>
      </c>
      <c r="AC62" s="4464">
        <f t="shared" si="10"/>
        <v>0.12093147292210527</v>
      </c>
      <c r="AD62" s="4464">
        <f t="shared" si="10"/>
        <v>0.1212933742847451</v>
      </c>
      <c r="AE62" s="4464">
        <f t="shared" si="10"/>
        <v>0.12818696232617033</v>
      </c>
      <c r="AF62" s="4464">
        <f t="shared" si="10"/>
        <v>0.13925237956650846</v>
      </c>
      <c r="AG62" s="4464">
        <f t="shared" si="10"/>
        <v>0.13996125113980071</v>
      </c>
      <c r="AH62" s="4464">
        <f t="shared" si="10"/>
        <v>0.13952455375856082</v>
      </c>
      <c r="AI62" s="4464">
        <f t="shared" si="10"/>
        <v>0.1159477610636668</v>
      </c>
      <c r="AJ62" s="4464">
        <f t="shared" si="10"/>
        <v>5.6441583296916689E-2</v>
      </c>
      <c r="AK62" s="4465">
        <f t="shared" ref="AK62:AK64" si="11">IF(AJ62="NO",IF(E62="NO","NA",-100),IF(E62="NO",100,AJ62/E62*100-100))</f>
        <v>-29.442617349241942</v>
      </c>
      <c r="AL62" s="713"/>
    </row>
    <row r="63" spans="2:38" ht="18" customHeight="1" x14ac:dyDescent="0.2">
      <c r="B63" s="1371" t="s">
        <v>111</v>
      </c>
      <c r="C63" s="1995"/>
      <c r="D63" s="1995"/>
      <c r="E63" s="4435">
        <v>2.2973873321929825E-2</v>
      </c>
      <c r="F63" s="4435">
        <v>2.3926837384210527E-2</v>
      </c>
      <c r="G63" s="4435">
        <v>2.5223900764035089E-2</v>
      </c>
      <c r="H63" s="4435">
        <v>2.7525468544736843E-2</v>
      </c>
      <c r="I63" s="4435">
        <v>2.8459927376315787E-2</v>
      </c>
      <c r="J63" s="4435">
        <v>3.0652411080701755E-2</v>
      </c>
      <c r="K63" s="4435">
        <v>3.3001325269298241E-2</v>
      </c>
      <c r="L63" s="4435">
        <v>3.4517334097368416E-2</v>
      </c>
      <c r="M63" s="4435">
        <v>3.7203807064912282E-2</v>
      </c>
      <c r="N63" s="4435">
        <v>3.7129249002631572E-2</v>
      </c>
      <c r="O63" s="4435">
        <v>3.7662615039473685E-2</v>
      </c>
      <c r="P63" s="4435">
        <v>3.9805506901754384E-2</v>
      </c>
      <c r="Q63" s="4435">
        <v>3.5285785278070171E-2</v>
      </c>
      <c r="R63" s="4435">
        <v>3.2875005618421049E-2</v>
      </c>
      <c r="S63" s="4435">
        <v>3.8324076251754387E-2</v>
      </c>
      <c r="T63" s="4435">
        <v>4.3926853366666671E-2</v>
      </c>
      <c r="U63" s="4435">
        <v>4.4115413534210515E-2</v>
      </c>
      <c r="V63" s="4435">
        <v>4.6999998831578953E-2</v>
      </c>
      <c r="W63" s="4435">
        <v>4.7364638275541791E-2</v>
      </c>
      <c r="X63" s="4435">
        <v>4.8814811796200265E-2</v>
      </c>
      <c r="Y63" s="4435">
        <v>5.1998333104903711E-2</v>
      </c>
      <c r="Z63" s="4435">
        <v>5.1800231915789467E-2</v>
      </c>
      <c r="AA63" s="4435">
        <v>5.3561028018800499E-2</v>
      </c>
      <c r="AB63" s="4435">
        <v>5.5965056703647487E-2</v>
      </c>
      <c r="AC63" s="4435">
        <v>6.0041472922105266E-2</v>
      </c>
      <c r="AD63" s="4435">
        <v>6.0033438284745083E-2</v>
      </c>
      <c r="AE63" s="4435">
        <v>6.3199603112108274E-2</v>
      </c>
      <c r="AF63" s="4435">
        <v>6.9306428085066527E-2</v>
      </c>
      <c r="AG63" s="4435">
        <v>7.160068123659262E-2</v>
      </c>
      <c r="AH63" s="4435">
        <v>7.4446569758560815E-2</v>
      </c>
      <c r="AI63" s="4435">
        <v>5.7589741863666853E-2</v>
      </c>
      <c r="AJ63" s="4435">
        <v>1.8097156496916712E-2</v>
      </c>
      <c r="AK63" s="4465">
        <f t="shared" si="11"/>
        <v>-21.227229543213411</v>
      </c>
      <c r="AL63" s="713"/>
    </row>
    <row r="64" spans="2:38" ht="18" customHeight="1" x14ac:dyDescent="0.2">
      <c r="B64" s="1380" t="s">
        <v>1503</v>
      </c>
      <c r="C64" s="1995"/>
      <c r="D64" s="1995"/>
      <c r="E64" s="4435">
        <v>5.7020000000000001E-2</v>
      </c>
      <c r="F64" s="4435">
        <v>5.1460000000000006E-2</v>
      </c>
      <c r="G64" s="4435">
        <v>4.9600000000000005E-2</v>
      </c>
      <c r="H64" s="4435">
        <v>4.9540000000000001E-2</v>
      </c>
      <c r="I64" s="4435">
        <v>5.5799999999999995E-2</v>
      </c>
      <c r="J64" s="4435">
        <v>7.4179999999999996E-2</v>
      </c>
      <c r="K64" s="4435">
        <v>7.5220000000000009E-2</v>
      </c>
      <c r="L64" s="4435">
        <v>6.9839999999999999E-2</v>
      </c>
      <c r="M64" s="4435">
        <v>6.1420000000000009E-2</v>
      </c>
      <c r="N64" s="4435">
        <v>6.7699999999999996E-2</v>
      </c>
      <c r="O64" s="4435">
        <v>7.6499999999999999E-2</v>
      </c>
      <c r="P64" s="4435">
        <v>7.1899999999999992E-2</v>
      </c>
      <c r="Q64" s="4435">
        <v>7.8600000000000003E-2</v>
      </c>
      <c r="R64" s="4435">
        <v>7.6688000000000006E-2</v>
      </c>
      <c r="S64" s="4435">
        <v>7.714E-2</v>
      </c>
      <c r="T64" s="4435">
        <v>7.2740000000000013E-2</v>
      </c>
      <c r="U64" s="4435">
        <v>8.6800000000000002E-2</v>
      </c>
      <c r="V64" s="4435">
        <v>7.0105664800000009E-2</v>
      </c>
      <c r="W64" s="4435">
        <v>8.0140904799999996E-2</v>
      </c>
      <c r="X64" s="4435">
        <v>7.3999999999999996E-2</v>
      </c>
      <c r="Y64" s="4435">
        <v>5.706E-2</v>
      </c>
      <c r="Z64" s="4435">
        <v>5.0800000000000005E-2</v>
      </c>
      <c r="AA64" s="4435">
        <v>6.6650000000000001E-2</v>
      </c>
      <c r="AB64" s="4435">
        <v>5.2969999999999996E-2</v>
      </c>
      <c r="AC64" s="4435">
        <v>6.0890000000000007E-2</v>
      </c>
      <c r="AD64" s="4435">
        <v>6.1259936000000022E-2</v>
      </c>
      <c r="AE64" s="4435">
        <v>6.4987359214062054E-2</v>
      </c>
      <c r="AF64" s="4435">
        <v>6.9945951481441934E-2</v>
      </c>
      <c r="AG64" s="4435">
        <v>6.8360569903208088E-2</v>
      </c>
      <c r="AH64" s="4435">
        <v>6.5077984000000005E-2</v>
      </c>
      <c r="AI64" s="4435">
        <v>5.8358019199999958E-2</v>
      </c>
      <c r="AJ64" s="4435">
        <v>3.8344426799999977E-2</v>
      </c>
      <c r="AK64" s="4465">
        <f t="shared" si="11"/>
        <v>-32.752671343388329</v>
      </c>
      <c r="AL64" s="713"/>
    </row>
    <row r="65" spans="2:38" ht="18" customHeight="1" x14ac:dyDescent="0.2">
      <c r="B65" s="1381" t="s">
        <v>113</v>
      </c>
      <c r="C65" s="1995"/>
      <c r="D65" s="1995"/>
      <c r="E65" s="4466" t="s">
        <v>2154</v>
      </c>
      <c r="F65" s="4466" t="s">
        <v>2154</v>
      </c>
      <c r="G65" s="4466" t="s">
        <v>2154</v>
      </c>
      <c r="H65" s="4466" t="s">
        <v>2154</v>
      </c>
      <c r="I65" s="4466" t="s">
        <v>2154</v>
      </c>
      <c r="J65" s="4466" t="s">
        <v>2154</v>
      </c>
      <c r="K65" s="4466" t="s">
        <v>2154</v>
      </c>
      <c r="L65" s="4466" t="s">
        <v>2154</v>
      </c>
      <c r="M65" s="4466" t="s">
        <v>2154</v>
      </c>
      <c r="N65" s="4466" t="s">
        <v>2154</v>
      </c>
      <c r="O65" s="4466" t="s">
        <v>2154</v>
      </c>
      <c r="P65" s="4466" t="s">
        <v>2154</v>
      </c>
      <c r="Q65" s="4466" t="s">
        <v>2154</v>
      </c>
      <c r="R65" s="4466" t="s">
        <v>2154</v>
      </c>
      <c r="S65" s="4466" t="s">
        <v>2154</v>
      </c>
      <c r="T65" s="4466" t="s">
        <v>2154</v>
      </c>
      <c r="U65" s="4466" t="s">
        <v>2154</v>
      </c>
      <c r="V65" s="4466" t="s">
        <v>2154</v>
      </c>
      <c r="W65" s="4466" t="s">
        <v>2154</v>
      </c>
      <c r="X65" s="4466" t="s">
        <v>2154</v>
      </c>
      <c r="Y65" s="4466" t="s">
        <v>2154</v>
      </c>
      <c r="Z65" s="4466" t="s">
        <v>2154</v>
      </c>
      <c r="AA65" s="4466" t="s">
        <v>2154</v>
      </c>
      <c r="AB65" s="4466" t="s">
        <v>2154</v>
      </c>
      <c r="AC65" s="4466" t="s">
        <v>2154</v>
      </c>
      <c r="AD65" s="4466" t="s">
        <v>2154</v>
      </c>
      <c r="AE65" s="4466" t="s">
        <v>2154</v>
      </c>
      <c r="AF65" s="4466" t="s">
        <v>2154</v>
      </c>
      <c r="AG65" s="4466" t="s">
        <v>2154</v>
      </c>
      <c r="AH65" s="4466" t="s">
        <v>2154</v>
      </c>
      <c r="AI65" s="4466" t="s">
        <v>2154</v>
      </c>
      <c r="AJ65" s="4466" t="s">
        <v>2154</v>
      </c>
      <c r="AK65" s="4465" t="s">
        <v>2147</v>
      </c>
      <c r="AL65" s="713"/>
    </row>
    <row r="66" spans="2:38" ht="18" customHeight="1" x14ac:dyDescent="0.2">
      <c r="B66" s="1379" t="s">
        <v>114</v>
      </c>
      <c r="C66" s="348"/>
      <c r="D66" s="348"/>
      <c r="E66" s="4452"/>
      <c r="F66" s="4452"/>
      <c r="G66" s="4453"/>
      <c r="H66" s="4453"/>
      <c r="I66" s="4453"/>
      <c r="J66" s="4453"/>
      <c r="K66" s="4453"/>
      <c r="L66" s="4453"/>
      <c r="M66" s="4453"/>
      <c r="N66" s="4453"/>
      <c r="O66" s="4453"/>
      <c r="P66" s="4453"/>
      <c r="Q66" s="4453"/>
      <c r="R66" s="4453"/>
      <c r="S66" s="4453"/>
      <c r="T66" s="4453"/>
      <c r="U66" s="4453"/>
      <c r="V66" s="4453"/>
      <c r="W66" s="4453"/>
      <c r="X66" s="4453"/>
      <c r="Y66" s="4453"/>
      <c r="Z66" s="4453"/>
      <c r="AA66" s="4453"/>
      <c r="AB66" s="4453"/>
      <c r="AC66" s="4453"/>
      <c r="AD66" s="4453"/>
      <c r="AE66" s="4453"/>
      <c r="AF66" s="4453"/>
      <c r="AG66" s="4453"/>
      <c r="AH66" s="4453"/>
      <c r="AI66" s="4453"/>
      <c r="AJ66" s="4453"/>
      <c r="AK66" s="4454"/>
      <c r="AL66" s="713"/>
    </row>
    <row r="67" spans="2:38" ht="18" customHeight="1" x14ac:dyDescent="0.2">
      <c r="B67" s="1383" t="s">
        <v>1504</v>
      </c>
      <c r="C67" s="348"/>
      <c r="D67" s="348"/>
      <c r="E67" s="4452"/>
      <c r="F67" s="4452"/>
      <c r="G67" s="4453"/>
      <c r="H67" s="4453"/>
      <c r="I67" s="4453"/>
      <c r="J67" s="4453"/>
      <c r="K67" s="4453"/>
      <c r="L67" s="4453"/>
      <c r="M67" s="4453"/>
      <c r="N67" s="4453"/>
      <c r="O67" s="4453"/>
      <c r="P67" s="4453"/>
      <c r="Q67" s="4453"/>
      <c r="R67" s="4453"/>
      <c r="S67" s="4453"/>
      <c r="T67" s="4453"/>
      <c r="U67" s="4453"/>
      <c r="V67" s="4453"/>
      <c r="W67" s="4453"/>
      <c r="X67" s="4453"/>
      <c r="Y67" s="4453"/>
      <c r="Z67" s="4453"/>
      <c r="AA67" s="4453"/>
      <c r="AB67" s="4453"/>
      <c r="AC67" s="4453"/>
      <c r="AD67" s="4453"/>
      <c r="AE67" s="4453"/>
      <c r="AF67" s="4453"/>
      <c r="AG67" s="4453"/>
      <c r="AH67" s="4453"/>
      <c r="AI67" s="4453"/>
      <c r="AJ67" s="4453"/>
      <c r="AK67" s="4454"/>
      <c r="AL67" s="713"/>
    </row>
    <row r="68" spans="2:38" ht="18" customHeight="1" x14ac:dyDescent="0.2">
      <c r="B68" s="1384" t="s">
        <v>1505</v>
      </c>
      <c r="C68" s="354"/>
      <c r="D68" s="354"/>
      <c r="E68" s="4436"/>
      <c r="F68" s="4436"/>
      <c r="G68" s="4437"/>
      <c r="H68" s="4437"/>
      <c r="I68" s="4437"/>
      <c r="J68" s="4437"/>
      <c r="K68" s="4437"/>
      <c r="L68" s="4437"/>
      <c r="M68" s="4437"/>
      <c r="N68" s="4437"/>
      <c r="O68" s="4437"/>
      <c r="P68" s="4437"/>
      <c r="Q68" s="4437"/>
      <c r="R68" s="4437"/>
      <c r="S68" s="4437"/>
      <c r="T68" s="4437"/>
      <c r="U68" s="4437"/>
      <c r="V68" s="4437"/>
      <c r="W68" s="4437"/>
      <c r="X68" s="4437"/>
      <c r="Y68" s="4437"/>
      <c r="Z68" s="4437"/>
      <c r="AA68" s="4437"/>
      <c r="AB68" s="4437"/>
      <c r="AC68" s="4437"/>
      <c r="AD68" s="4437"/>
      <c r="AE68" s="4437"/>
      <c r="AF68" s="4437"/>
      <c r="AG68" s="4437"/>
      <c r="AH68" s="4437"/>
      <c r="AI68" s="4437"/>
      <c r="AJ68" s="4437"/>
      <c r="AK68" s="4438"/>
      <c r="AL68" s="19"/>
    </row>
    <row r="69" spans="2:38" ht="18" customHeight="1" thickBot="1" x14ac:dyDescent="0.25">
      <c r="B69" s="768" t="s">
        <v>1536</v>
      </c>
      <c r="C69" s="2013"/>
      <c r="D69" s="2013"/>
      <c r="E69" s="4455" t="s">
        <v>2313</v>
      </c>
      <c r="F69" s="4455" t="s">
        <v>2313</v>
      </c>
      <c r="G69" s="4455" t="s">
        <v>2313</v>
      </c>
      <c r="H69" s="4455" t="s">
        <v>2313</v>
      </c>
      <c r="I69" s="4455" t="s">
        <v>2313</v>
      </c>
      <c r="J69" s="4455" t="s">
        <v>2313</v>
      </c>
      <c r="K69" s="4455" t="s">
        <v>2313</v>
      </c>
      <c r="L69" s="4455" t="s">
        <v>2313</v>
      </c>
      <c r="M69" s="4455" t="s">
        <v>2313</v>
      </c>
      <c r="N69" s="4455" t="s">
        <v>2313</v>
      </c>
      <c r="O69" s="4455" t="s">
        <v>2313</v>
      </c>
      <c r="P69" s="4455" t="s">
        <v>2313</v>
      </c>
      <c r="Q69" s="4455" t="s">
        <v>2313</v>
      </c>
      <c r="R69" s="4455" t="s">
        <v>2313</v>
      </c>
      <c r="S69" s="4455" t="s">
        <v>2313</v>
      </c>
      <c r="T69" s="4455" t="s">
        <v>2313</v>
      </c>
      <c r="U69" s="4455" t="s">
        <v>2313</v>
      </c>
      <c r="V69" s="4455" t="s">
        <v>2313</v>
      </c>
      <c r="W69" s="4455" t="s">
        <v>2313</v>
      </c>
      <c r="X69" s="4455" t="s">
        <v>2313</v>
      </c>
      <c r="Y69" s="4455" t="s">
        <v>2313</v>
      </c>
      <c r="Z69" s="4455" t="s">
        <v>2313</v>
      </c>
      <c r="AA69" s="4455" t="s">
        <v>2313</v>
      </c>
      <c r="AB69" s="4455" t="s">
        <v>2313</v>
      </c>
      <c r="AC69" s="4455" t="s">
        <v>2313</v>
      </c>
      <c r="AD69" s="4455" t="s">
        <v>2313</v>
      </c>
      <c r="AE69" s="4455" t="s">
        <v>2313</v>
      </c>
      <c r="AF69" s="4455" t="s">
        <v>2313</v>
      </c>
      <c r="AG69" s="4455" t="s">
        <v>2313</v>
      </c>
      <c r="AH69" s="4455" t="s">
        <v>2313</v>
      </c>
      <c r="AI69" s="4455" t="s">
        <v>2313</v>
      </c>
      <c r="AJ69" s="4455" t="s">
        <v>2313</v>
      </c>
      <c r="AK69" s="4467"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9"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1389069.8941250818</v>
      </c>
      <c r="D10" s="1913" t="s">
        <v>1814</v>
      </c>
      <c r="E10" s="628"/>
      <c r="F10" s="628"/>
      <c r="G10" s="628"/>
      <c r="H10" s="1847">
        <f>IF(SUM(H11:H14)=0,"NO",SUM(H11:H14))</f>
        <v>94438.226181054721</v>
      </c>
      <c r="I10" s="1847">
        <f>IF(SUM(I11:I15)=0,"NO",SUM(I11:I15))</f>
        <v>14.852551284650863</v>
      </c>
      <c r="J10" s="2192">
        <f>IF(SUM(J11:J15)=0,"NO",SUM(J11:J15))</f>
        <v>5.2576312136662873</v>
      </c>
    </row>
    <row r="11" spans="2:11" ht="18" customHeight="1" x14ac:dyDescent="0.2">
      <c r="B11" s="282" t="s">
        <v>132</v>
      </c>
      <c r="C11" s="1913">
        <f>IF(SUM(C17:C18,C21:C24,C82,C89:C92,C100)=0,"NO",SUM(C17:C18,C21:C24,C82,C89:C92,C100))</f>
        <v>1367246.1832995762</v>
      </c>
      <c r="D11" s="1909" t="s">
        <v>1814</v>
      </c>
      <c r="E11" s="1913">
        <f>IFERROR(H11*1000/$C11,"NA")</f>
        <v>68.439409531362813</v>
      </c>
      <c r="F11" s="1913">
        <f t="shared" ref="F11:G15" si="0">IFERROR(I11*1000000/$C11,"NA")</f>
        <v>10.284877615387103</v>
      </c>
      <c r="G11" s="1913">
        <f t="shared" si="0"/>
        <v>3.8142989451644764</v>
      </c>
      <c r="H11" s="1913">
        <f>IF(SUM(H17:H18,H21:H24,H82,H89:H92,H100)=0,"NO",SUM(H17:H18,H21:H24,H82,H89:H92,H100))</f>
        <v>93573.521469032436</v>
      </c>
      <c r="I11" s="1913">
        <f>IF(SUM(I17:I18,I21:I24,I82,I89:I92,I100)=0,"NO",SUM(I17:I18,I21:I24,I82,I89:I92,I100))</f>
        <v>14.061959665341263</v>
      </c>
      <c r="J11" s="3085">
        <f>IF(SUM(J17:J18,J21:J24,J82,J89:J92,J100)=0,"NO",SUM(J17:J18,J21:J24,J82,J89:J92,J100))</f>
        <v>5.2150856747397301</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
      <c r="B13" s="282" t="s">
        <v>134</v>
      </c>
      <c r="C13" s="1913">
        <f>IF(SUM(C26,C84,C94,C102)=0,"NO",SUM(C26,C84,C94,C102))</f>
        <v>16795.619908471108</v>
      </c>
      <c r="D13" s="1909" t="s">
        <v>1814</v>
      </c>
      <c r="E13" s="1913">
        <f t="shared" si="1"/>
        <v>51.411918339264979</v>
      </c>
      <c r="F13" s="1913">
        <f t="shared" si="0"/>
        <v>35.453633010985691</v>
      </c>
      <c r="G13" s="1913">
        <f t="shared" si="0"/>
        <v>0.33974053589966785</v>
      </c>
      <c r="H13" s="1913">
        <f>IF(SUM(H26,H84,H94,H102)=0,"NO",SUM(H26,H84,H94,H102))</f>
        <v>863.49503919164977</v>
      </c>
      <c r="I13" s="1913">
        <f>IF(SUM(I26,I84,I94,I102)=0,"NO",SUM(I26,I84,I94,I102))</f>
        <v>0.59546574442693978</v>
      </c>
      <c r="J13" s="3085">
        <f>IF(SUM(J26,J84,J94,J102)=0,"NO",SUM(J26,J84,J94,J102))</f>
        <v>5.7061529084711047E-3</v>
      </c>
    </row>
    <row r="14" spans="2:11" ht="18" customHeight="1" x14ac:dyDescent="0.2">
      <c r="B14" s="282" t="s">
        <v>175</v>
      </c>
      <c r="C14" s="1913">
        <f>IF(SUM(C28,C86,C96,C103)=0,"NO",SUM(C28,C86,C96,C103))</f>
        <v>16.503039981339889</v>
      </c>
      <c r="D14" s="1909" t="s">
        <v>1814</v>
      </c>
      <c r="E14" s="1913">
        <f t="shared" si="1"/>
        <v>73.299999999999869</v>
      </c>
      <c r="F14" s="1913" t="str">
        <f t="shared" si="0"/>
        <v>NA</v>
      </c>
      <c r="G14" s="1913" t="str">
        <f t="shared" si="0"/>
        <v>NA</v>
      </c>
      <c r="H14" s="1913">
        <f>IF(SUM(H28,H86,H96,H103)=0,"NO",SUM(H28,H86,H96,H103))</f>
        <v>1.2096728306322118</v>
      </c>
      <c r="I14" s="1913" t="str">
        <f>IF(SUM(I28,I86,I96,I103)=0,"NO",SUM(I28,I86,I96,I103))</f>
        <v>NO</v>
      </c>
      <c r="J14" s="3085" t="str">
        <f>IF(SUM(J28,J86,J96,J103)=0,"NO",SUM(J28,J86,J96,J103))</f>
        <v>NO</v>
      </c>
    </row>
    <row r="15" spans="2:11" ht="18" customHeight="1" x14ac:dyDescent="0.2">
      <c r="B15" s="282" t="s">
        <v>137</v>
      </c>
      <c r="C15" s="1913">
        <f>IF(SUM(C19,C27,C85,C95,C104)=0,"NO",SUM(C19,C27,C85,C95,C104))</f>
        <v>5011.5878770533645</v>
      </c>
      <c r="D15" s="1913" t="s">
        <v>1814</v>
      </c>
      <c r="E15" s="1913">
        <f t="shared" si="1"/>
        <v>67.259999999999991</v>
      </c>
      <c r="F15" s="1913">
        <f t="shared" si="0"/>
        <v>38.9349403162391</v>
      </c>
      <c r="G15" s="1913">
        <f t="shared" si="0"/>
        <v>7.3508410750938404</v>
      </c>
      <c r="H15" s="1913">
        <f>IF(SUM(H19,H27,H85,H95,H104)=0,"NO",SUM(H19,H27,H85,H95,H104))</f>
        <v>337.0794006106093</v>
      </c>
      <c r="I15" s="1913">
        <f>IF(SUM(I19,I27,I85,I95,I104)=0,"NO",SUM(I19,I27,I85,I95,I104))</f>
        <v>0.19512587488266017</v>
      </c>
      <c r="J15" s="3085">
        <f>IF(SUM(J19,J27,J85,J95,J104)=0,"NO",SUM(J19,J27,J85,J95,J104))</f>
        <v>3.6839386018086208E-2</v>
      </c>
    </row>
    <row r="16" spans="2:11" ht="18" customHeight="1" x14ac:dyDescent="0.2">
      <c r="B16" s="1241" t="s">
        <v>176</v>
      </c>
      <c r="C16" s="1913">
        <f>IF(SUM(C17:C19)=0,"NO",SUM(C17:C19))</f>
        <v>123119.087918512</v>
      </c>
      <c r="D16" s="1909" t="s">
        <v>1814</v>
      </c>
      <c r="E16" s="628"/>
      <c r="F16" s="628"/>
      <c r="G16" s="628"/>
      <c r="H16" s="1913">
        <f>IF(SUM(H17:H18)=0,"NO",SUM(H17:H18))</f>
        <v>8563.1717991936057</v>
      </c>
      <c r="I16" s="1913">
        <f>IF(SUM(I17:I19)=0,"NO",SUM(I17:I19))</f>
        <v>3.2343749362088281E-2</v>
      </c>
      <c r="J16" s="3085">
        <f>IF(SUM(J17:J19)=0,"NO",SUM(J17:J19))</f>
        <v>6.3825590376354019E-2</v>
      </c>
    </row>
    <row r="17" spans="2:10" ht="18" customHeight="1" x14ac:dyDescent="0.2">
      <c r="B17" s="282" t="s">
        <v>177</v>
      </c>
      <c r="C17" s="691">
        <v>2275.6615133999999</v>
      </c>
      <c r="D17" s="1909" t="s">
        <v>1814</v>
      </c>
      <c r="E17" s="1913">
        <f t="shared" ref="E17:E19" si="2">IFERROR(H17*1000/$C17,"NA")</f>
        <v>67</v>
      </c>
      <c r="F17" s="1913">
        <f t="shared" ref="F17:G19" si="3">IFERROR(I17*1000000/$C17,"NA")</f>
        <v>0.5</v>
      </c>
      <c r="G17" s="1913">
        <f t="shared" si="3"/>
        <v>2</v>
      </c>
      <c r="H17" s="691">
        <v>152.4693213978</v>
      </c>
      <c r="I17" s="691">
        <v>1.1378307567E-3</v>
      </c>
      <c r="J17" s="2911">
        <v>4.5513230268000001E-3</v>
      </c>
    </row>
    <row r="18" spans="2:10" ht="18" customHeight="1" x14ac:dyDescent="0.2">
      <c r="B18" s="282" t="s">
        <v>178</v>
      </c>
      <c r="C18" s="691">
        <v>120843.426405112</v>
      </c>
      <c r="D18" s="1909" t="s">
        <v>1814</v>
      </c>
      <c r="E18" s="1913">
        <f t="shared" si="2"/>
        <v>69.600000000000094</v>
      </c>
      <c r="F18" s="1913">
        <f t="shared" si="3"/>
        <v>0.25823430809363568</v>
      </c>
      <c r="G18" s="1913">
        <f t="shared" si="3"/>
        <v>0.49050468952150267</v>
      </c>
      <c r="H18" s="691">
        <v>8410.702477795805</v>
      </c>
      <c r="I18" s="691">
        <v>3.120591860538828E-2</v>
      </c>
      <c r="J18" s="2911">
        <v>5.9274267349554016E-2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
      <c r="B20" s="1245" t="s">
        <v>180</v>
      </c>
      <c r="C20" s="1913">
        <f>IF(SUM(C21:C24,C26:C28)=0,"NO",SUM(C21:C24,C26:C28))</f>
        <v>1183491.3551950972</v>
      </c>
      <c r="D20" s="1909" t="s">
        <v>1814</v>
      </c>
      <c r="E20" s="628"/>
      <c r="F20" s="628"/>
      <c r="G20" s="628"/>
      <c r="H20" s="1913">
        <f>IF(SUM(H21:H24,H26,H28)=0,"NO",SUM(H21:H24,H26,H28))</f>
        <v>80373.432826064673</v>
      </c>
      <c r="I20" s="1913">
        <f>IF(SUM(I21:I24,I26:I28)=0,"NO",SUM(I21:I24,I26:I28))</f>
        <v>9.8214792544716829</v>
      </c>
      <c r="J20" s="3085">
        <f>IF(SUM(J21:J24,J26:J28)=0,"NO",SUM(J21:J24,J26:J28))</f>
        <v>3.7295570598769516</v>
      </c>
    </row>
    <row r="21" spans="2:10" ht="18" customHeight="1" x14ac:dyDescent="0.2">
      <c r="B21" s="282" t="s">
        <v>167</v>
      </c>
      <c r="C21" s="1913">
        <f>IF(SUM(C31,C41,C51,C61,C72)=0,"NO",SUM(C31,C41,C51,C61,C72))</f>
        <v>599018.2621878708</v>
      </c>
      <c r="D21" s="1909" t="s">
        <v>1814</v>
      </c>
      <c r="E21" s="1913">
        <f t="shared" ref="E21:E23" si="4">IFERROR(H21*1000/$C21,"NA")</f>
        <v>67.399999999999935</v>
      </c>
      <c r="F21" s="1913">
        <f t="shared" ref="F21:G23" si="5">IFERROR(I21*1000000/$C21,"NA")</f>
        <v>8.9820904473717853</v>
      </c>
      <c r="G21" s="1913">
        <f t="shared" si="5"/>
        <v>4.4091302648821964</v>
      </c>
      <c r="H21" s="1913">
        <f>IF(SUM(H31,H41,H51,H61,H72)=0,"NO",SUM(H31,H41,H51,H61,H72))</f>
        <v>40373.830871462458</v>
      </c>
      <c r="I21" s="1913">
        <f>IF(SUM(I31,I41,I51,I61,I72)=0,"NO",SUM(I31,I41,I51,I61,I72))</f>
        <v>5.3804362105989227</v>
      </c>
      <c r="J21" s="3085">
        <f>IF(SUM(J31,J41,J51,J61,J72)=0,"NO",SUM(J31,J41,J51,J61,J72))</f>
        <v>2.6411495490296799</v>
      </c>
    </row>
    <row r="22" spans="2:10" ht="18" customHeight="1" x14ac:dyDescent="0.2">
      <c r="B22" s="282" t="s">
        <v>168</v>
      </c>
      <c r="C22" s="1913">
        <f t="shared" ref="C22:C29" si="6">IF(SUM(C32,C42,C52,C62,C73)=0,"NO",SUM(C32,C42,C52,C62,C73))</f>
        <v>530676.27824859391</v>
      </c>
      <c r="D22" s="1909" t="s">
        <v>1814</v>
      </c>
      <c r="E22" s="1913">
        <f t="shared" si="4"/>
        <v>69.900000000000091</v>
      </c>
      <c r="F22" s="1913">
        <f t="shared" si="5"/>
        <v>5.0456870895028656</v>
      </c>
      <c r="G22" s="1913">
        <f t="shared" si="5"/>
        <v>1.7427763260795819</v>
      </c>
      <c r="H22" s="1913">
        <f t="shared" ref="H22:J29" si="7">IF(SUM(H32,H42,H52,H62,H73)=0,"NO",SUM(H32,H42,H52,H62,H73))</f>
        <v>37094.271849576762</v>
      </c>
      <c r="I22" s="1913">
        <f t="shared" si="7"/>
        <v>2.6776264458643606</v>
      </c>
      <c r="J22" s="3085">
        <f t="shared" si="7"/>
        <v>0.92485005454367042</v>
      </c>
    </row>
    <row r="23" spans="2:10" ht="18" customHeight="1" x14ac:dyDescent="0.2">
      <c r="B23" s="282" t="s">
        <v>169</v>
      </c>
      <c r="C23" s="1913">
        <f t="shared" si="6"/>
        <v>44558</v>
      </c>
      <c r="D23" s="1909" t="s">
        <v>1814</v>
      </c>
      <c r="E23" s="1913">
        <f t="shared" si="4"/>
        <v>60.2</v>
      </c>
      <c r="F23" s="1913">
        <f t="shared" si="5"/>
        <v>26.573357437618405</v>
      </c>
      <c r="G23" s="1913">
        <f t="shared" si="5"/>
        <v>2.7585252182384434</v>
      </c>
      <c r="H23" s="1913">
        <f t="shared" si="7"/>
        <v>2682.3915999999999</v>
      </c>
      <c r="I23" s="1913">
        <f t="shared" si="7"/>
        <v>1.1840556607054009</v>
      </c>
      <c r="J23" s="3085">
        <f t="shared" si="7"/>
        <v>0.12291436667426855</v>
      </c>
    </row>
    <row r="24" spans="2:10" ht="18" customHeight="1" x14ac:dyDescent="0.2">
      <c r="B24" s="282" t="s">
        <v>170</v>
      </c>
      <c r="C24" s="1913" t="str">
        <f>C25</f>
        <v>NO</v>
      </c>
      <c r="D24" s="1909" t="s">
        <v>1814</v>
      </c>
      <c r="E24" s="628"/>
      <c r="F24" s="628"/>
      <c r="G24" s="628"/>
      <c r="H24" s="1913" t="str">
        <f>H25</f>
        <v>NO</v>
      </c>
      <c r="I24" s="1913" t="str">
        <f>I25</f>
        <v>NO</v>
      </c>
      <c r="J24" s="3085" t="str">
        <f>J25</f>
        <v>NO</v>
      </c>
    </row>
    <row r="25" spans="2:10" ht="18" customHeight="1" x14ac:dyDescent="0.2">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
      <c r="B26" s="282" t="s">
        <v>134</v>
      </c>
      <c r="C26" s="1913">
        <f t="shared" si="6"/>
        <v>4331.0000000000027</v>
      </c>
      <c r="D26" s="1909" t="s">
        <v>1814</v>
      </c>
      <c r="E26" s="1913">
        <f t="shared" si="8"/>
        <v>51.411918339264972</v>
      </c>
      <c r="F26" s="1913">
        <f t="shared" si="9"/>
        <v>107.148257629127</v>
      </c>
      <c r="G26" s="1913">
        <f t="shared" si="9"/>
        <v>0.99999999999999978</v>
      </c>
      <c r="H26" s="1913">
        <f t="shared" si="7"/>
        <v>222.66501832735673</v>
      </c>
      <c r="I26" s="1913">
        <f t="shared" si="7"/>
        <v>0.46405910379174936</v>
      </c>
      <c r="J26" s="3085">
        <f t="shared" si="7"/>
        <v>4.3310000000000015E-3</v>
      </c>
    </row>
    <row r="27" spans="2:10" ht="18" customHeight="1" x14ac:dyDescent="0.2">
      <c r="B27" s="282" t="s">
        <v>137</v>
      </c>
      <c r="C27" s="1913">
        <f t="shared" si="6"/>
        <v>4904.0836986311642</v>
      </c>
      <c r="D27" s="1909" t="s">
        <v>1814</v>
      </c>
      <c r="E27" s="1913">
        <f t="shared" si="8"/>
        <v>67.259999999999991</v>
      </c>
      <c r="F27" s="1913">
        <f t="shared" si="9"/>
        <v>23.511391851536697</v>
      </c>
      <c r="G27" s="1913">
        <f t="shared" si="9"/>
        <v>7.4044596015905002</v>
      </c>
      <c r="H27" s="1913">
        <f t="shared" si="7"/>
        <v>329.84866956993204</v>
      </c>
      <c r="I27" s="1913">
        <f t="shared" si="7"/>
        <v>0.1153018335112507</v>
      </c>
      <c r="J27" s="3085">
        <f t="shared" si="7"/>
        <v>3.631208962933298E-2</v>
      </c>
    </row>
    <row r="28" spans="2:10" ht="18" customHeight="1" x14ac:dyDescent="0.2">
      <c r="B28" s="282" t="s">
        <v>181</v>
      </c>
      <c r="C28" s="1913">
        <f>C29</f>
        <v>3.7310600011662598</v>
      </c>
      <c r="D28" s="1909" t="s">
        <v>1814</v>
      </c>
      <c r="E28" s="628"/>
      <c r="F28" s="628"/>
      <c r="G28" s="628"/>
      <c r="H28" s="1913">
        <f>H29</f>
        <v>0.27348669808548676</v>
      </c>
      <c r="I28" s="1913" t="str">
        <f>I29</f>
        <v>NE</v>
      </c>
      <c r="J28" s="3085" t="str">
        <f>J29</f>
        <v>NE</v>
      </c>
    </row>
    <row r="29" spans="2:10" ht="18" customHeight="1" x14ac:dyDescent="0.2">
      <c r="B29" s="3105" t="s">
        <v>252</v>
      </c>
      <c r="C29" s="1913">
        <f t="shared" si="6"/>
        <v>3.7310600011662598</v>
      </c>
      <c r="D29" s="1909" t="s">
        <v>1814</v>
      </c>
      <c r="E29" s="3103">
        <f t="shared" ref="E29" si="10">IFERROR(H29*1000/$C29,"NA")</f>
        <v>73.299999999999969</v>
      </c>
      <c r="F29" s="3103" t="str">
        <f>IFERROR(I29*1000000/$C29,"NA")</f>
        <v>NA</v>
      </c>
      <c r="G29" s="3103" t="str">
        <f>IFERROR(J29*1000000/$C29,"NA")</f>
        <v>NA</v>
      </c>
      <c r="H29" s="1913">
        <f t="shared" si="7"/>
        <v>0.27348669808548676</v>
      </c>
      <c r="I29" s="1913" t="str">
        <f>IF(SUM(I39,I49,I59,I69,I80)=0,"NE",SUM(I39,I49,I59,I69,I80))</f>
        <v>NE</v>
      </c>
      <c r="J29" s="3085" t="str">
        <f>IF(SUM(J39,J49,J59,J69,J80)=0,"NE",SUM(J39,J49,J59,J69,J80))</f>
        <v>NE</v>
      </c>
    </row>
    <row r="30" spans="2:10" ht="18" customHeight="1" x14ac:dyDescent="0.2">
      <c r="B30" s="1242" t="s">
        <v>182</v>
      </c>
      <c r="C30" s="1913">
        <f>IF(SUM(C31:C34,C36:C38)=0,"NO",SUM(C31:C34,C36:C38))</f>
        <v>646544.21389003878</v>
      </c>
      <c r="D30" s="1909" t="s">
        <v>1814</v>
      </c>
      <c r="E30" s="628"/>
      <c r="F30" s="628"/>
      <c r="G30" s="628"/>
      <c r="H30" s="1913">
        <f>IF(SUM(H31:H34,H36,H38)=0,"NO",SUM(H31:H34,H36,H38))</f>
        <v>43335.637933876184</v>
      </c>
      <c r="I30" s="1913">
        <f>IF(SUM(I31:I34,I36:I38)=0,"NO",SUM(I31:I34,I36:I38))</f>
        <v>5.6003263070067204</v>
      </c>
      <c r="J30" s="3085">
        <f>IF(SUM(J31:J34,J36:J38)=0,"NO",SUM(J31:J34,J36:J38))</f>
        <v>2.5791427667949742</v>
      </c>
    </row>
    <row r="31" spans="2:10" ht="18" customHeight="1" x14ac:dyDescent="0.2">
      <c r="B31" s="282" t="s">
        <v>167</v>
      </c>
      <c r="C31" s="691">
        <v>527711.46882678603</v>
      </c>
      <c r="D31" s="1909" t="s">
        <v>1814</v>
      </c>
      <c r="E31" s="1913">
        <f t="shared" ref="E31:E33" si="11">IFERROR(H31*1000/$C31,"NA")</f>
        <v>67.399999999999935</v>
      </c>
      <c r="F31" s="1913">
        <f t="shared" ref="F31:G33" si="12">IFERROR(I31*1000000/$C31,"NA")</f>
        <v>8.1186660056795024</v>
      </c>
      <c r="G31" s="1913">
        <f t="shared" si="12"/>
        <v>4.4756373982858433</v>
      </c>
      <c r="H31" s="691">
        <v>35567.752998925345</v>
      </c>
      <c r="I31" s="691">
        <v>4.2843131627712259</v>
      </c>
      <c r="J31" s="2911">
        <v>2.3618451853855174</v>
      </c>
    </row>
    <row r="32" spans="2:10" ht="18" customHeight="1" x14ac:dyDescent="0.2">
      <c r="B32" s="282" t="s">
        <v>168</v>
      </c>
      <c r="C32" s="691">
        <v>90543.731821342808</v>
      </c>
      <c r="D32" s="1909" t="s">
        <v>1814</v>
      </c>
      <c r="E32" s="1913">
        <f t="shared" si="11"/>
        <v>69.899999999999977</v>
      </c>
      <c r="F32" s="1913">
        <f t="shared" si="12"/>
        <v>4.6079599861185869</v>
      </c>
      <c r="G32" s="1913">
        <f t="shared" si="12"/>
        <v>1.2763575431969081</v>
      </c>
      <c r="H32" s="691">
        <v>6329.0068543118605</v>
      </c>
      <c r="I32" s="691">
        <v>0.41722189322659986</v>
      </c>
      <c r="J32" s="2911">
        <v>0.11556617509936881</v>
      </c>
    </row>
    <row r="33" spans="2:10" ht="18" customHeight="1" x14ac:dyDescent="0.2">
      <c r="B33" s="282" t="s">
        <v>169</v>
      </c>
      <c r="C33" s="691">
        <v>23845.076046458002</v>
      </c>
      <c r="D33" s="1909" t="s">
        <v>1814</v>
      </c>
      <c r="E33" s="1913">
        <f t="shared" si="11"/>
        <v>60.199999999999982</v>
      </c>
      <c r="F33" s="1913">
        <f t="shared" si="12"/>
        <v>32.849615457965569</v>
      </c>
      <c r="G33" s="1913">
        <f t="shared" si="12"/>
        <v>3.0154326273352239</v>
      </c>
      <c r="H33" s="691">
        <v>1435.4735779967714</v>
      </c>
      <c r="I33" s="691">
        <v>0.78330157869209127</v>
      </c>
      <c r="J33" s="2911">
        <v>7.1903220311779065E-2</v>
      </c>
    </row>
    <row r="34" spans="2:10" ht="18" customHeight="1" x14ac:dyDescent="0.2">
      <c r="B34" s="282" t="s">
        <v>170</v>
      </c>
      <c r="C34" s="1913" t="str">
        <f>C35</f>
        <v>NO</v>
      </c>
      <c r="D34" s="1909" t="s">
        <v>1814</v>
      </c>
      <c r="E34" s="628"/>
      <c r="F34" s="628"/>
      <c r="G34" s="628"/>
      <c r="H34" s="1913" t="str">
        <f>H35</f>
        <v>NO</v>
      </c>
      <c r="I34" s="1913" t="str">
        <f>I35</f>
        <v>NO</v>
      </c>
      <c r="J34" s="3085" t="str">
        <f>J35</f>
        <v>NO</v>
      </c>
    </row>
    <row r="35" spans="2:10" ht="18" customHeight="1" x14ac:dyDescent="0.2">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
      <c r="B36" s="282" t="s">
        <v>134</v>
      </c>
      <c r="C36" s="691">
        <v>66.220105224176592</v>
      </c>
      <c r="D36" s="1909" t="s">
        <v>1814</v>
      </c>
      <c r="E36" s="1913">
        <f t="shared" si="13"/>
        <v>51.411918339265014</v>
      </c>
      <c r="F36" s="1913">
        <f t="shared" si="14"/>
        <v>261.00000000000006</v>
      </c>
      <c r="G36" s="1913">
        <f t="shared" si="14"/>
        <v>1.0000000000000004</v>
      </c>
      <c r="H36" s="691">
        <v>3.4045026422029037</v>
      </c>
      <c r="I36" s="691">
        <v>1.7283447463510095E-2</v>
      </c>
      <c r="J36" s="2911">
        <v>6.6220105224176621E-5</v>
      </c>
    </row>
    <row r="37" spans="2:10" ht="18" customHeight="1" x14ac:dyDescent="0.2">
      <c r="B37" s="282" t="s">
        <v>137</v>
      </c>
      <c r="C37" s="691">
        <v>4377.7170902277394</v>
      </c>
      <c r="D37" s="1909" t="s">
        <v>1814</v>
      </c>
      <c r="E37" s="1913">
        <f t="shared" si="13"/>
        <v>67.259999999999977</v>
      </c>
      <c r="F37" s="1913">
        <f t="shared" si="14"/>
        <v>22.43320498542883</v>
      </c>
      <c r="G37" s="1913">
        <f t="shared" si="14"/>
        <v>6.7985128503442942</v>
      </c>
      <c r="H37" s="691">
        <v>294.44525148871764</v>
      </c>
      <c r="I37" s="691">
        <v>9.8206224853293916E-2</v>
      </c>
      <c r="J37" s="2911">
        <v>2.9761965893085118E-2</v>
      </c>
    </row>
    <row r="38" spans="2:10" ht="18" customHeight="1" x14ac:dyDescent="0.2">
      <c r="B38" s="282" t="s">
        <v>183</v>
      </c>
      <c r="C38" s="1913" t="str">
        <f>C39</f>
        <v>NO</v>
      </c>
      <c r="D38" s="1909" t="s">
        <v>1814</v>
      </c>
      <c r="E38" s="628"/>
      <c r="F38" s="628"/>
      <c r="G38" s="628"/>
      <c r="H38" s="1913" t="str">
        <f>H39</f>
        <v>NO</v>
      </c>
      <c r="I38" s="1913" t="str">
        <f>I39</f>
        <v>NO</v>
      </c>
      <c r="J38" s="3085" t="str">
        <f>J39</f>
        <v>NO</v>
      </c>
    </row>
    <row r="39" spans="2:10" ht="18" customHeight="1" x14ac:dyDescent="0.2">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
      <c r="B40" s="1242" t="s">
        <v>184</v>
      </c>
      <c r="C40" s="1913">
        <f>IF(SUM(C41:C44,C46:C48)=0,"NO",SUM(C41:C44,C46:C48))</f>
        <v>221067.86419629038</v>
      </c>
      <c r="D40" s="1909" t="s">
        <v>1814</v>
      </c>
      <c r="E40" s="628"/>
      <c r="F40" s="628"/>
      <c r="G40" s="628"/>
      <c r="H40" s="1913">
        <f>IF(SUM(H41:H44,H46,H48)=0,"NO",SUM(H41:H44,H46,H48))</f>
        <v>15138.01420016166</v>
      </c>
      <c r="I40" s="1913">
        <f>IF(SUM(I41:I44,I46:I48)=0,"NO",SUM(I41:I44,I46:I48))</f>
        <v>2.1883589335778115</v>
      </c>
      <c r="J40" s="3085">
        <f>IF(SUM(J41:J44,J46:J48)=0,"NO",SUM(J41:J44,J46:J48))</f>
        <v>0.55977468298855859</v>
      </c>
    </row>
    <row r="41" spans="2:10" ht="18" customHeight="1" x14ac:dyDescent="0.2">
      <c r="B41" s="282" t="s">
        <v>167</v>
      </c>
      <c r="C41" s="691">
        <v>65504.748065936299</v>
      </c>
      <c r="D41" s="1909" t="s">
        <v>1814</v>
      </c>
      <c r="E41" s="1913">
        <f t="shared" ref="E41:E43" si="16">IFERROR(H41*1000/$C41,"NA")</f>
        <v>67.40000000000002</v>
      </c>
      <c r="F41" s="1913">
        <f t="shared" ref="F41:G43" si="17">IFERROR(I41*1000000/$C41,"NA")</f>
        <v>11.289057409274642</v>
      </c>
      <c r="G41" s="1913">
        <f t="shared" si="17"/>
        <v>4.1726945408954004</v>
      </c>
      <c r="H41" s="691">
        <v>4415.0200196441074</v>
      </c>
      <c r="I41" s="691">
        <v>0.73948686149642695</v>
      </c>
      <c r="J41" s="2911">
        <v>0.27333130465746097</v>
      </c>
    </row>
    <row r="42" spans="2:10" ht="18" customHeight="1" x14ac:dyDescent="0.2">
      <c r="B42" s="282" t="s">
        <v>168</v>
      </c>
      <c r="C42" s="691">
        <v>143367.26533969099</v>
      </c>
      <c r="D42" s="1909" t="s">
        <v>1814</v>
      </c>
      <c r="E42" s="1913">
        <f t="shared" si="16"/>
        <v>69.900000000000205</v>
      </c>
      <c r="F42" s="1913">
        <f t="shared" si="17"/>
        <v>7.6377569885294765</v>
      </c>
      <c r="G42" s="1913">
        <f t="shared" si="17"/>
        <v>1.6972157569760209</v>
      </c>
      <c r="H42" s="691">
        <v>10021.371847244431</v>
      </c>
      <c r="I42" s="691">
        <v>1.0950043327745846</v>
      </c>
      <c r="J42" s="2911">
        <v>0.24332518176908566</v>
      </c>
    </row>
    <row r="43" spans="2:10" ht="18" customHeight="1" x14ac:dyDescent="0.2">
      <c r="B43" s="282" t="s">
        <v>169</v>
      </c>
      <c r="C43" s="691">
        <v>11569.278638785401</v>
      </c>
      <c r="D43" s="1909" t="s">
        <v>1814</v>
      </c>
      <c r="E43" s="1913">
        <f t="shared" si="16"/>
        <v>60.199999999999967</v>
      </c>
      <c r="F43" s="1913">
        <f t="shared" si="17"/>
        <v>26.848561046903143</v>
      </c>
      <c r="G43" s="1913">
        <f t="shared" si="17"/>
        <v>3.1521297412643623</v>
      </c>
      <c r="H43" s="691">
        <v>696.47057405488079</v>
      </c>
      <c r="I43" s="691">
        <v>0.31061848380206236</v>
      </c>
      <c r="J43" s="2911">
        <v>3.6467867282289942E-2</v>
      </c>
    </row>
    <row r="44" spans="2:10" ht="18" customHeight="1" x14ac:dyDescent="0.2">
      <c r="B44" s="282" t="s">
        <v>170</v>
      </c>
      <c r="C44" s="1913" t="str">
        <f>C45</f>
        <v>NO</v>
      </c>
      <c r="D44" s="1909" t="s">
        <v>1814</v>
      </c>
      <c r="E44" s="628"/>
      <c r="F44" s="628"/>
      <c r="G44" s="628"/>
      <c r="H44" s="1913" t="str">
        <f>H45</f>
        <v>NO</v>
      </c>
      <c r="I44" s="1913" t="str">
        <f>I45</f>
        <v>NO</v>
      </c>
      <c r="J44" s="3085" t="str">
        <f>J45</f>
        <v>NO</v>
      </c>
    </row>
    <row r="45" spans="2:10" ht="18" customHeight="1" x14ac:dyDescent="0.2">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
      <c r="B46" s="282" t="s">
        <v>134</v>
      </c>
      <c r="C46" s="691">
        <v>100.205543474256</v>
      </c>
      <c r="D46" s="1909" t="s">
        <v>1814</v>
      </c>
      <c r="E46" s="1913">
        <f t="shared" si="18"/>
        <v>51.411918339265071</v>
      </c>
      <c r="F46" s="1913">
        <f t="shared" si="19"/>
        <v>261.0000000000004</v>
      </c>
      <c r="G46" s="1913">
        <f t="shared" si="19"/>
        <v>1.0000000000000013</v>
      </c>
      <c r="H46" s="691">
        <v>5.1517592182401257</v>
      </c>
      <c r="I46" s="691">
        <v>2.6153646846780856E-2</v>
      </c>
      <c r="J46" s="2911">
        <v>1.0020554347425615E-4</v>
      </c>
    </row>
    <row r="47" spans="2:10" ht="18" customHeight="1" x14ac:dyDescent="0.2">
      <c r="B47" s="282" t="s">
        <v>137</v>
      </c>
      <c r="C47" s="691">
        <v>526.36660840342495</v>
      </c>
      <c r="D47" s="1909" t="s">
        <v>1814</v>
      </c>
      <c r="E47" s="1913">
        <f t="shared" si="18"/>
        <v>67.260000000000019</v>
      </c>
      <c r="F47" s="1913">
        <f t="shared" si="19"/>
        <v>32.478520455184601</v>
      </c>
      <c r="G47" s="1913">
        <f t="shared" si="19"/>
        <v>12.44403355318396</v>
      </c>
      <c r="H47" s="691">
        <v>35.403418081214376</v>
      </c>
      <c r="I47" s="691">
        <v>1.7095608657956778E-2</v>
      </c>
      <c r="J47" s="2911">
        <v>6.5501237362478627E-3</v>
      </c>
    </row>
    <row r="48" spans="2:10" ht="18" customHeight="1" x14ac:dyDescent="0.2">
      <c r="B48" s="282" t="s">
        <v>183</v>
      </c>
      <c r="C48" s="1913" t="str">
        <f>C49</f>
        <v>NO</v>
      </c>
      <c r="D48" s="1909" t="s">
        <v>1814</v>
      </c>
      <c r="E48" s="628"/>
      <c r="F48" s="628"/>
      <c r="G48" s="628"/>
      <c r="H48" s="1913" t="str">
        <f>H49</f>
        <v>NO</v>
      </c>
      <c r="I48" s="1913" t="str">
        <f>I49</f>
        <v>NO</v>
      </c>
      <c r="J48" s="3085" t="str">
        <f>J49</f>
        <v>NO</v>
      </c>
    </row>
    <row r="49" spans="2:10" ht="18" customHeight="1" x14ac:dyDescent="0.2">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
      <c r="B50" s="1242" t="s">
        <v>185</v>
      </c>
      <c r="C50" s="1913">
        <f>IF(SUM(C51:C54,C56:C58)=0,"NO",SUM(C51:C54,C56:C58))</f>
        <v>311652.75568602554</v>
      </c>
      <c r="D50" s="1909" t="s">
        <v>1814</v>
      </c>
      <c r="E50" s="628"/>
      <c r="F50" s="628"/>
      <c r="G50" s="628"/>
      <c r="H50" s="1913">
        <f>IF(SUM(H51:H54,H56,H58)=0,"NO",SUM(H51:H54,H56,H58))</f>
        <v>21614.891134879977</v>
      </c>
      <c r="I50" s="1913">
        <f>IF(SUM(I51:I54,I56:I58)=0,"NO",SUM(I51:I54,I56:I58))</f>
        <v>1.7020616859782252</v>
      </c>
      <c r="J50" s="3085">
        <f>IF(SUM(J51:J54,J56:J58)=0,"NO",SUM(J51:J54,J56:J58))</f>
        <v>0.58622984572129977</v>
      </c>
    </row>
    <row r="51" spans="2:10" ht="18" customHeight="1" x14ac:dyDescent="0.2">
      <c r="B51" s="282" t="s">
        <v>167</v>
      </c>
      <c r="C51" s="691">
        <v>1579.25493240727</v>
      </c>
      <c r="D51" s="1909" t="s">
        <v>1814</v>
      </c>
      <c r="E51" s="1913">
        <f t="shared" ref="E51:E53" si="21">IFERROR(H51*1000/$C51,"NA")</f>
        <v>67.399999999999991</v>
      </c>
      <c r="F51" s="1913">
        <f t="shared" ref="F51:G53" si="22">IFERROR(I51*1000000/$C51,"NA")</f>
        <v>16.402581933278039</v>
      </c>
      <c r="G51" s="1913">
        <f t="shared" si="22"/>
        <v>0.9898937673094812</v>
      </c>
      <c r="H51" s="691">
        <v>106.44178244424998</v>
      </c>
      <c r="I51" s="691">
        <v>2.5903858422343717E-2</v>
      </c>
      <c r="J51" s="2911">
        <v>1.5632946145827124E-3</v>
      </c>
    </row>
    <row r="52" spans="2:10" ht="18" customHeight="1" x14ac:dyDescent="0.2">
      <c r="B52" s="282" t="s">
        <v>168</v>
      </c>
      <c r="C52" s="691">
        <v>296765.28108756006</v>
      </c>
      <c r="D52" s="1909" t="s">
        <v>1814</v>
      </c>
      <c r="E52" s="1913">
        <f t="shared" si="21"/>
        <v>69.900000000000063</v>
      </c>
      <c r="F52" s="1913">
        <f t="shared" si="22"/>
        <v>3.9270099776911795</v>
      </c>
      <c r="G52" s="1913">
        <f t="shared" si="22"/>
        <v>1.9070920142718137</v>
      </c>
      <c r="H52" s="691">
        <v>20743.893148020466</v>
      </c>
      <c r="I52" s="691">
        <v>1.1654002198631759</v>
      </c>
      <c r="J52" s="2911">
        <v>0.56595869767521589</v>
      </c>
    </row>
    <row r="53" spans="2:10" ht="18" customHeight="1" x14ac:dyDescent="0.2">
      <c r="B53" s="282" t="s">
        <v>169</v>
      </c>
      <c r="C53" s="691">
        <v>9143.6453147566008</v>
      </c>
      <c r="D53" s="1909" t="s">
        <v>1814</v>
      </c>
      <c r="E53" s="1913">
        <f t="shared" si="21"/>
        <v>60.200000000000045</v>
      </c>
      <c r="F53" s="1913">
        <f t="shared" si="22"/>
        <v>9.8577312558023991</v>
      </c>
      <c r="G53" s="1913">
        <f t="shared" si="22"/>
        <v>1.5905340353402233</v>
      </c>
      <c r="H53" s="691">
        <v>550.44744794834776</v>
      </c>
      <c r="I53" s="691">
        <v>9.0135598211247309E-2</v>
      </c>
      <c r="J53" s="2911">
        <v>1.4543279080199542E-2</v>
      </c>
    </row>
    <row r="54" spans="2:10" ht="18" customHeight="1" x14ac:dyDescent="0.2">
      <c r="B54" s="282" t="s">
        <v>170</v>
      </c>
      <c r="C54" s="1913" t="str">
        <f>C55</f>
        <v>NO</v>
      </c>
      <c r="D54" s="1909" t="s">
        <v>1814</v>
      </c>
      <c r="E54" s="628"/>
      <c r="F54" s="628"/>
      <c r="G54" s="628"/>
      <c r="H54" s="1913" t="str">
        <f>H55</f>
        <v>NO</v>
      </c>
      <c r="I54" s="1913" t="str">
        <f>I55</f>
        <v>NO</v>
      </c>
      <c r="J54" s="3085" t="str">
        <f>J55</f>
        <v>NO</v>
      </c>
    </row>
    <row r="55" spans="2:10" ht="18" customHeight="1" x14ac:dyDescent="0.2">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
      <c r="B56" s="282" t="s">
        <v>134</v>
      </c>
      <c r="C56" s="691">
        <v>4164.5743513015705</v>
      </c>
      <c r="D56" s="1909" t="s">
        <v>1814</v>
      </c>
      <c r="E56" s="1913">
        <f t="shared" si="23"/>
        <v>51.411918339264965</v>
      </c>
      <c r="F56" s="1913">
        <f t="shared" si="24"/>
        <v>100.99999999999994</v>
      </c>
      <c r="G56" s="1913">
        <f t="shared" si="24"/>
        <v>0.99999999999999956</v>
      </c>
      <c r="H56" s="691">
        <v>214.10875646691372</v>
      </c>
      <c r="I56" s="691">
        <v>0.42062200948145839</v>
      </c>
      <c r="J56" s="2911">
        <v>4.1645743513015684E-3</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
      <c r="B58" s="282" t="s">
        <v>183</v>
      </c>
      <c r="C58" s="1913" t="str">
        <f>C59</f>
        <v>NO</v>
      </c>
      <c r="D58" s="1909" t="s">
        <v>1814</v>
      </c>
      <c r="E58" s="628"/>
      <c r="F58" s="628"/>
      <c r="G58" s="628"/>
      <c r="H58" s="1913" t="str">
        <f>H59</f>
        <v>NO</v>
      </c>
      <c r="I58" s="1913" t="str">
        <f>I59</f>
        <v>NO</v>
      </c>
      <c r="J58" s="3085" t="str">
        <f>J59</f>
        <v>NO</v>
      </c>
    </row>
    <row r="59" spans="2:10" ht="18" customHeight="1" x14ac:dyDescent="0.2">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
      <c r="B60" s="1242" t="s">
        <v>186</v>
      </c>
      <c r="C60" s="1913">
        <f>IF(SUM(C61:C64,C66:C68)=0,"NO",SUM(C61:C64,C66:C68))</f>
        <v>4226.5214227423457</v>
      </c>
      <c r="D60" s="1909" t="s">
        <v>1814</v>
      </c>
      <c r="E60" s="628"/>
      <c r="F60" s="628"/>
      <c r="G60" s="628"/>
      <c r="H60" s="1913">
        <f>IF(SUM(H61:H64,H66,H68)=0,"NO",SUM(H61:H64,H66,H68))</f>
        <v>284.88955714684084</v>
      </c>
      <c r="I60" s="1913">
        <f>IF(SUM(I61:I64,I66:I68)=0,"NO",SUM(I61:I64,I66:I68))</f>
        <v>0.3307323279089267</v>
      </c>
      <c r="J60" s="3085">
        <f>IF(SUM(J61:J64,J66:J68)=0,"NO",SUM(J61:J64,J66:J68))</f>
        <v>4.4097643721190231E-3</v>
      </c>
    </row>
    <row r="61" spans="2:10" ht="18" customHeight="1" x14ac:dyDescent="0.2">
      <c r="B61" s="282" t="s">
        <v>167</v>
      </c>
      <c r="C61" s="691">
        <v>4222.7903627411797</v>
      </c>
      <c r="D61" s="1909" t="s">
        <v>1814</v>
      </c>
      <c r="E61" s="1913">
        <f t="shared" ref="E61:E63" si="26">IFERROR(H61*1000/$C61,"NA")</f>
        <v>67.399999999999963</v>
      </c>
      <c r="F61" s="1913">
        <f t="shared" ref="F61:G63" si="27">IFERROR(I61*1000000/$C61,"NA")</f>
        <v>78.320802005012467</v>
      </c>
      <c r="G61" s="1913">
        <f t="shared" si="27"/>
        <v>1.0442773600668331</v>
      </c>
      <c r="H61" s="691">
        <v>284.61607044875535</v>
      </c>
      <c r="I61" s="691">
        <v>0.3307323279089267</v>
      </c>
      <c r="J61" s="2911">
        <v>4.4097643721190231E-3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
      <c r="B64" s="282" t="s">
        <v>170</v>
      </c>
      <c r="C64" s="1913" t="str">
        <f>C65</f>
        <v>NO</v>
      </c>
      <c r="D64" s="1909" t="s">
        <v>1814</v>
      </c>
      <c r="E64" s="628"/>
      <c r="F64" s="628"/>
      <c r="G64" s="628"/>
      <c r="H64" s="1913" t="str">
        <f>H65</f>
        <v>NO</v>
      </c>
      <c r="I64" s="1913" t="str">
        <f>I65</f>
        <v>NO</v>
      </c>
      <c r="J64" s="3085" t="str">
        <f>J65</f>
        <v>NO</v>
      </c>
    </row>
    <row r="65" spans="2:10" ht="18" customHeight="1" x14ac:dyDescent="0.2">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
      <c r="B68" s="282" t="s">
        <v>183</v>
      </c>
      <c r="C68" s="1913">
        <f>C69</f>
        <v>3.7310600011662598</v>
      </c>
      <c r="D68" s="1909" t="s">
        <v>1814</v>
      </c>
      <c r="E68" s="628"/>
      <c r="F68" s="628"/>
      <c r="G68" s="628"/>
      <c r="H68" s="1913">
        <f>H69</f>
        <v>0.27348669808548676</v>
      </c>
      <c r="I68" s="1913" t="str">
        <f>I69</f>
        <v>NE</v>
      </c>
      <c r="J68" s="3085" t="str">
        <f>J69</f>
        <v>NE</v>
      </c>
    </row>
    <row r="69" spans="2:10" ht="18" customHeight="1" x14ac:dyDescent="0.2">
      <c r="B69" s="3105" t="s">
        <v>252</v>
      </c>
      <c r="C69" s="691">
        <v>3.7310600011662598</v>
      </c>
      <c r="D69" s="1909" t="s">
        <v>1814</v>
      </c>
      <c r="E69" s="3103">
        <f t="shared" ref="E69" si="30">IFERROR(H69*1000/$C69,"NA")</f>
        <v>73.299999999999969</v>
      </c>
      <c r="F69" s="3103" t="str">
        <f>IFERROR(I69*1000000/$C69,"NA")</f>
        <v>NA</v>
      </c>
      <c r="G69" s="3103" t="str">
        <f>IFERROR(J69*1000000/$C69,"NA")</f>
        <v>NA</v>
      </c>
      <c r="H69" s="691">
        <v>0.27348669808548676</v>
      </c>
      <c r="I69" s="691" t="s">
        <v>2154</v>
      </c>
      <c r="J69" s="2911" t="s">
        <v>2154</v>
      </c>
    </row>
    <row r="70" spans="2:10" ht="18" customHeight="1" x14ac:dyDescent="0.2">
      <c r="B70" s="1242" t="s">
        <v>187</v>
      </c>
      <c r="C70" s="1913" t="str">
        <f>C71</f>
        <v>NO</v>
      </c>
      <c r="D70" s="1909" t="s">
        <v>1814</v>
      </c>
      <c r="E70" s="628"/>
      <c r="F70" s="628"/>
      <c r="G70" s="628"/>
      <c r="H70" s="1913" t="str">
        <f>H71</f>
        <v>NO</v>
      </c>
      <c r="I70" s="1913" t="str">
        <f>I71</f>
        <v>NO</v>
      </c>
      <c r="J70" s="3085" t="str">
        <f>J71</f>
        <v>NO</v>
      </c>
    </row>
    <row r="71" spans="2:10" ht="18" customHeight="1" x14ac:dyDescent="0.2">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
      <c r="B75" s="282" t="s">
        <v>170</v>
      </c>
      <c r="C75" s="1913" t="str">
        <f>C76</f>
        <v>NO</v>
      </c>
      <c r="D75" s="1909" t="s">
        <v>1814</v>
      </c>
      <c r="E75" s="628"/>
      <c r="F75" s="628"/>
      <c r="G75" s="628"/>
      <c r="H75" s="1913" t="str">
        <f>H76</f>
        <v>NO</v>
      </c>
      <c r="I75" s="1913" t="str">
        <f>I76</f>
        <v>NO</v>
      </c>
      <c r="J75" s="3085" t="str">
        <f>J76</f>
        <v>NO</v>
      </c>
    </row>
    <row r="76" spans="2:10" ht="18" customHeight="1" x14ac:dyDescent="0.2">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
      <c r="B79" s="282" t="s">
        <v>183</v>
      </c>
      <c r="C79" s="1913" t="str">
        <f>C80</f>
        <v>NO</v>
      </c>
      <c r="D79" s="1909" t="s">
        <v>1814</v>
      </c>
      <c r="E79" s="628"/>
      <c r="F79" s="628"/>
      <c r="G79" s="628"/>
      <c r="H79" s="1913" t="str">
        <f>H80</f>
        <v>NO</v>
      </c>
      <c r="I79" s="1913" t="str">
        <f>I80</f>
        <v>NO</v>
      </c>
      <c r="J79" s="3085" t="str">
        <f>J80</f>
        <v>NO</v>
      </c>
    </row>
    <row r="80" spans="2:10" ht="18" customHeight="1" x14ac:dyDescent="0.2">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
      <c r="B81" s="1241" t="s">
        <v>188</v>
      </c>
      <c r="C81" s="1913">
        <f>IF(SUM(C82:C86)=0,"NO",SUM(C82:C86))</f>
        <v>47769.536999999997</v>
      </c>
      <c r="D81" s="1909" t="s">
        <v>1814</v>
      </c>
      <c r="E81" s="628"/>
      <c r="F81" s="628"/>
      <c r="G81" s="628"/>
      <c r="H81" s="1913">
        <f>IF(SUM(H82:H84,H86)=0,"NO",SUM(H82:H84,H86))</f>
        <v>3339.0963232000004</v>
      </c>
      <c r="I81" s="1913">
        <f>IF(SUM(I82:I86)=0,"NO",SUM(I82:I86))</f>
        <v>0.19107200000000002</v>
      </c>
      <c r="J81" s="3085">
        <f>IF(SUM(J82:J86)=0,"NO",SUM(J82:J86))</f>
        <v>1.4330400000000001</v>
      </c>
    </row>
    <row r="82" spans="2:10" ht="18" customHeight="1" x14ac:dyDescent="0.2">
      <c r="B82" s="282" t="s">
        <v>132</v>
      </c>
      <c r="C82" s="691">
        <v>47769.536999999997</v>
      </c>
      <c r="D82" s="1909" t="s">
        <v>1814</v>
      </c>
      <c r="E82" s="1913">
        <f t="shared" ref="E82:E85" si="36">IFERROR(H82*1000/$C82,"NA")</f>
        <v>69.900119048673233</v>
      </c>
      <c r="F82" s="1913">
        <f t="shared" ref="F82:G85" si="37">IFERROR(I82*1000000/$C82,"NA")</f>
        <v>3.9998712987316591</v>
      </c>
      <c r="G82" s="1913">
        <f t="shared" si="37"/>
        <v>29.999034740487438</v>
      </c>
      <c r="H82" s="691">
        <v>3339.0963232000004</v>
      </c>
      <c r="I82" s="691">
        <v>0.19107200000000002</v>
      </c>
      <c r="J82" s="2911">
        <v>1.4330400000000001</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
      <c r="B84" s="282" t="s">
        <v>134</v>
      </c>
      <c r="C84" s="691" t="s">
        <v>2146</v>
      </c>
      <c r="D84" s="1909" t="s">
        <v>1814</v>
      </c>
      <c r="E84" s="1913" t="str">
        <f t="shared" si="36"/>
        <v>NA</v>
      </c>
      <c r="F84" s="1913" t="str">
        <f t="shared" si="37"/>
        <v>NA</v>
      </c>
      <c r="G84" s="1913" t="str">
        <f t="shared" si="37"/>
        <v>NA</v>
      </c>
      <c r="H84" s="691" t="s">
        <v>2146</v>
      </c>
      <c r="I84" s="691" t="s">
        <v>2146</v>
      </c>
      <c r="J84" s="2911"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
      <c r="B86" s="282" t="s">
        <v>183</v>
      </c>
      <c r="C86" s="1913" t="str">
        <f>C87</f>
        <v>NO</v>
      </c>
      <c r="D86" s="1909" t="s">
        <v>1814</v>
      </c>
      <c r="E86" s="628"/>
      <c r="F86" s="628"/>
      <c r="G86" s="628"/>
      <c r="H86" s="1913" t="str">
        <f>H87</f>
        <v>NO</v>
      </c>
      <c r="I86" s="1913" t="str">
        <f>I87</f>
        <v>NO</v>
      </c>
      <c r="J86" s="3085" t="str">
        <f>J87</f>
        <v>NO</v>
      </c>
    </row>
    <row r="87" spans="2:10" ht="18" customHeight="1" x14ac:dyDescent="0.2">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
      <c r="B88" s="1241" t="s">
        <v>189</v>
      </c>
      <c r="C88" s="1913">
        <f>IF(SUM(C89:C92,C94:C96)=0,"NO",SUM(C89:C92,C94:C96))</f>
        <v>21716.340079367943</v>
      </c>
      <c r="D88" s="1909" t="s">
        <v>1814</v>
      </c>
      <c r="E88" s="628"/>
      <c r="F88" s="628"/>
      <c r="G88" s="628"/>
      <c r="H88" s="1913">
        <f>IF(SUM(H89:H92,H94,H96)=0,"NO",SUM(H89:H92,H94,H96))</f>
        <v>1486.1385225393151</v>
      </c>
      <c r="I88" s="3334">
        <f>IF(SUM(I89:I92,I94:I96)=0,"NE",SUM(I89:I92,I94:I96))</f>
        <v>4.6757199063380739</v>
      </c>
      <c r="J88" s="3335">
        <f>IF(SUM(J89:J92,J94:J96)=0,"NE",SUM(J89:J92,J94:J96))</f>
        <v>2.9836174593860565E-2</v>
      </c>
    </row>
    <row r="89" spans="2:10" ht="18" customHeight="1" x14ac:dyDescent="0.2">
      <c r="B89" s="282" t="s">
        <v>190</v>
      </c>
      <c r="C89" s="691">
        <v>2494.3000571620601</v>
      </c>
      <c r="D89" s="1909" t="s">
        <v>1814</v>
      </c>
      <c r="E89" s="1913">
        <f t="shared" ref="E89:E91" si="39">IFERROR(H89*1000/$C89,"NA")</f>
        <v>73.599999999999838</v>
      </c>
      <c r="F89" s="1913">
        <f t="shared" ref="F89:G91" si="40">IFERROR(I89*1000000/$C89,"NA")</f>
        <v>6.9999999999999849</v>
      </c>
      <c r="G89" s="1913">
        <f t="shared" si="40"/>
        <v>1.999999999999996</v>
      </c>
      <c r="H89" s="691">
        <v>183.58048420712723</v>
      </c>
      <c r="I89" s="3336">
        <v>1.7460100400134383E-2</v>
      </c>
      <c r="J89" s="3337">
        <v>4.9886001143241102E-3</v>
      </c>
    </row>
    <row r="90" spans="2:10" ht="18" customHeight="1" x14ac:dyDescent="0.2">
      <c r="B90" s="282" t="s">
        <v>191</v>
      </c>
      <c r="C90" s="691">
        <v>6468.2304445776899</v>
      </c>
      <c r="D90" s="1909" t="s">
        <v>1814</v>
      </c>
      <c r="E90" s="1913">
        <f t="shared" si="39"/>
        <v>69.899999999999949</v>
      </c>
      <c r="F90" s="1913">
        <f t="shared" si="40"/>
        <v>6.9999999999999947</v>
      </c>
      <c r="G90" s="1913">
        <f t="shared" si="40"/>
        <v>1.9999999999999982</v>
      </c>
      <c r="H90" s="691">
        <v>452.12930807598025</v>
      </c>
      <c r="I90" s="3336">
        <v>4.5277613112043792E-2</v>
      </c>
      <c r="J90" s="3337">
        <v>1.2936460889155369E-2</v>
      </c>
    </row>
    <row r="91" spans="2:10" ht="18" customHeight="1" x14ac:dyDescent="0.2">
      <c r="B91" s="282" t="s">
        <v>167</v>
      </c>
      <c r="C91" s="691">
        <v>12506.8489424371</v>
      </c>
      <c r="D91" s="1909" t="s">
        <v>1814</v>
      </c>
      <c r="E91" s="1913">
        <f t="shared" si="39"/>
        <v>67.400000000000119</v>
      </c>
      <c r="F91" s="1913">
        <f t="shared" si="40"/>
        <v>360.00000000000068</v>
      </c>
      <c r="G91" s="1913">
        <f t="shared" si="40"/>
        <v>0.90000000000000147</v>
      </c>
      <c r="H91" s="691">
        <v>842.96161872026209</v>
      </c>
      <c r="I91" s="3336">
        <v>4.5024656192773644</v>
      </c>
      <c r="J91" s="3337">
        <v>1.1256164048193408E-2</v>
      </c>
    </row>
    <row r="92" spans="2:10" ht="18" customHeight="1" x14ac:dyDescent="0.2">
      <c r="B92" s="282" t="s">
        <v>192</v>
      </c>
      <c r="C92" s="1913" t="str">
        <f>C93</f>
        <v>NO</v>
      </c>
      <c r="D92" s="1909" t="s">
        <v>1814</v>
      </c>
      <c r="E92" s="628"/>
      <c r="F92" s="628"/>
      <c r="G92" s="628"/>
      <c r="H92" s="1913" t="str">
        <f>H93</f>
        <v>NO</v>
      </c>
      <c r="I92" s="3334" t="str">
        <f>I93</f>
        <v>NO</v>
      </c>
      <c r="J92" s="3335" t="str">
        <f>J93</f>
        <v>NO</v>
      </c>
    </row>
    <row r="93" spans="2:10" ht="18" customHeight="1" x14ac:dyDescent="0.2">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
      <c r="B94" s="282" t="s">
        <v>134</v>
      </c>
      <c r="C94" s="691">
        <v>142.98990847110298</v>
      </c>
      <c r="D94" s="1909" t="s">
        <v>1814</v>
      </c>
      <c r="E94" s="1913">
        <f t="shared" ref="E94:E95" si="43">IFERROR(H94*1000/$C94,"NA")</f>
        <v>51.411918339265085</v>
      </c>
      <c r="F94" s="1913">
        <f t="shared" si="42"/>
        <v>243.0000000000004</v>
      </c>
      <c r="G94" s="1913">
        <f t="shared" si="42"/>
        <v>1.0000000000000016</v>
      </c>
      <c r="H94" s="691">
        <v>7.3513854976553352</v>
      </c>
      <c r="I94" s="3336">
        <v>3.4746547758478082E-2</v>
      </c>
      <c r="J94" s="3337">
        <v>1.4298990847110322E-4</v>
      </c>
    </row>
    <row r="95" spans="2:10" ht="18" customHeight="1" x14ac:dyDescent="0.2">
      <c r="B95" s="282" t="s">
        <v>137</v>
      </c>
      <c r="C95" s="691">
        <v>102.391926743315</v>
      </c>
      <c r="D95" s="1909" t="s">
        <v>1814</v>
      </c>
      <c r="E95" s="1913">
        <f t="shared" si="43"/>
        <v>67.260000000000005</v>
      </c>
      <c r="F95" s="1913">
        <f t="shared" si="42"/>
        <v>739.99999999999989</v>
      </c>
      <c r="G95" s="1913">
        <f t="shared" si="42"/>
        <v>4.9999999999999982</v>
      </c>
      <c r="H95" s="691">
        <v>6.8868809927553665</v>
      </c>
      <c r="I95" s="3336">
        <v>7.5770025790053083E-2</v>
      </c>
      <c r="J95" s="3337">
        <v>5.1195963371657486E-4</v>
      </c>
    </row>
    <row r="96" spans="2:10" ht="18" customHeight="1" x14ac:dyDescent="0.2">
      <c r="B96" s="282" t="s">
        <v>183</v>
      </c>
      <c r="C96" s="1913">
        <f>IF(SUM(C97:C98)=0,"NO",SUM(C97:C98))</f>
        <v>1.57879997667483</v>
      </c>
      <c r="D96" s="1909" t="s">
        <v>1814</v>
      </c>
      <c r="E96" s="628"/>
      <c r="F96" s="628"/>
      <c r="G96" s="628"/>
      <c r="H96" s="1913">
        <f>IF(SUM(H97:H98)=0,"NO",SUM(H97:H98))</f>
        <v>0.11572603829026472</v>
      </c>
      <c r="I96" s="3334" t="str">
        <f>IF(SUM(I97:I98)=0,"NE",SUM(I97:I98))</f>
        <v>NE</v>
      </c>
      <c r="J96" s="3335" t="str">
        <f>IF(SUM(J97:J98)=0,"NE",SUM(J97:J98))</f>
        <v>NE</v>
      </c>
    </row>
    <row r="97" spans="2:10" ht="18" customHeight="1" x14ac:dyDescent="0.2">
      <c r="B97" s="2572" t="s">
        <v>2260</v>
      </c>
      <c r="C97" s="691" t="s">
        <v>2146</v>
      </c>
      <c r="D97" s="1909" t="s">
        <v>1814</v>
      </c>
      <c r="E97" s="3103" t="str">
        <f t="shared" ref="E97" si="44">IFERROR(H97*1000/$C97,"NA")</f>
        <v>NA</v>
      </c>
      <c r="F97" s="3103" t="str">
        <f>IFERROR(I97*1000000/$C97,"NA")</f>
        <v>NA</v>
      </c>
      <c r="G97" s="3103" t="str">
        <f>IFERROR(J97*1000000/$C97,"NA")</f>
        <v>NA</v>
      </c>
      <c r="H97" s="691" t="s">
        <v>2146</v>
      </c>
      <c r="I97" s="3336" t="s">
        <v>2146</v>
      </c>
      <c r="J97" s="3337" t="s">
        <v>2146</v>
      </c>
    </row>
    <row r="98" spans="2:10" ht="18" customHeight="1" x14ac:dyDescent="0.2">
      <c r="B98" s="2572" t="s">
        <v>252</v>
      </c>
      <c r="C98" s="691">
        <v>1.57879997667483</v>
      </c>
      <c r="D98" s="1909" t="s">
        <v>1814</v>
      </c>
      <c r="E98" s="3103">
        <f t="shared" ref="E98" si="45">IFERROR(H98*1000/$C98,"NA")</f>
        <v>73.299999999999798</v>
      </c>
      <c r="F98" s="3103" t="str">
        <f>IFERROR(I98*1000000/$C98,"NA")</f>
        <v>NA</v>
      </c>
      <c r="G98" s="3103" t="str">
        <f>IFERROR(J98*1000000/$C98,"NA")</f>
        <v>NA</v>
      </c>
      <c r="H98" s="691">
        <v>0.11572603829026472</v>
      </c>
      <c r="I98" s="3336" t="s">
        <v>2154</v>
      </c>
      <c r="J98" s="3337" t="s">
        <v>2154</v>
      </c>
    </row>
    <row r="99" spans="2:10" ht="18" customHeight="1" x14ac:dyDescent="0.2">
      <c r="B99" s="1241" t="s">
        <v>193</v>
      </c>
      <c r="C99" s="1913">
        <f>IF(SUM(C100:C104)=0,"NO",SUM(C100:C104))</f>
        <v>12973.57393210485</v>
      </c>
      <c r="D99" s="1909" t="s">
        <v>1814</v>
      </c>
      <c r="E99" s="628"/>
      <c r="F99" s="628"/>
      <c r="G99" s="628"/>
      <c r="H99" s="1913">
        <f>IF(SUM(H100:H103)=0,"NO",SUM(H100:H103))</f>
        <v>676.3867100571324</v>
      </c>
      <c r="I99" s="1913">
        <f>IF(SUM(I100:I104)=0,"NO",SUM(I100:I104))</f>
        <v>0.13193637447901707</v>
      </c>
      <c r="J99" s="3085">
        <f>IF(SUM(J100:J104)=0,"NO",SUM(J100:J104))</f>
        <v>1.3723888191204505E-3</v>
      </c>
    </row>
    <row r="100" spans="2:10" ht="18" customHeight="1" x14ac:dyDescent="0.2">
      <c r="B100" s="282" t="s">
        <v>132</v>
      </c>
      <c r="C100" s="1913">
        <f>IF(SUM(C106,C113:C116)=0,"NO",SUM(C106,C113:C116))</f>
        <v>635.63850042246531</v>
      </c>
      <c r="D100" s="1909" t="s">
        <v>1814</v>
      </c>
      <c r="E100" s="3103">
        <f t="shared" ref="E100:E104" si="46">IFERROR(H100*1000/$C100,"NA")</f>
        <v>66.213129897363928</v>
      </c>
      <c r="F100" s="3103">
        <f t="shared" ref="F100:G104" si="47">IFERROR(I100*1000000/$C100,"NA")</f>
        <v>49.119532564810036</v>
      </c>
      <c r="G100" s="3103">
        <f t="shared" si="47"/>
        <v>0.19647813025924016</v>
      </c>
      <c r="H100" s="1913">
        <f>IF(SUM(H106,H113:H116)=0,"NO",SUM(H106,H113:H116))</f>
        <v>42.087614596238311</v>
      </c>
      <c r="I100" s="1913">
        <f>IF(SUM(I106,I113:I116)=0,"NO",SUM(I106,I113:I116))</f>
        <v>3.1222266020948304E-2</v>
      </c>
      <c r="J100" s="3085">
        <f>IF(SUM(J106,J113:J116)=0,"NO",SUM(J106,J113:J116))</f>
        <v>1.2488906408379322E-4</v>
      </c>
    </row>
    <row r="101" spans="2:10" ht="18" customHeight="1" x14ac:dyDescent="0.2">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
      <c r="B102" s="282" t="s">
        <v>134</v>
      </c>
      <c r="C102" s="1913">
        <f>IF(SUM(C108,C119)=0,"NO",SUM(C108,C119))</f>
        <v>12321.630000000001</v>
      </c>
      <c r="D102" s="1909" t="s">
        <v>1814</v>
      </c>
      <c r="E102" s="3103">
        <f t="shared" si="46"/>
        <v>51.411918339264993</v>
      </c>
      <c r="F102" s="3103">
        <f t="shared" si="47"/>
        <v>7.84474885844749</v>
      </c>
      <c r="G102" s="3103">
        <f t="shared" si="47"/>
        <v>9.9999999999999992E-2</v>
      </c>
      <c r="H102" s="1913">
        <f t="shared" si="48"/>
        <v>633.47863536663772</v>
      </c>
      <c r="I102" s="1913">
        <f t="shared" si="48"/>
        <v>9.6660092876712359E-2</v>
      </c>
      <c r="J102" s="3085">
        <f t="shared" si="48"/>
        <v>1.2321630000000001E-3</v>
      </c>
    </row>
    <row r="103" spans="2:10" ht="18" customHeight="1" x14ac:dyDescent="0.2">
      <c r="B103" s="282" t="s">
        <v>175</v>
      </c>
      <c r="C103" s="1913">
        <f>IF(SUM(C109,C120)=0,"NO",SUM(C109,C120))</f>
        <v>11.193180003498801</v>
      </c>
      <c r="D103" s="1909" t="s">
        <v>1814</v>
      </c>
      <c r="E103" s="3103">
        <f t="shared" si="46"/>
        <v>73.299999999999827</v>
      </c>
      <c r="F103" s="3103" t="str">
        <f t="shared" si="47"/>
        <v>NA</v>
      </c>
      <c r="G103" s="3103" t="str">
        <f t="shared" si="47"/>
        <v>NA</v>
      </c>
      <c r="H103" s="1913">
        <f t="shared" si="48"/>
        <v>0.82046009425646016</v>
      </c>
      <c r="I103" s="1913" t="str">
        <f t="shared" si="48"/>
        <v>NO</v>
      </c>
      <c r="J103" s="3085" t="str">
        <f t="shared" si="48"/>
        <v>NO</v>
      </c>
    </row>
    <row r="104" spans="2:10" ht="18" customHeight="1" x14ac:dyDescent="0.2">
      <c r="B104" s="282" t="s">
        <v>137</v>
      </c>
      <c r="C104" s="1913">
        <f>IF(SUM(C110,C121)=0,"NO",SUM(C110,C121))</f>
        <v>5.1122516788857499</v>
      </c>
      <c r="D104" s="1909" t="s">
        <v>1814</v>
      </c>
      <c r="E104" s="3103">
        <f t="shared" si="46"/>
        <v>67.260000000000005</v>
      </c>
      <c r="F104" s="3103">
        <f t="shared" si="47"/>
        <v>792.99999999999977</v>
      </c>
      <c r="G104" s="3103">
        <f t="shared" si="47"/>
        <v>2.9999999999999991</v>
      </c>
      <c r="H104" s="1913">
        <f t="shared" si="48"/>
        <v>0.34385004792185553</v>
      </c>
      <c r="I104" s="1913">
        <f t="shared" si="48"/>
        <v>4.054015581356399E-3</v>
      </c>
      <c r="J104" s="3085">
        <f t="shared" si="48"/>
        <v>1.5336755036657247E-5</v>
      </c>
    </row>
    <row r="105" spans="2:10" ht="18" customHeight="1" x14ac:dyDescent="0.2">
      <c r="B105" s="1244" t="s">
        <v>194</v>
      </c>
      <c r="C105" s="1913">
        <f>IF(SUM(C106:C110)=0,"NO",SUM(C106:C110))</f>
        <v>12321.630000000001</v>
      </c>
      <c r="D105" s="1909" t="s">
        <v>1814</v>
      </c>
      <c r="E105" s="628"/>
      <c r="F105" s="628"/>
      <c r="G105" s="628"/>
      <c r="H105" s="1913">
        <f>IF(SUM(H106:H109)=0,"NO",SUM(H106:H109))</f>
        <v>633.47863536663772</v>
      </c>
      <c r="I105" s="1913">
        <f>IF(SUM(I106:I110)=0,"NO",SUM(I106:I110))</f>
        <v>9.6660092876712359E-2</v>
      </c>
      <c r="J105" s="3085">
        <f>IF(SUM(J106:J110)=0,"NO",SUM(J106:J110))</f>
        <v>1.2321630000000001E-3</v>
      </c>
    </row>
    <row r="106" spans="2:10" ht="18" customHeight="1" x14ac:dyDescent="0.2">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
      <c r="B108" s="282" t="s">
        <v>134</v>
      </c>
      <c r="C108" s="691">
        <v>12321.630000000001</v>
      </c>
      <c r="D108" s="1909" t="s">
        <v>1814</v>
      </c>
      <c r="E108" s="3103">
        <f t="shared" si="49"/>
        <v>51.411918339264993</v>
      </c>
      <c r="F108" s="3103">
        <f t="shared" si="50"/>
        <v>7.84474885844749</v>
      </c>
      <c r="G108" s="3103">
        <f t="shared" si="50"/>
        <v>9.9999999999999992E-2</v>
      </c>
      <c r="H108" s="691">
        <v>633.47863536663772</v>
      </c>
      <c r="I108" s="691">
        <v>9.6660092876712359E-2</v>
      </c>
      <c r="J108" s="2911">
        <v>1.2321630000000001E-3</v>
      </c>
    </row>
    <row r="109" spans="2:10" ht="18" customHeight="1" x14ac:dyDescent="0.2">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
      <c r="B111" s="1244" t="s">
        <v>195</v>
      </c>
      <c r="C111" s="1913">
        <f>C112</f>
        <v>651.94393210484986</v>
      </c>
      <c r="D111" s="1909" t="s">
        <v>1814</v>
      </c>
      <c r="E111" s="628"/>
      <c r="F111" s="628"/>
      <c r="G111" s="628"/>
      <c r="H111" s="1913">
        <f>H112</f>
        <v>42.908074690494772</v>
      </c>
      <c r="I111" s="1913">
        <f>I112</f>
        <v>3.5276281602304706E-2</v>
      </c>
      <c r="J111" s="3085">
        <f>J112</f>
        <v>1.4022581912045046E-4</v>
      </c>
    </row>
    <row r="112" spans="2:10" ht="18" customHeight="1" x14ac:dyDescent="0.2">
      <c r="B112" s="3089" t="s">
        <v>2148</v>
      </c>
      <c r="C112" s="3099">
        <f>IF(SUM(C113:C116,C118:C121)=0,"NO",SUM(C113:C116,C118:C121))</f>
        <v>651.94393210484986</v>
      </c>
      <c r="D112" s="3099" t="s">
        <v>1814</v>
      </c>
      <c r="E112" s="628"/>
      <c r="F112" s="628"/>
      <c r="G112" s="628"/>
      <c r="H112" s="3099">
        <f>IF(SUM(H113:H116,H118:H120)=0,"NO",SUM(H113:H116,H118:H120))</f>
        <v>42.908074690494772</v>
      </c>
      <c r="I112" s="3099">
        <f>IF(SUM(I113:I116,I118:I121)=0,"NO",SUM(I113:I116,I118:I121))</f>
        <v>3.5276281602304706E-2</v>
      </c>
      <c r="J112" s="3100">
        <f>IF(SUM(J113:J116,J118:J121)=0,"NO",SUM(J113:J116,J118:J121))</f>
        <v>1.4022581912045046E-4</v>
      </c>
    </row>
    <row r="113" spans="2:10" ht="18" customHeight="1" x14ac:dyDescent="0.2">
      <c r="B113" s="282" t="s">
        <v>167</v>
      </c>
      <c r="C113" s="691">
        <v>635.63850042246531</v>
      </c>
      <c r="D113" s="1913" t="s">
        <v>1814</v>
      </c>
      <c r="E113" s="1913">
        <f t="shared" ref="E113:E115" si="51">IFERROR(H113*1000/$C113,"NA")</f>
        <v>66.213129897363928</v>
      </c>
      <c r="F113" s="1913">
        <f t="shared" ref="F113:G115" si="52">IFERROR(I113*1000000/$C113,"NA")</f>
        <v>49.119532564810036</v>
      </c>
      <c r="G113" s="1913">
        <f t="shared" si="52"/>
        <v>0.19647813025924016</v>
      </c>
      <c r="H113" s="691">
        <v>42.087614596238311</v>
      </c>
      <c r="I113" s="691">
        <v>3.1222266020948304E-2</v>
      </c>
      <c r="J113" s="2911">
        <v>1.2488906408379322E-4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
      <c r="B116" s="282" t="s">
        <v>170</v>
      </c>
      <c r="C116" s="1913" t="str">
        <f>C117</f>
        <v>NO</v>
      </c>
      <c r="D116" s="1909" t="s">
        <v>1814</v>
      </c>
      <c r="E116" s="628"/>
      <c r="F116" s="628"/>
      <c r="G116" s="628"/>
      <c r="H116" s="1913" t="str">
        <f>H117</f>
        <v>NO</v>
      </c>
      <c r="I116" s="1913" t="str">
        <f>I117</f>
        <v>NO</v>
      </c>
      <c r="J116" s="3085" t="str">
        <f>J117</f>
        <v>NO</v>
      </c>
    </row>
    <row r="117" spans="2:10" ht="18" customHeight="1" x14ac:dyDescent="0.2">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
      <c r="B120" s="282" t="s">
        <v>175</v>
      </c>
      <c r="C120" s="691">
        <v>11.193180003498801</v>
      </c>
      <c r="D120" s="1909" t="s">
        <v>1814</v>
      </c>
      <c r="E120" s="3103">
        <f t="shared" si="53"/>
        <v>73.299999999999827</v>
      </c>
      <c r="F120" s="3103" t="str">
        <f t="shared" si="54"/>
        <v>NA</v>
      </c>
      <c r="G120" s="3103" t="str">
        <f t="shared" si="54"/>
        <v>NA</v>
      </c>
      <c r="H120" s="691">
        <v>0.82046009425646016</v>
      </c>
      <c r="I120" s="691" t="s">
        <v>2154</v>
      </c>
      <c r="J120" s="2911" t="s">
        <v>2154</v>
      </c>
    </row>
    <row r="121" spans="2:10" ht="18" customHeight="1" thickBot="1" x14ac:dyDescent="0.25">
      <c r="B121" s="2185" t="s">
        <v>137</v>
      </c>
      <c r="C121" s="1559">
        <v>5.1122516788857499</v>
      </c>
      <c r="D121" s="2880" t="s">
        <v>1814</v>
      </c>
      <c r="E121" s="3104">
        <f t="shared" si="53"/>
        <v>67.260000000000005</v>
      </c>
      <c r="F121" s="3104">
        <f t="shared" si="54"/>
        <v>792.99999999999977</v>
      </c>
      <c r="G121" s="3104">
        <f t="shared" si="54"/>
        <v>2.9999999999999991</v>
      </c>
      <c r="H121" s="1559">
        <v>0.34385004792185553</v>
      </c>
      <c r="I121" s="1559">
        <v>4.054015581356399E-3</v>
      </c>
      <c r="J121" s="1561">
        <v>1.5336755036657247E-5</v>
      </c>
    </row>
    <row r="122" spans="2:10" ht="12" customHeight="1" x14ac:dyDescent="0.2">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6" t="s">
        <v>64</v>
      </c>
      <c r="AK7" s="1978"/>
    </row>
    <row r="8" spans="2:38" ht="60" customHeight="1" x14ac:dyDescent="0.2">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25">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25">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25">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25">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25">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25">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25">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25">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25">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2.75" x14ac:dyDescent="0.2">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3"/>
    </row>
    <row r="53" spans="2:38" ht="15" customHeight="1" x14ac:dyDescent="0.2">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5" t="s">
        <v>1758</v>
      </c>
      <c r="C10" s="4318"/>
      <c r="D10" s="4319"/>
      <c r="E10" s="4310">
        <f>Table10s2!E70</f>
        <v>278160.26805526653</v>
      </c>
      <c r="F10" s="4310">
        <f>Table10s2!F70</f>
        <v>279534.03181228612</v>
      </c>
      <c r="G10" s="4310">
        <f>Table10s2!G70</f>
        <v>284528.77332804789</v>
      </c>
      <c r="H10" s="4310">
        <f>Table10s2!H70</f>
        <v>288873.50688492262</v>
      </c>
      <c r="I10" s="4310">
        <f>Table10s2!I70</f>
        <v>293700.91957993741</v>
      </c>
      <c r="J10" s="4310">
        <f>Table10s2!J70</f>
        <v>305055.58608645888</v>
      </c>
      <c r="K10" s="4310">
        <f>Table10s2!K70</f>
        <v>311940.49449217174</v>
      </c>
      <c r="L10" s="4310">
        <f>Table10s2!L70</f>
        <v>320332.75756245892</v>
      </c>
      <c r="M10" s="4310">
        <f>Table10s2!M70</f>
        <v>334135.54509659437</v>
      </c>
      <c r="N10" s="4310">
        <f>Table10s2!N70</f>
        <v>343959.20639615145</v>
      </c>
      <c r="O10" s="4310">
        <f>Table10s2!O70</f>
        <v>350007.69574650691</v>
      </c>
      <c r="P10" s="4310">
        <f>Table10s2!P70</f>
        <v>357783.39046354243</v>
      </c>
      <c r="Q10" s="4310">
        <f>Table10s2!Q70</f>
        <v>362536.53354913293</v>
      </c>
      <c r="R10" s="4310">
        <f>Table10s2!R70</f>
        <v>369441.74104620941</v>
      </c>
      <c r="S10" s="4310">
        <f>Table10s2!S70</f>
        <v>382873.45395480172</v>
      </c>
      <c r="T10" s="4310">
        <f>Table10s2!T70</f>
        <v>386205.37511791976</v>
      </c>
      <c r="U10" s="4310">
        <f>Table10s2!U70</f>
        <v>392436.33331443917</v>
      </c>
      <c r="V10" s="4310">
        <f>Table10s2!V70</f>
        <v>399676.26031113707</v>
      </c>
      <c r="W10" s="4310">
        <f>Table10s2!W70</f>
        <v>404255.69977468724</v>
      </c>
      <c r="X10" s="4310">
        <f>Table10s2!X70</f>
        <v>407477.15568345896</v>
      </c>
      <c r="Y10" s="4310">
        <f>Table10s2!Y70</f>
        <v>405512.16983006388</v>
      </c>
      <c r="Z10" s="4310">
        <f>Table10s2!Z70</f>
        <v>404256.78948144638</v>
      </c>
      <c r="AA10" s="4310">
        <f>Table10s2!AA70</f>
        <v>406579.73074237694</v>
      </c>
      <c r="AB10" s="4310">
        <f>Table10s2!AB70</f>
        <v>399288.01113635505</v>
      </c>
      <c r="AC10" s="4310">
        <f>Table10s2!AC70</f>
        <v>393049.37137247092</v>
      </c>
      <c r="AD10" s="4310">
        <f>Table10s2!AD70</f>
        <v>401378.36030336434</v>
      </c>
      <c r="AE10" s="4310">
        <f>Table10s2!AE70</f>
        <v>410253.59318126354</v>
      </c>
      <c r="AF10" s="4310">
        <f>Table10s2!AF70</f>
        <v>413655.46471556515</v>
      </c>
      <c r="AG10" s="4310">
        <f>Table10s2!AG70</f>
        <v>415350.72045333055</v>
      </c>
      <c r="AH10" s="4310">
        <f>Table10s2!AH70</f>
        <v>415811.27005672717</v>
      </c>
      <c r="AI10" s="4310">
        <f>Table10s2!AI70</f>
        <v>399405.49779973278</v>
      </c>
      <c r="AJ10" s="4310">
        <f>Table10s2!AJ70</f>
        <v>388777.52950856066</v>
      </c>
      <c r="AK10" s="4059">
        <f t="shared" ref="AK10:AK22" si="0">IF(AJ10="NO",IF(E10="NO","NA",-100),IF(E10="NO",100,AJ10/E10*100))</f>
        <v>139.76745572855</v>
      </c>
      <c r="AL10" s="19"/>
    </row>
    <row r="11" spans="2:38" ht="18" customHeight="1" x14ac:dyDescent="0.2">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310">
        <f>Table10s2!Y71</f>
        <v>446668.42883700272</v>
      </c>
      <c r="Z11" s="4310">
        <f>Table10s2!Z71</f>
        <v>423745.87394956278</v>
      </c>
      <c r="AA11" s="4310">
        <f>Table10s2!AA71</f>
        <v>409527.1006864892</v>
      </c>
      <c r="AB11" s="4310">
        <f>Table10s2!AB71</f>
        <v>393380.90857843566</v>
      </c>
      <c r="AC11" s="4310">
        <f>Table10s2!AC71</f>
        <v>389471.72227860283</v>
      </c>
      <c r="AD11" s="4310">
        <f>Table10s2!AD71</f>
        <v>375219.56430851849</v>
      </c>
      <c r="AE11" s="4310">
        <f>Table10s2!AE71</f>
        <v>349339.45979783888</v>
      </c>
      <c r="AF11" s="4310">
        <f>Table10s2!AF71</f>
        <v>342637.41942929709</v>
      </c>
      <c r="AG11" s="4310">
        <f>Table10s2!AG71</f>
        <v>349825.36614013097</v>
      </c>
      <c r="AH11" s="4310">
        <f>Table10s2!AH71</f>
        <v>348366.06295424199</v>
      </c>
      <c r="AI11" s="4310">
        <f>Table10s2!AI71</f>
        <v>340318.55911006808</v>
      </c>
      <c r="AJ11" s="4310">
        <f>Table10s2!AJ71</f>
        <v>309393.85854948277</v>
      </c>
      <c r="AK11" s="4059">
        <f t="shared" si="0"/>
        <v>68.489118370787793</v>
      </c>
      <c r="AL11" s="19"/>
    </row>
    <row r="12" spans="2:38" ht="18" customHeight="1" x14ac:dyDescent="0.2">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310">
        <f>Table10s3!Y58*28</f>
        <v>117387.54631177135</v>
      </c>
      <c r="Z12" s="4310">
        <f>Table10s3!Z58*28</f>
        <v>119118.78175841589</v>
      </c>
      <c r="AA12" s="4310">
        <f>Table10s3!AA58*28</f>
        <v>119488.41404690722</v>
      </c>
      <c r="AB12" s="4310">
        <f>Table10s3!AB58*28</f>
        <v>119059.29874902077</v>
      </c>
      <c r="AC12" s="4310">
        <f>Table10s3!AC58*28</f>
        <v>115962.81913215169</v>
      </c>
      <c r="AD12" s="4310">
        <f>Table10s3!AD58*28</f>
        <v>116479.0796145957</v>
      </c>
      <c r="AE12" s="4310">
        <f>Table10s3!AE58*28</f>
        <v>115338.56910689117</v>
      </c>
      <c r="AF12" s="4310">
        <f>Table10s3!AF58*28</f>
        <v>117465.12792043338</v>
      </c>
      <c r="AG12" s="4310">
        <f>Table10s3!AG58*28</f>
        <v>118013.42701406287</v>
      </c>
      <c r="AH12" s="4310">
        <f>Table10s3!AH58*28</f>
        <v>111602.96558811457</v>
      </c>
      <c r="AI12" s="4310">
        <f>Table10s3!AI58*28</f>
        <v>109758.72857490895</v>
      </c>
      <c r="AJ12" s="4310">
        <f>Table10s3!AJ58*28</f>
        <v>109934.74161031269</v>
      </c>
      <c r="AK12" s="4059">
        <f t="shared" si="0"/>
        <v>78.441090490205042</v>
      </c>
      <c r="AL12" s="19"/>
    </row>
    <row r="13" spans="2:38" ht="18" customHeight="1" x14ac:dyDescent="0.2">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310">
        <f>Table10s3!Y59*28</f>
        <v>137371.79299338884</v>
      </c>
      <c r="Z13" s="4310">
        <f>Table10s3!Z59*28</f>
        <v>139498.74326109022</v>
      </c>
      <c r="AA13" s="4310">
        <f>Table10s3!AA59*28</f>
        <v>138400.25247650445</v>
      </c>
      <c r="AB13" s="4310">
        <f>Table10s3!AB59*28</f>
        <v>137633.02971345925</v>
      </c>
      <c r="AC13" s="4310">
        <f>Table10s3!AC59*28</f>
        <v>135298.48807745604</v>
      </c>
      <c r="AD13" s="4310">
        <f>Table10s3!AD59*28</f>
        <v>135085.5897471428</v>
      </c>
      <c r="AE13" s="4310">
        <f>Table10s3!AE59*28</f>
        <v>132526.63657626385</v>
      </c>
      <c r="AF13" s="4310">
        <f>Table10s3!AF59*28</f>
        <v>134864.96910660679</v>
      </c>
      <c r="AG13" s="4310">
        <f>Table10s3!AG59*28</f>
        <v>133500.49685231165</v>
      </c>
      <c r="AH13" s="4310">
        <f>Table10s3!AH59*28</f>
        <v>126392.97711138389</v>
      </c>
      <c r="AI13" s="4310">
        <f>Table10s3!AI59*28</f>
        <v>123085.0543939713</v>
      </c>
      <c r="AJ13" s="4310">
        <f>Table10s3!AJ59*28</f>
        <v>122363.34083404431</v>
      </c>
      <c r="AK13" s="4059">
        <f t="shared" si="0"/>
        <v>76.239854793244504</v>
      </c>
      <c r="AL13" s="19"/>
    </row>
    <row r="14" spans="2:38" ht="18" customHeight="1" x14ac:dyDescent="0.2">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310">
        <f>Table10s4!Y58*265</f>
        <v>17149.190448786743</v>
      </c>
      <c r="Z14" s="4310">
        <f>Table10s4!Z58*265</f>
        <v>17829.269499357815</v>
      </c>
      <c r="AA14" s="4310">
        <f>Table10s4!AA58*265</f>
        <v>18037.345854666921</v>
      </c>
      <c r="AB14" s="4310">
        <f>Table10s4!AB58*265</f>
        <v>16979.991429667123</v>
      </c>
      <c r="AC14" s="4310">
        <f>Table10s4!AC58*265</f>
        <v>17319.895494551569</v>
      </c>
      <c r="AD14" s="4310">
        <f>Table10s4!AD58*265</f>
        <v>16757.11267503769</v>
      </c>
      <c r="AE14" s="4310">
        <f>Table10s4!AE58*265</f>
        <v>16734.454741943333</v>
      </c>
      <c r="AF14" s="4310">
        <f>Table10s4!AF58*265</f>
        <v>18236.675226650226</v>
      </c>
      <c r="AG14" s="4310">
        <f>Table10s4!AG58*265</f>
        <v>17209.685946098794</v>
      </c>
      <c r="AH14" s="4310">
        <f>Table10s4!AH58*265</f>
        <v>16727.650124279138</v>
      </c>
      <c r="AI14" s="4310">
        <f>Table10s4!AI58*265</f>
        <v>16274.312263920514</v>
      </c>
      <c r="AJ14" s="4310">
        <f>Table10s4!AJ58*265</f>
        <v>18060.12157757848</v>
      </c>
      <c r="AK14" s="4059">
        <f t="shared" si="0"/>
        <v>127.340509838136</v>
      </c>
      <c r="AL14" s="19"/>
    </row>
    <row r="15" spans="2:38" ht="18" customHeight="1" x14ac:dyDescent="0.2">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310">
        <f>Table10s4!Y59*265</f>
        <v>22168.57676581281</v>
      </c>
      <c r="Z15" s="4310">
        <f>Table10s4!Z59*265</f>
        <v>22985.119447513378</v>
      </c>
      <c r="AA15" s="4310">
        <f>Table10s4!AA59*265</f>
        <v>22950.031127667888</v>
      </c>
      <c r="AB15" s="4310">
        <f>Table10s4!AB59*265</f>
        <v>21616.034875143563</v>
      </c>
      <c r="AC15" s="4310">
        <f>Table10s4!AC59*265</f>
        <v>21927.908506415071</v>
      </c>
      <c r="AD15" s="4310">
        <f>Table10s4!AD59*265</f>
        <v>20989.783495448584</v>
      </c>
      <c r="AE15" s="4310">
        <f>Table10s4!AE59*265</f>
        <v>20588.698420177712</v>
      </c>
      <c r="AF15" s="4310">
        <f>Table10s4!AF59*265</f>
        <v>22083.308892323614</v>
      </c>
      <c r="AG15" s="4310">
        <f>Table10s4!AG59*265</f>
        <v>20646.912822890969</v>
      </c>
      <c r="AH15" s="4310">
        <f>Table10s4!AH59*265</f>
        <v>19994.971276994227</v>
      </c>
      <c r="AI15" s="4310">
        <f>Table10s4!AI59*265</f>
        <v>19528.168228383322</v>
      </c>
      <c r="AJ15" s="4310">
        <f>Table10s4!AJ59*265</f>
        <v>21154.211106405906</v>
      </c>
      <c r="AK15" s="4059">
        <f t="shared" si="0"/>
        <v>114.56609260213915</v>
      </c>
      <c r="AL15" s="19"/>
    </row>
    <row r="16" spans="2:38" ht="18" customHeight="1" x14ac:dyDescent="0.2">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310">
        <f>Table10s5!Y10</f>
        <v>6735.332259575277</v>
      </c>
      <c r="Z16" s="4310">
        <f>Table10s5!Z10</f>
        <v>7409.828679370049</v>
      </c>
      <c r="AA16" s="4310">
        <f>Table10s5!AA10</f>
        <v>7816.4186628708085</v>
      </c>
      <c r="AB16" s="4310">
        <f>Table10s5!AB10</f>
        <v>8187.2588327414178</v>
      </c>
      <c r="AC16" s="4310">
        <f>Table10s5!AC10</f>
        <v>8837.371668775806</v>
      </c>
      <c r="AD16" s="4310">
        <f>Table10s5!AD10</f>
        <v>9343.4630293335176</v>
      </c>
      <c r="AE16" s="4310">
        <f>Table10s5!AE10</f>
        <v>9705.2434129086032</v>
      </c>
      <c r="AF16" s="4310">
        <f>Table10s5!AF10</f>
        <v>9922.2936700768205</v>
      </c>
      <c r="AG16" s="4310">
        <f>Table10s5!AG10</f>
        <v>9891.6117285115215</v>
      </c>
      <c r="AH16" s="4310">
        <f>Table10s5!AH10</f>
        <v>10688.479613937492</v>
      </c>
      <c r="AI16" s="4310">
        <f>Table10s5!AI10</f>
        <v>10949.191718307842</v>
      </c>
      <c r="AJ16" s="4310">
        <f>Table10s5!AJ10</f>
        <v>11405.410872526387</v>
      </c>
      <c r="AK16" s="4059">
        <f t="shared" si="0"/>
        <v>955.50412144023971</v>
      </c>
      <c r="AL16" s="19"/>
    </row>
    <row r="17" spans="2:38" ht="18" customHeight="1" x14ac:dyDescent="0.2">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310">
        <f>Table10s5!Y32</f>
        <v>254.72735698266911</v>
      </c>
      <c r="Z17" s="4310">
        <f>Table10s5!Z32</f>
        <v>270.90088273132159</v>
      </c>
      <c r="AA17" s="4310">
        <f>Table10s5!AA32</f>
        <v>265.12979067717396</v>
      </c>
      <c r="AB17" s="4310">
        <f>Table10s5!AB32</f>
        <v>172.62441408027018</v>
      </c>
      <c r="AC17" s="4310">
        <f>Table10s5!AC32</f>
        <v>173.10697875319798</v>
      </c>
      <c r="AD17" s="4310">
        <f>Table10s5!AD32</f>
        <v>154.06023702200318</v>
      </c>
      <c r="AE17" s="4310">
        <f>Table10s5!AE32</f>
        <v>202.24755821344587</v>
      </c>
      <c r="AF17" s="4310">
        <f>Table10s5!AF32</f>
        <v>182.65052301395369</v>
      </c>
      <c r="AG17" s="4310">
        <f>Table10s5!AG32</f>
        <v>212.24369299342175</v>
      </c>
      <c r="AH17" s="4310">
        <f>Table10s5!AH32</f>
        <v>273.50220639665866</v>
      </c>
      <c r="AI17" s="4310">
        <f>Table10s5!AI32</f>
        <v>243.11647207633368</v>
      </c>
      <c r="AJ17" s="4310">
        <f>Table10s5!AJ32</f>
        <v>291.48300000000006</v>
      </c>
      <c r="AK17" s="4059">
        <f t="shared" si="0"/>
        <v>7.0346514141656433</v>
      </c>
      <c r="AL17" s="19"/>
    </row>
    <row r="18" spans="2:38" ht="18" customHeight="1" x14ac:dyDescent="0.2">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310" t="s">
        <v>2146</v>
      </c>
      <c r="Z18" s="4310" t="s">
        <v>2146</v>
      </c>
      <c r="AA18" s="4310" t="s">
        <v>2146</v>
      </c>
      <c r="AB18" s="4310" t="s">
        <v>2146</v>
      </c>
      <c r="AC18" s="4310" t="s">
        <v>2146</v>
      </c>
      <c r="AD18" s="4310" t="s">
        <v>2146</v>
      </c>
      <c r="AE18" s="4310" t="s">
        <v>2146</v>
      </c>
      <c r="AF18" s="4310" t="s">
        <v>2146</v>
      </c>
      <c r="AG18" s="4310" t="s">
        <v>2146</v>
      </c>
      <c r="AH18" s="4310" t="s">
        <v>2146</v>
      </c>
      <c r="AI18" s="4310" t="s">
        <v>2146</v>
      </c>
      <c r="AJ18" s="4310" t="s">
        <v>2146</v>
      </c>
      <c r="AK18" s="4059" t="str">
        <f t="shared" si="0"/>
        <v>NA</v>
      </c>
      <c r="AL18" s="19"/>
    </row>
    <row r="19" spans="2:38" ht="18" customHeight="1" x14ac:dyDescent="0.2">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310">
        <f>Table10s5!Y47</f>
        <v>133.79449716413717</v>
      </c>
      <c r="Z19" s="4310">
        <f>Table10s5!Z47</f>
        <v>121.78268935599188</v>
      </c>
      <c r="AA19" s="4310">
        <f>Table10s5!AA47</f>
        <v>118.51069108917444</v>
      </c>
      <c r="AB19" s="4310">
        <f>Table10s5!AB47</f>
        <v>111.49092341544214</v>
      </c>
      <c r="AC19" s="4310">
        <f>Table10s5!AC47</f>
        <v>108.87625703363453</v>
      </c>
      <c r="AD19" s="4310">
        <f>Table10s5!AD47</f>
        <v>119.73884475683391</v>
      </c>
      <c r="AE19" s="4310">
        <f>Table10s5!AE47</f>
        <v>120.72109384232132</v>
      </c>
      <c r="AF19" s="4310">
        <f>Table10s5!AF47</f>
        <v>118.8988343564875</v>
      </c>
      <c r="AG19" s="4310">
        <f>Table10s5!AG47</f>
        <v>149.72530244911653</v>
      </c>
      <c r="AH19" s="4310">
        <f>Table10s5!AH47</f>
        <v>141.06361511560291</v>
      </c>
      <c r="AI19" s="4310">
        <f>Table10s5!AI47</f>
        <v>108.87118016121181</v>
      </c>
      <c r="AJ19" s="4310">
        <f>Table10s5!AJ47</f>
        <v>162.36139181563749</v>
      </c>
      <c r="AK19" s="4059">
        <f t="shared" si="0"/>
        <v>71.420617217987541</v>
      </c>
      <c r="AL19" s="19"/>
    </row>
    <row r="20" spans="2:38" ht="18" customHeight="1" thickBot="1" x14ac:dyDescent="0.25">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310" t="s">
        <v>2146</v>
      </c>
      <c r="Z20" s="4310" t="s">
        <v>2146</v>
      </c>
      <c r="AA20" s="4310" t="s">
        <v>2146</v>
      </c>
      <c r="AB20" s="4310" t="s">
        <v>2146</v>
      </c>
      <c r="AC20" s="4310" t="s">
        <v>2146</v>
      </c>
      <c r="AD20" s="4310" t="s">
        <v>2146</v>
      </c>
      <c r="AE20" s="4310" t="s">
        <v>2146</v>
      </c>
      <c r="AF20" s="4310" t="s">
        <v>2146</v>
      </c>
      <c r="AG20" s="4310" t="s">
        <v>2146</v>
      </c>
      <c r="AH20" s="4310" t="s">
        <v>2146</v>
      </c>
      <c r="AI20" s="4310" t="s">
        <v>2146</v>
      </c>
      <c r="AJ20" s="4310" t="s">
        <v>2146</v>
      </c>
      <c r="AK20" s="4059" t="str">
        <f t="shared" si="0"/>
        <v>NA</v>
      </c>
      <c r="AL20" s="19"/>
    </row>
    <row r="21" spans="2:38" ht="18" customHeight="1" x14ac:dyDescent="0.2">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11">
        <f>Table10s1!Y71</f>
        <v>547172.76070434402</v>
      </c>
      <c r="Z21" s="4311">
        <f>Table10s1!Z71</f>
        <v>549007.35299067746</v>
      </c>
      <c r="AA21" s="4311">
        <f>Table10s1!AA71</f>
        <v>552305.54978858819</v>
      </c>
      <c r="AB21" s="4311">
        <f>Table10s1!AB71</f>
        <v>543798.67548528011</v>
      </c>
      <c r="AC21" s="4311">
        <f>Table10s1!AC71</f>
        <v>535451.44090373686</v>
      </c>
      <c r="AD21" s="4311">
        <f>Table10s1!AD71</f>
        <v>544231.81470411015</v>
      </c>
      <c r="AE21" s="4311">
        <f>Table10s1!AE71</f>
        <v>552354.82909506245</v>
      </c>
      <c r="AF21" s="4311">
        <f>Table10s1!AF71</f>
        <v>559581.11089009605</v>
      </c>
      <c r="AG21" s="4311">
        <f>Table10s1!AG71</f>
        <v>560827.41413744632</v>
      </c>
      <c r="AH21" s="4311">
        <f>Table10s1!AH71</f>
        <v>555244.93120457069</v>
      </c>
      <c r="AI21" s="4311">
        <f>Table10s1!AI71</f>
        <v>536739.71800910751</v>
      </c>
      <c r="AJ21" s="4311">
        <f>Table10s1!AJ71</f>
        <v>528631.64796079381</v>
      </c>
      <c r="AK21" s="4127">
        <f t="shared" si="0"/>
        <v>120.67651944258202</v>
      </c>
      <c r="AL21" s="19"/>
    </row>
    <row r="22" spans="2:38" ht="18" customHeight="1" x14ac:dyDescent="0.2">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12">
        <f>Table10s1!Y72</f>
        <v>613332.65270992648</v>
      </c>
      <c r="Z22" s="4312">
        <f>Table10s1!Z72</f>
        <v>594032.24890962371</v>
      </c>
      <c r="AA22" s="4312">
        <f>Table10s1!AA72</f>
        <v>579077.44343529863</v>
      </c>
      <c r="AB22" s="4312">
        <f>Table10s1!AB72</f>
        <v>561101.34733727563</v>
      </c>
      <c r="AC22" s="4312">
        <f>Table10s1!AC72</f>
        <v>555817.47376703657</v>
      </c>
      <c r="AD22" s="4312">
        <f>Table10s1!AD72</f>
        <v>540912.19966222229</v>
      </c>
      <c r="AE22" s="4312">
        <f>Table10s1!AE72</f>
        <v>512483.00685924484</v>
      </c>
      <c r="AF22" s="4312">
        <f>Table10s1!AF72</f>
        <v>509809.54045567475</v>
      </c>
      <c r="AG22" s="4312">
        <f>Table10s1!AG72</f>
        <v>514226.35653928772</v>
      </c>
      <c r="AH22" s="4312">
        <f>Table10s1!AH72</f>
        <v>505857.05677806993</v>
      </c>
      <c r="AI22" s="4312">
        <f>Table10s1!AI72</f>
        <v>494232.96110296802</v>
      </c>
      <c r="AJ22" s="4312">
        <f>Table10s1!AJ72</f>
        <v>464770.66575427499</v>
      </c>
      <c r="AK22" s="4059">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13" t="s">
        <v>2147</v>
      </c>
      <c r="Z23" s="4313" t="s">
        <v>2147</v>
      </c>
      <c r="AA23" s="4313" t="s">
        <v>2147</v>
      </c>
      <c r="AB23" s="4313" t="s">
        <v>2147</v>
      </c>
      <c r="AC23" s="4313" t="s">
        <v>2147</v>
      </c>
      <c r="AD23" s="4313" t="s">
        <v>2147</v>
      </c>
      <c r="AE23" s="4313" t="s">
        <v>2147</v>
      </c>
      <c r="AF23" s="4313" t="s">
        <v>2147</v>
      </c>
      <c r="AG23" s="4313" t="s">
        <v>2147</v>
      </c>
      <c r="AH23" s="4313" t="s">
        <v>2147</v>
      </c>
      <c r="AI23" s="4313" t="s">
        <v>2147</v>
      </c>
      <c r="AJ23" s="4313" t="s">
        <v>2147</v>
      </c>
      <c r="AK23" s="4128"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14" t="s">
        <v>2147</v>
      </c>
      <c r="Z24" s="4314" t="s">
        <v>2147</v>
      </c>
      <c r="AA24" s="4314" t="s">
        <v>2147</v>
      </c>
      <c r="AB24" s="4314" t="s">
        <v>2147</v>
      </c>
      <c r="AC24" s="4314" t="s">
        <v>2147</v>
      </c>
      <c r="AD24" s="4314" t="s">
        <v>2147</v>
      </c>
      <c r="AE24" s="4314" t="s">
        <v>2147</v>
      </c>
      <c r="AF24" s="4314" t="s">
        <v>2147</v>
      </c>
      <c r="AG24" s="4314" t="s">
        <v>2147</v>
      </c>
      <c r="AH24" s="4314" t="s">
        <v>2147</v>
      </c>
      <c r="AI24" s="4314" t="s">
        <v>2147</v>
      </c>
      <c r="AJ24" s="4314" t="s">
        <v>2147</v>
      </c>
      <c r="AK24" s="4129"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5"/>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25">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310">
        <f>Table10s1!Y11</f>
        <v>422579.51479694981</v>
      </c>
      <c r="Z29" s="4310">
        <f>Table10s1!Z11</f>
        <v>419233.05047209817</v>
      </c>
      <c r="AA29" s="4310">
        <f>Table10s1!AA11</f>
        <v>424705.2846294904</v>
      </c>
      <c r="AB29" s="4310">
        <f>Table10s1!AB11</f>
        <v>419121.75060676603</v>
      </c>
      <c r="AC29" s="4310">
        <f>Table10s1!AC11</f>
        <v>410566.3928596527</v>
      </c>
      <c r="AD29" s="4310">
        <f>Table10s1!AD11</f>
        <v>422090.18144439545</v>
      </c>
      <c r="AE29" s="4310">
        <f>Table10s1!AE11</f>
        <v>430847.15353978908</v>
      </c>
      <c r="AF29" s="4310">
        <f>Table10s1!AF11</f>
        <v>433232.80805076193</v>
      </c>
      <c r="AG29" s="4310">
        <f>Table10s1!AG11</f>
        <v>435570.37881781755</v>
      </c>
      <c r="AH29" s="4310">
        <f>Table10s1!AH11</f>
        <v>434362.68755215249</v>
      </c>
      <c r="AI29" s="4310">
        <f>Table10s1!AI11</f>
        <v>418708.56999057758</v>
      </c>
      <c r="AJ29" s="4310">
        <f>Table10s1!AJ11</f>
        <v>404026.88538330066</v>
      </c>
      <c r="AK29" s="4059">
        <f t="shared" ref="AK29:AK35" si="1">IF(AJ29="NO",IF(E29="NO","NA",-100),IF(E29="NO",100,AJ29/E29*100))</f>
        <v>135.85967959885357</v>
      </c>
      <c r="AL29" s="19"/>
    </row>
    <row r="30" spans="2:38" ht="18" customHeight="1" x14ac:dyDescent="0.2">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310">
        <f>Table10s1!Y22</f>
        <v>33438.996659318756</v>
      </c>
      <c r="Z30" s="4310">
        <f>Table10s1!Z22</f>
        <v>34249.143818524732</v>
      </c>
      <c r="AA30" s="4310">
        <f>Table10s1!AA22</f>
        <v>31896.009077256589</v>
      </c>
      <c r="AB30" s="4310">
        <f>Table10s1!AB22</f>
        <v>29689.140328031055</v>
      </c>
      <c r="AC30" s="4310">
        <f>Table10s1!AC22</f>
        <v>29619.148297540662</v>
      </c>
      <c r="AD30" s="4310">
        <f>Table10s1!AD22</f>
        <v>30478.203783182529</v>
      </c>
      <c r="AE30" s="4310">
        <f>Table10s1!AE22</f>
        <v>30556.664925587531</v>
      </c>
      <c r="AF30" s="4310">
        <f>Table10s1!AF22</f>
        <v>31153.183093127434</v>
      </c>
      <c r="AG30" s="4310">
        <f>Table10s1!AG22</f>
        <v>31810.677785357522</v>
      </c>
      <c r="AH30" s="4310">
        <f>Table10s1!AH22</f>
        <v>32549.671290285936</v>
      </c>
      <c r="AI30" s="4310">
        <f>Table10s1!AI22</f>
        <v>31898.602874836299</v>
      </c>
      <c r="AJ30" s="4310">
        <f>Table10s1!AJ22</f>
        <v>32992.298931418416</v>
      </c>
      <c r="AK30" s="4059">
        <f t="shared" si="1"/>
        <v>131.37426509582585</v>
      </c>
      <c r="AL30" s="19"/>
    </row>
    <row r="31" spans="2:38" ht="18" customHeight="1" x14ac:dyDescent="0.2">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310">
        <f>Table10s1!Y31</f>
        <v>75100.435050210945</v>
      </c>
      <c r="Z31" s="4310">
        <f>Table10s1!Z31</f>
        <v>79931.896680644873</v>
      </c>
      <c r="AA31" s="4310">
        <f>Table10s1!AA31</f>
        <v>81442.774613845759</v>
      </c>
      <c r="AB31" s="4310">
        <f>Table10s1!AB31</f>
        <v>81700.263287677226</v>
      </c>
      <c r="AC31" s="4310">
        <f>Table10s1!AC31</f>
        <v>82028.017413753856</v>
      </c>
      <c r="AD31" s="4310">
        <f>Table10s1!AD31</f>
        <v>78940.405254769008</v>
      </c>
      <c r="AE31" s="4310">
        <f>Table10s1!AE31</f>
        <v>77867.407749464794</v>
      </c>
      <c r="AF31" s="4310">
        <f>Table10s1!AF31</f>
        <v>81857.281094811449</v>
      </c>
      <c r="AG31" s="4310">
        <f>Table10s1!AG31</f>
        <v>80580.478242490601</v>
      </c>
      <c r="AH31" s="4310">
        <f>Table10s1!AH31</f>
        <v>75065.863604061029</v>
      </c>
      <c r="AI31" s="4310">
        <f>Table10s1!AI31</f>
        <v>72642.234949386388</v>
      </c>
      <c r="AJ31" s="4310">
        <f>Table10s1!AJ31</f>
        <v>78254.24393992807</v>
      </c>
      <c r="AK31" s="4059">
        <f t="shared" si="1"/>
        <v>84.970476847098439</v>
      </c>
      <c r="AL31" s="19"/>
    </row>
    <row r="32" spans="2:38" ht="18" customHeight="1" x14ac:dyDescent="0.2">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310">
        <f>Table10s1!Y42</f>
        <v>66159.892005582413</v>
      </c>
      <c r="Z32" s="4310">
        <f>Table10s1!Z42</f>
        <v>45024.895918946255</v>
      </c>
      <c r="AA32" s="4310">
        <f>Table10s1!AA42</f>
        <v>26771.89364671048</v>
      </c>
      <c r="AB32" s="4310">
        <f>Table10s1!AB42</f>
        <v>17302.671851995532</v>
      </c>
      <c r="AC32" s="4310">
        <f>Table10s1!AC42</f>
        <v>20366.032863299763</v>
      </c>
      <c r="AD32" s="4310">
        <f>Table10s1!AD42</f>
        <v>-3319.6150418878524</v>
      </c>
      <c r="AE32" s="4310">
        <f>Table10s1!AE42</f>
        <v>-39871.822235817621</v>
      </c>
      <c r="AF32" s="4310">
        <f>Table10s1!AF42</f>
        <v>-49771.570434421279</v>
      </c>
      <c r="AG32" s="4310">
        <f>Table10s1!AG42</f>
        <v>-46601.057598158615</v>
      </c>
      <c r="AH32" s="4310">
        <f>Table10s1!AH42</f>
        <v>-49387.874426500726</v>
      </c>
      <c r="AI32" s="4310">
        <f>Table10s1!AI42</f>
        <v>-42506.756906139548</v>
      </c>
      <c r="AJ32" s="4310">
        <f>Table10s1!AJ42</f>
        <v>-63860.982206518856</v>
      </c>
      <c r="AK32" s="4059">
        <f t="shared" si="1"/>
        <v>-32.218542614031179</v>
      </c>
      <c r="AL32" s="19"/>
    </row>
    <row r="33" spans="2:38" ht="18" customHeight="1" x14ac:dyDescent="0.2">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310">
        <f>Table10s1!Y51</f>
        <v>16053.814197864553</v>
      </c>
      <c r="Z33" s="4310">
        <f>Table10s1!Z51</f>
        <v>15593.262019409703</v>
      </c>
      <c r="AA33" s="4310">
        <f>Table10s1!AA51</f>
        <v>14261.481467995489</v>
      </c>
      <c r="AB33" s="4310">
        <f>Table10s1!AB51</f>
        <v>13287.521262805796</v>
      </c>
      <c r="AC33" s="4310">
        <f>Table10s1!AC51</f>
        <v>13237.882332789575</v>
      </c>
      <c r="AD33" s="4310">
        <f>Table10s1!AD51</f>
        <v>12723.024221763157</v>
      </c>
      <c r="AE33" s="4310">
        <f>Table10s1!AE51</f>
        <v>13083.602880220978</v>
      </c>
      <c r="AF33" s="4310">
        <f>Table10s1!AF51</f>
        <v>13337.838651395179</v>
      </c>
      <c r="AG33" s="4310">
        <f>Table10s1!AG51</f>
        <v>12865.879291780653</v>
      </c>
      <c r="AH33" s="4310">
        <f>Table10s1!AH51</f>
        <v>13266.708758071194</v>
      </c>
      <c r="AI33" s="4310">
        <f>Table10s1!AI51</f>
        <v>13490.310194307312</v>
      </c>
      <c r="AJ33" s="4310">
        <f>Table10s1!AJ51</f>
        <v>13358.219706146765</v>
      </c>
      <c r="AK33" s="4059">
        <f t="shared" si="1"/>
        <v>56.934788687140255</v>
      </c>
      <c r="AL33" s="19"/>
    </row>
    <row r="34" spans="2:38" ht="18" customHeight="1" x14ac:dyDescent="0.2">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316" t="str">
        <f>Table10s1!Y57</f>
        <v>NO</v>
      </c>
      <c r="Z34" s="4316" t="str">
        <f>Table10s1!Z57</f>
        <v>NO</v>
      </c>
      <c r="AA34" s="4316" t="str">
        <f>Table10s1!AA57</f>
        <v>NO</v>
      </c>
      <c r="AB34" s="4316" t="str">
        <f>Table10s1!AB57</f>
        <v>NO</v>
      </c>
      <c r="AC34" s="4316" t="str">
        <f>Table10s1!AC57</f>
        <v>NO</v>
      </c>
      <c r="AD34" s="4316" t="str">
        <f>Table10s1!AD57</f>
        <v>NO</v>
      </c>
      <c r="AE34" s="4316" t="str">
        <f>Table10s1!AE57</f>
        <v>NO</v>
      </c>
      <c r="AF34" s="4316" t="str">
        <f>Table10s1!AF57</f>
        <v>NO</v>
      </c>
      <c r="AG34" s="4316" t="str">
        <f>Table10s1!AG57</f>
        <v>NO</v>
      </c>
      <c r="AH34" s="4316" t="str">
        <f>Table10s1!AH57</f>
        <v>NO</v>
      </c>
      <c r="AI34" s="4316" t="str">
        <f>Table10s1!AI57</f>
        <v>NO</v>
      </c>
      <c r="AJ34" s="4316" t="str">
        <f>Table10s1!AJ57</f>
        <v>NO</v>
      </c>
      <c r="AK34" s="4059" t="str">
        <f t="shared" si="1"/>
        <v>NA</v>
      </c>
      <c r="AL34" s="19"/>
    </row>
    <row r="35" spans="2:38" ht="18" customHeight="1" thickBot="1" x14ac:dyDescent="0.25">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7">
        <f t="shared" si="2"/>
        <v>613332.65270992648</v>
      </c>
      <c r="Z35" s="4317">
        <f t="shared" si="2"/>
        <v>594032.24890962371</v>
      </c>
      <c r="AA35" s="4317">
        <f t="shared" si="2"/>
        <v>579077.44343529863</v>
      </c>
      <c r="AB35" s="4317">
        <f t="shared" si="2"/>
        <v>561101.34733727563</v>
      </c>
      <c r="AC35" s="4317">
        <f t="shared" si="2"/>
        <v>555817.47376703657</v>
      </c>
      <c r="AD35" s="4317">
        <f t="shared" si="2"/>
        <v>540912.19966222229</v>
      </c>
      <c r="AE35" s="4317">
        <f t="shared" si="2"/>
        <v>512483.00685924484</v>
      </c>
      <c r="AF35" s="4317">
        <f t="shared" si="2"/>
        <v>509809.54045567475</v>
      </c>
      <c r="AG35" s="4317">
        <f t="shared" si="2"/>
        <v>514226.35653928772</v>
      </c>
      <c r="AH35" s="4317">
        <f t="shared" si="2"/>
        <v>505857.05677806993</v>
      </c>
      <c r="AI35" s="4317">
        <f t="shared" si="2"/>
        <v>494232.96110296802</v>
      </c>
      <c r="AJ35" s="4317">
        <f t="shared" si="2"/>
        <v>464770.66575427499</v>
      </c>
      <c r="AK35" s="4059">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25">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4" customWidth="1"/>
    <col min="2" max="2" width="24.42578125" style="2204" customWidth="1"/>
    <col min="3" max="4" width="10.5703125" style="2204" customWidth="1"/>
    <col min="5" max="5" width="35.85546875" style="2204" customWidth="1"/>
    <col min="6" max="6" width="10.5703125" style="2204" customWidth="1"/>
    <col min="7" max="7" width="43.140625" style="2204" customWidth="1"/>
    <col min="8" max="8" width="34.85546875" style="2204" customWidth="1"/>
    <col min="9" max="9" width="28.140625" style="2204" customWidth="1"/>
    <col min="10" max="10" width="45.140625" style="2204" customWidth="1"/>
    <col min="11" max="16384" width="8.85546875" style="2204"/>
  </cols>
  <sheetData>
    <row r="1" spans="2:10" s="2201" customFormat="1" ht="19.5" x14ac:dyDescent="0.3">
      <c r="B1" s="2200"/>
      <c r="C1" s="2200"/>
      <c r="G1" s="2202"/>
      <c r="H1" s="2202"/>
      <c r="J1" s="14" t="s">
        <v>2521</v>
      </c>
    </row>
    <row r="2" spans="2:10" s="913" customFormat="1" ht="15.75" x14ac:dyDescent="0.2">
      <c r="B2" s="213" t="s">
        <v>1774</v>
      </c>
      <c r="G2" s="2203"/>
      <c r="H2" s="2203"/>
      <c r="J2" s="14" t="s">
        <v>2522</v>
      </c>
    </row>
    <row r="3" spans="2:10" x14ac:dyDescent="0.25">
      <c r="G3" s="2203"/>
      <c r="H3" s="2203"/>
      <c r="J3" s="14" t="s">
        <v>2144</v>
      </c>
    </row>
    <row r="4" spans="2:10" hidden="1" x14ac:dyDescent="0.25">
      <c r="G4" s="2203"/>
      <c r="H4" s="2203"/>
      <c r="J4" s="2429"/>
    </row>
    <row r="5" spans="2:10" hidden="1" x14ac:dyDescent="0.25">
      <c r="G5" s="2203"/>
      <c r="H5" s="2203"/>
      <c r="J5" s="2429"/>
    </row>
    <row r="6" spans="2:10" hidden="1" x14ac:dyDescent="0.25">
      <c r="G6" s="2203"/>
      <c r="H6" s="2203"/>
      <c r="J6" s="2429"/>
    </row>
    <row r="7" spans="2:10" hidden="1" x14ac:dyDescent="0.25">
      <c r="G7" s="2203"/>
      <c r="H7" s="2203"/>
      <c r="J7" s="2429"/>
    </row>
    <row r="8" spans="2:10" ht="15.75" thickBot="1" x14ac:dyDescent="0.3">
      <c r="B8" s="2446" t="s">
        <v>64</v>
      </c>
      <c r="G8" s="2203"/>
      <c r="H8" s="2203"/>
    </row>
    <row r="9" spans="2:10" ht="36.75" customHeight="1" thickBot="1" x14ac:dyDescent="0.3">
      <c r="B9" s="2489" t="s">
        <v>1775</v>
      </c>
      <c r="C9" s="2205" t="s">
        <v>61</v>
      </c>
      <c r="D9" s="2205" t="s">
        <v>1776</v>
      </c>
      <c r="E9" s="2205" t="s">
        <v>1777</v>
      </c>
      <c r="F9" s="2205" t="s">
        <v>1778</v>
      </c>
      <c r="G9" s="2205" t="s">
        <v>1779</v>
      </c>
      <c r="H9" s="2205" t="s">
        <v>1780</v>
      </c>
      <c r="I9" s="2206" t="s">
        <v>1781</v>
      </c>
      <c r="J9" s="2206" t="s">
        <v>1782</v>
      </c>
    </row>
    <row r="10" spans="2:10" ht="15.75" thickTop="1" x14ac:dyDescent="0.25">
      <c r="B10" s="2207"/>
      <c r="C10" s="2208"/>
      <c r="D10" s="2209"/>
      <c r="E10" s="2209"/>
      <c r="F10" s="2209"/>
      <c r="G10" s="2209"/>
      <c r="H10" s="2210"/>
      <c r="I10" s="2211"/>
      <c r="J10" s="2211"/>
    </row>
    <row r="11" spans="2:10" x14ac:dyDescent="0.25">
      <c r="B11" s="2212"/>
      <c r="C11" s="2213"/>
      <c r="D11" s="2214"/>
      <c r="E11" s="2214"/>
      <c r="F11" s="2214"/>
      <c r="G11" s="2214"/>
      <c r="H11" s="2215"/>
      <c r="I11" s="2216"/>
      <c r="J11" s="2216"/>
    </row>
    <row r="12" spans="2:10" x14ac:dyDescent="0.25">
      <c r="B12" s="2217"/>
      <c r="C12" s="2218"/>
      <c r="D12" s="2219"/>
      <c r="E12" s="2219"/>
      <c r="F12" s="2219"/>
      <c r="G12" s="2219"/>
      <c r="H12" s="2220"/>
      <c r="I12" s="2221"/>
      <c r="J12" s="2221"/>
    </row>
    <row r="13" spans="2:10" ht="15.75" thickBot="1" x14ac:dyDescent="0.3">
      <c r="B13" s="2222"/>
      <c r="C13" s="2223"/>
      <c r="D13" s="2224"/>
      <c r="E13" s="2224"/>
      <c r="F13" s="2224"/>
      <c r="G13" s="2224"/>
      <c r="H13" s="2225"/>
      <c r="I13" s="2226"/>
      <c r="J13" s="2226"/>
    </row>
    <row r="16" spans="2:10" x14ac:dyDescent="0.25">
      <c r="B16" s="2407"/>
    </row>
    <row r="19" spans="2:2" x14ac:dyDescent="0.25">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6" t="s">
        <v>64</v>
      </c>
    </row>
    <row r="7" spans="2:12" ht="12" customHeight="1" x14ac:dyDescent="0.2">
      <c r="B7" s="292" t="s">
        <v>65</v>
      </c>
      <c r="C7" s="177" t="s">
        <v>122</v>
      </c>
      <c r="D7" s="179"/>
      <c r="E7" s="177" t="s">
        <v>123</v>
      </c>
      <c r="F7" s="178"/>
      <c r="G7" s="178"/>
      <c r="H7" s="177" t="s">
        <v>124</v>
      </c>
      <c r="I7" s="178"/>
      <c r="J7" s="178"/>
      <c r="K7" s="2157"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3" t="s">
        <v>197</v>
      </c>
      <c r="C10" s="3109">
        <f>IF(SUM(C11:C16)=0,"NO",SUM(C11:C16))</f>
        <v>416088.8884730218</v>
      </c>
      <c r="D10" s="3109" t="s">
        <v>1814</v>
      </c>
      <c r="E10" s="2135"/>
      <c r="F10" s="2135"/>
      <c r="G10" s="2135"/>
      <c r="H10" s="3109">
        <f>IF(SUM(H11:H15)=0,"NO",SUM(H11:H15))</f>
        <v>21587.163667956695</v>
      </c>
      <c r="I10" s="3109">
        <f>IF(SUM(I11:I16)=0,"NO",SUM(I11:I16))</f>
        <v>36.752074103333207</v>
      </c>
      <c r="J10" s="3109">
        <f>IF(SUM(J11:J16)=0,"NO",SUM(J11:J16))</f>
        <v>0.70676215558306721</v>
      </c>
      <c r="K10" s="420" t="str">
        <f>IF(SUM(K11:K16)=0,"NO",SUM(K11:K16))</f>
        <v>NO</v>
      </c>
    </row>
    <row r="11" spans="2:12" ht="18" customHeight="1" x14ac:dyDescent="0.2">
      <c r="B11" s="282" t="s">
        <v>132</v>
      </c>
      <c r="C11" s="1913">
        <f>IF(SUM(C18,C39,C60)=0,"NO",SUM(C18,C39,C60))</f>
        <v>163731.21810614091</v>
      </c>
      <c r="D11" s="3109" t="s">
        <v>1814</v>
      </c>
      <c r="E11" s="1913">
        <f t="shared" ref="E11:E16" si="0">IFERROR(H11*1000/$C11,"NA")</f>
        <v>68.280117913704004</v>
      </c>
      <c r="F11" s="1913">
        <f t="shared" ref="F11:G16" si="1">IFERROR(I11*1000000/$C11,"NA")</f>
        <v>8.9600244438002274</v>
      </c>
      <c r="G11" s="1913">
        <f t="shared" si="1"/>
        <v>2.6199654348141652</v>
      </c>
      <c r="H11" s="1913">
        <f>IF(SUM(H18,H39,H60)=0,"NO",SUM(H18,H39,H60))</f>
        <v>11179.586878441689</v>
      </c>
      <c r="I11" s="1913">
        <f>IF(SUM(I18,I39,I60)=0,"NO",SUM(I18,I39,I60))</f>
        <v>1.4670357164442089</v>
      </c>
      <c r="J11" s="1913">
        <f>IF(SUM(J18,J39,J60)=0,"NO",SUM(J18,J39,J60))</f>
        <v>0.42897013203810835</v>
      </c>
      <c r="K11" s="3085" t="str">
        <f>IF(SUM(K18,K39,K60)=0,"NO",SUM(K18,K39,K60))</f>
        <v>NO</v>
      </c>
    </row>
    <row r="12" spans="2:12" ht="18" customHeight="1" x14ac:dyDescent="0.2">
      <c r="B12" s="282" t="s">
        <v>133</v>
      </c>
      <c r="C12" s="1913">
        <f t="shared" ref="C12:C16" si="2">IF(SUM(C19,C40,C61)=0,"NO",SUM(C19,C40,C61))</f>
        <v>303.5494626668243</v>
      </c>
      <c r="D12" s="3109" t="s">
        <v>1814</v>
      </c>
      <c r="E12" s="1913">
        <f t="shared" si="0"/>
        <v>92.4450485792904</v>
      </c>
      <c r="F12" s="1913">
        <f t="shared" si="1"/>
        <v>0.95238095238095233</v>
      </c>
      <c r="G12" s="1913">
        <f t="shared" si="1"/>
        <v>0.66666666666666663</v>
      </c>
      <c r="H12" s="1913">
        <f t="shared" ref="H12:K16" si="3">IF(SUM(H19,H40,H61)=0,"NO",SUM(H19,H40,H61))</f>
        <v>28.06164482245207</v>
      </c>
      <c r="I12" s="1913">
        <f t="shared" si="3"/>
        <v>2.8909472634935647E-4</v>
      </c>
      <c r="J12" s="1913">
        <f t="shared" si="3"/>
        <v>2.0236630844454952E-4</v>
      </c>
      <c r="K12" s="3085" t="str">
        <f t="shared" si="3"/>
        <v>NO</v>
      </c>
    </row>
    <row r="13" spans="2:12" ht="18" customHeight="1" x14ac:dyDescent="0.2">
      <c r="B13" s="282" t="s">
        <v>134</v>
      </c>
      <c r="C13" s="1913">
        <f t="shared" si="2"/>
        <v>201882.66009695653</v>
      </c>
      <c r="D13" s="3109" t="s">
        <v>1814</v>
      </c>
      <c r="E13" s="1913">
        <f t="shared" si="0"/>
        <v>51.413604019818571</v>
      </c>
      <c r="F13" s="1913">
        <f t="shared" si="1"/>
        <v>0.90909090909090906</v>
      </c>
      <c r="G13" s="1913">
        <f t="shared" si="1"/>
        <v>0.90909090909090895</v>
      </c>
      <c r="H13" s="1913">
        <f t="shared" si="3"/>
        <v>10379.515144692552</v>
      </c>
      <c r="I13" s="1913">
        <f t="shared" si="3"/>
        <v>0.18352969099723321</v>
      </c>
      <c r="J13" s="1913">
        <f t="shared" si="3"/>
        <v>0.18352969099723318</v>
      </c>
      <c r="K13" s="3085" t="str">
        <f t="shared" si="3"/>
        <v>NO</v>
      </c>
    </row>
    <row r="14" spans="2:12" ht="18" customHeight="1" x14ac:dyDescent="0.2">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
      <c r="B16" s="282" t="s">
        <v>199</v>
      </c>
      <c r="C16" s="1913">
        <f t="shared" si="2"/>
        <v>50171.460807257579</v>
      </c>
      <c r="D16" s="3109" t="s">
        <v>1814</v>
      </c>
      <c r="E16" s="1913">
        <f t="shared" si="0"/>
        <v>77.32154209821384</v>
      </c>
      <c r="F16" s="1913">
        <f t="shared" si="1"/>
        <v>699.62522590308629</v>
      </c>
      <c r="G16" s="1913">
        <f t="shared" si="1"/>
        <v>1.874770332094355</v>
      </c>
      <c r="H16" s="1913">
        <f t="shared" si="3"/>
        <v>3879.3347189372525</v>
      </c>
      <c r="I16" s="1913">
        <f t="shared" si="3"/>
        <v>35.101219601165418</v>
      </c>
      <c r="J16" s="1913">
        <f t="shared" si="3"/>
        <v>9.4059966239281201E-2</v>
      </c>
      <c r="K16" s="3085" t="str">
        <f t="shared" si="3"/>
        <v>NO</v>
      </c>
    </row>
    <row r="17" spans="2:11" ht="18" customHeight="1" x14ac:dyDescent="0.2">
      <c r="B17" s="1241" t="s">
        <v>1942</v>
      </c>
      <c r="C17" s="3109">
        <f>IF(SUM(C18:C23)=0,"NO",SUM(C18:C23))</f>
        <v>88321.381275432635</v>
      </c>
      <c r="D17" s="3109" t="s">
        <v>1814</v>
      </c>
      <c r="E17" s="628"/>
      <c r="F17" s="628"/>
      <c r="G17" s="628"/>
      <c r="H17" s="3078">
        <f>IF(SUM(H18:H22)=0,"NO",SUM(H18:H22))</f>
        <v>5230.9845378395894</v>
      </c>
      <c r="I17" s="3078">
        <f>IF(SUM(I18:I23)=0,"NO",SUM(I18:I23))</f>
        <v>0.11337598537791789</v>
      </c>
      <c r="J17" s="3110">
        <f>IF(SUM(J18:J23)=0,"NO",SUM(J18:J23))</f>
        <v>9.9846446763903723E-2</v>
      </c>
      <c r="K17" s="3085" t="str">
        <f>IF(SUM(K18:K23)=0,"NO",SUM(K18:K23))</f>
        <v>NO</v>
      </c>
    </row>
    <row r="18" spans="2:11" ht="18" customHeight="1" x14ac:dyDescent="0.2">
      <c r="B18" s="282" t="s">
        <v>132</v>
      </c>
      <c r="C18" s="3109">
        <f>IF(SUM(C26,C33)=0,"NO",SUM(C26,C33))</f>
        <v>41783.525287548247</v>
      </c>
      <c r="D18" s="3109" t="s">
        <v>1814</v>
      </c>
      <c r="E18" s="1913">
        <f t="shared" ref="E18" si="4">IFERROR(H18*1000/$C18,"NA")</f>
        <v>68.778245446363968</v>
      </c>
      <c r="F18" s="1913">
        <f t="shared" ref="F18:G23" si="5">IFERROR(I18*1000000/$C18,"NA")</f>
        <v>1.6362247358131925</v>
      </c>
      <c r="G18" s="1913">
        <f t="shared" si="5"/>
        <v>1.3427468408881622</v>
      </c>
      <c r="H18" s="3109">
        <f>IF(SUM(H26,H33)=0,"NO",SUM(H26,H33))</f>
        <v>2873.7975578413489</v>
      </c>
      <c r="I18" s="3109">
        <f>IF(SUM(I26,I33)=0,"NO",SUM(I26,I33))</f>
        <v>6.8367237624962482E-2</v>
      </c>
      <c r="J18" s="3109">
        <f>IF(SUM(J26,J33)=0,"NO",SUM(J26,J33))</f>
        <v>5.6104696581026049E-2</v>
      </c>
      <c r="K18" s="3085" t="str">
        <f>IF(SUM(K26,K33)=0,"NO",SUM(K26,K33))</f>
        <v>NO</v>
      </c>
    </row>
    <row r="19" spans="2:11" ht="18" customHeight="1" x14ac:dyDescent="0.2">
      <c r="B19" s="282" t="s">
        <v>133</v>
      </c>
      <c r="C19" s="3109">
        <f t="shared" ref="C19:C21" si="6">IF(SUM(C27,C34)=0,"NO",SUM(C27,C34))</f>
        <v>287.28399999999999</v>
      </c>
      <c r="D19" s="3109" t="s">
        <v>1814</v>
      </c>
      <c r="E19" s="1913">
        <f t="shared" ref="E19:E23" si="7">IFERROR(H19*1000/$C19,"NA")</f>
        <v>92.300392187186773</v>
      </c>
      <c r="F19" s="1913">
        <f t="shared" si="5"/>
        <v>0.95238095238095233</v>
      </c>
      <c r="G19" s="1913">
        <f t="shared" si="5"/>
        <v>0.66666666666666663</v>
      </c>
      <c r="H19" s="3109">
        <f t="shared" ref="H19:K21" si="8">IF(SUM(H27,H34)=0,"NO",SUM(H27,H34))</f>
        <v>26.516425869103763</v>
      </c>
      <c r="I19" s="3109">
        <f t="shared" si="8"/>
        <v>2.7360380952380951E-4</v>
      </c>
      <c r="J19" s="3109">
        <f t="shared" si="8"/>
        <v>1.9152266666666665E-4</v>
      </c>
      <c r="K19" s="3085" t="str">
        <f t="shared" si="8"/>
        <v>NO</v>
      </c>
    </row>
    <row r="20" spans="2:11" ht="18" customHeight="1" x14ac:dyDescent="0.2">
      <c r="B20" s="282" t="s">
        <v>134</v>
      </c>
      <c r="C20" s="3109">
        <f t="shared" si="6"/>
        <v>45326.654202575359</v>
      </c>
      <c r="D20" s="3109" t="s">
        <v>1814</v>
      </c>
      <c r="E20" s="1913">
        <f t="shared" si="7"/>
        <v>51.419426276486845</v>
      </c>
      <c r="F20" s="1913">
        <f t="shared" si="5"/>
        <v>0.90909090909090873</v>
      </c>
      <c r="G20" s="1913">
        <f t="shared" si="5"/>
        <v>0.90909090909090873</v>
      </c>
      <c r="H20" s="3109">
        <f t="shared" si="8"/>
        <v>2330.6705541291362</v>
      </c>
      <c r="I20" s="3109">
        <f t="shared" si="8"/>
        <v>4.120604927506849E-2</v>
      </c>
      <c r="J20" s="3109">
        <f t="shared" si="8"/>
        <v>4.120604927506849E-2</v>
      </c>
      <c r="K20" s="3085" t="str">
        <f t="shared" si="8"/>
        <v>NO</v>
      </c>
    </row>
    <row r="21" spans="2:11" ht="18" customHeight="1" x14ac:dyDescent="0.2">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
      <c r="B23" s="282" t="s">
        <v>1943</v>
      </c>
      <c r="C23" s="3109">
        <f>IF(SUM(C31,C37)=0,"NO",SUM(C31,C37))</f>
        <v>923.91778530903423</v>
      </c>
      <c r="D23" s="3109" t="s">
        <v>1814</v>
      </c>
      <c r="E23" s="1913">
        <f t="shared" si="7"/>
        <v>66.403005178944866</v>
      </c>
      <c r="F23" s="1913">
        <f t="shared" si="5"/>
        <v>3.8197063899821955</v>
      </c>
      <c r="G23" s="1913">
        <f t="shared" si="5"/>
        <v>2.5372151921054753</v>
      </c>
      <c r="H23" s="3109">
        <f>IF(SUM(H31,H37)=0,"NO",SUM(H31,H37))</f>
        <v>61.350917482795069</v>
      </c>
      <c r="I23" s="3109">
        <f>IF(SUM(I31,I37)=0,"NO",SUM(I31,I37))</f>
        <v>3.5290946683631166E-3</v>
      </c>
      <c r="J23" s="3109">
        <f>IF(SUM(J31,J37)=0,"NO",SUM(J31,J37))</f>
        <v>2.3441782411425267E-3</v>
      </c>
      <c r="K23" s="3085" t="str">
        <f>IF(SUM(K31,K37)=0,"NO",SUM(K31,K37))</f>
        <v>NO</v>
      </c>
    </row>
    <row r="24" spans="2:11" ht="18" customHeight="1" x14ac:dyDescent="0.2">
      <c r="B24" s="1275" t="s">
        <v>200</v>
      </c>
      <c r="C24" s="3096"/>
      <c r="D24" s="3097"/>
      <c r="E24" s="3097"/>
      <c r="F24" s="3097"/>
      <c r="G24" s="3097"/>
      <c r="H24" s="3097"/>
      <c r="I24" s="3097"/>
      <c r="J24" s="3097"/>
      <c r="K24" s="3111"/>
    </row>
    <row r="25" spans="2:11" ht="18" customHeight="1" x14ac:dyDescent="0.2">
      <c r="B25" s="1242" t="s">
        <v>201</v>
      </c>
      <c r="C25" s="3078">
        <f>IF(SUM(C26:C31)=0,"NO",SUM(C26:C31))</f>
        <v>88321.381275432635</v>
      </c>
      <c r="D25" s="3078" t="s">
        <v>1814</v>
      </c>
      <c r="E25" s="628"/>
      <c r="F25" s="628"/>
      <c r="G25" s="628"/>
      <c r="H25" s="3078">
        <f>IF(SUM(H26:H30)=0,"NO",SUM(H26:H30))</f>
        <v>5230.9845378395894</v>
      </c>
      <c r="I25" s="3078">
        <f>IF(SUM(I26:I31)=0,"NO",SUM(I26:I31))</f>
        <v>0.11337598537791789</v>
      </c>
      <c r="J25" s="3110">
        <f>IF(SUM(J26:J31)=0,"NO",SUM(J26:J31))</f>
        <v>9.9846446763903723E-2</v>
      </c>
      <c r="K25" s="3085" t="str">
        <f>IF(SUM(K26:K31)=0,"NO",SUM(K26:K31))</f>
        <v>NO</v>
      </c>
    </row>
    <row r="26" spans="2:11" ht="18" customHeight="1" x14ac:dyDescent="0.2">
      <c r="B26" s="282" t="s">
        <v>132</v>
      </c>
      <c r="C26" s="691">
        <v>41783.525287548247</v>
      </c>
      <c r="D26" s="3078" t="s">
        <v>1814</v>
      </c>
      <c r="E26" s="1913">
        <f t="shared" ref="E26:E31" si="9">IFERROR(H26*1000/$C26,"NA")</f>
        <v>68.778245446363968</v>
      </c>
      <c r="F26" s="1913">
        <f t="shared" ref="F26:G31" si="10">IFERROR(I26*1000000/$C26,"NA")</f>
        <v>1.6362247358131925</v>
      </c>
      <c r="G26" s="1913">
        <f t="shared" si="10"/>
        <v>1.3427468408881622</v>
      </c>
      <c r="H26" s="691">
        <v>2873.7975578413489</v>
      </c>
      <c r="I26" s="691">
        <v>6.8367237624962482E-2</v>
      </c>
      <c r="J26" s="691">
        <v>5.6104696581026049E-2</v>
      </c>
      <c r="K26" s="2911" t="s">
        <v>2146</v>
      </c>
    </row>
    <row r="27" spans="2:11" ht="18" customHeight="1" x14ac:dyDescent="0.2">
      <c r="B27" s="282" t="s">
        <v>133</v>
      </c>
      <c r="C27" s="691">
        <v>287.28399999999999</v>
      </c>
      <c r="D27" s="3078" t="s">
        <v>1814</v>
      </c>
      <c r="E27" s="1913">
        <f t="shared" si="9"/>
        <v>92.300392187186773</v>
      </c>
      <c r="F27" s="1913">
        <f t="shared" si="10"/>
        <v>0.95238095238095233</v>
      </c>
      <c r="G27" s="1913">
        <f t="shared" si="10"/>
        <v>0.66666666666666663</v>
      </c>
      <c r="H27" s="691">
        <v>26.516425869103763</v>
      </c>
      <c r="I27" s="691">
        <v>2.7360380952380951E-4</v>
      </c>
      <c r="J27" s="691">
        <v>1.9152266666666665E-4</v>
      </c>
      <c r="K27" s="2911" t="s">
        <v>2146</v>
      </c>
    </row>
    <row r="28" spans="2:11" ht="18" customHeight="1" x14ac:dyDescent="0.2">
      <c r="B28" s="282" t="s">
        <v>134</v>
      </c>
      <c r="C28" s="691">
        <v>45326.654202575359</v>
      </c>
      <c r="D28" s="3078" t="s">
        <v>1814</v>
      </c>
      <c r="E28" s="1913">
        <f t="shared" si="9"/>
        <v>51.419426276486845</v>
      </c>
      <c r="F28" s="1913">
        <f t="shared" si="10"/>
        <v>0.90909090909090873</v>
      </c>
      <c r="G28" s="1913">
        <f t="shared" si="10"/>
        <v>0.90909090909090873</v>
      </c>
      <c r="H28" s="691">
        <v>2330.6705541291362</v>
      </c>
      <c r="I28" s="691">
        <v>4.120604927506849E-2</v>
      </c>
      <c r="J28" s="691">
        <v>4.120604927506849E-2</v>
      </c>
      <c r="K28" s="2911" t="s">
        <v>2146</v>
      </c>
    </row>
    <row r="29" spans="2:11" ht="18" customHeight="1" x14ac:dyDescent="0.2">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
      <c r="B31" s="282" t="s">
        <v>1943</v>
      </c>
      <c r="C31" s="691">
        <v>923.91778530903423</v>
      </c>
      <c r="D31" s="3078" t="s">
        <v>1814</v>
      </c>
      <c r="E31" s="1913">
        <f t="shared" si="9"/>
        <v>66.403005178944866</v>
      </c>
      <c r="F31" s="1913">
        <f t="shared" si="10"/>
        <v>3.8197063899821955</v>
      </c>
      <c r="G31" s="1913">
        <f t="shared" si="10"/>
        <v>2.5372151921054753</v>
      </c>
      <c r="H31" s="691">
        <v>61.350917482795069</v>
      </c>
      <c r="I31" s="691">
        <v>3.5290946683631166E-3</v>
      </c>
      <c r="J31" s="691">
        <v>2.3441782411425267E-3</v>
      </c>
      <c r="K31" s="2911" t="s">
        <v>2146</v>
      </c>
    </row>
    <row r="32" spans="2:11" ht="18" customHeight="1" x14ac:dyDescent="0.2">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
      <c r="B38" s="1241" t="s">
        <v>1944</v>
      </c>
      <c r="C38" s="3078">
        <f>IF(SUM(C39:C44)=0,"NO",SUM(C39:C44))</f>
        <v>226023.08866734151</v>
      </c>
      <c r="D38" s="3078" t="s">
        <v>1814</v>
      </c>
      <c r="E38" s="628"/>
      <c r="F38" s="628"/>
      <c r="G38" s="628"/>
      <c r="H38" s="1913">
        <f>IF(SUM(H39:H43)=0,"NO",SUM(H39:H43))</f>
        <v>9306.7950132027727</v>
      </c>
      <c r="I38" s="1913">
        <f>IF(SUM(I39:I44)=0,"NO",SUM(I39:I44))</f>
        <v>35.956620607193727</v>
      </c>
      <c r="J38" s="1913">
        <f>IF(SUM(J39:J44)=0,"NO",SUM(J39:J44))</f>
        <v>0.24545960916758489</v>
      </c>
      <c r="K38" s="3085" t="str">
        <f>IF(SUM(K39:K44)=0,"NO",SUM(K39:K44))</f>
        <v>NO</v>
      </c>
    </row>
    <row r="39" spans="2:11" ht="18" customHeight="1" x14ac:dyDescent="0.2">
      <c r="B39" s="282" t="s">
        <v>132</v>
      </c>
      <c r="C39" s="3109">
        <f>IF(SUM(C47,C54)=0,"NO",SUM(C47,C54))</f>
        <v>21501.727288344988</v>
      </c>
      <c r="D39" s="3078" t="s">
        <v>1814</v>
      </c>
      <c r="E39" s="1913">
        <f t="shared" ref="E39:E44" si="13">IFERROR(H39*1000/$C39,"NA")</f>
        <v>61.53743583226462</v>
      </c>
      <c r="F39" s="1913">
        <f t="shared" ref="F39:G44" si="14">IFERROR(I39*1000000/$C39,"NA")</f>
        <v>33.382033464117868</v>
      </c>
      <c r="G39" s="1913">
        <f t="shared" si="14"/>
        <v>0.58552261661832727</v>
      </c>
      <c r="H39" s="1913">
        <f>IF(SUM(H47,H54)=0,"NO",SUM(H47,H54))</f>
        <v>1323.1611632893828</v>
      </c>
      <c r="I39" s="1913">
        <f>IF(SUM(I47,I54)=0,"NO",SUM(I47,I54))</f>
        <v>0.7177713798758687</v>
      </c>
      <c r="J39" s="1913">
        <f>IF(SUM(J47,J54)=0,"NO",SUM(J47,J54))</f>
        <v>1.2589747623685449E-2</v>
      </c>
      <c r="K39" s="3085" t="str">
        <f>IF(SUM(K47,K54)=0,"NO",SUM(K47,K54))</f>
        <v>NO</v>
      </c>
    </row>
    <row r="40" spans="2:11" ht="18" customHeight="1" x14ac:dyDescent="0.2">
      <c r="B40" s="282" t="s">
        <v>133</v>
      </c>
      <c r="C40" s="3109">
        <f t="shared" ref="C40:C42" si="15">IF(SUM(C48,C55)=0,"NO",SUM(C48,C55))</f>
        <v>16.265462666824298</v>
      </c>
      <c r="D40" s="3078" t="s">
        <v>1814</v>
      </c>
      <c r="E40" s="1913">
        <f t="shared" si="13"/>
        <v>95</v>
      </c>
      <c r="F40" s="1913">
        <f t="shared" si="14"/>
        <v>0.95238095238095244</v>
      </c>
      <c r="G40" s="1913">
        <f t="shared" si="14"/>
        <v>0.66666666666666663</v>
      </c>
      <c r="H40" s="1913">
        <f t="shared" ref="H40:K42" si="16">IF(SUM(H48,H55)=0,"NO",SUM(H48,H55))</f>
        <v>1.5452189533483083</v>
      </c>
      <c r="I40" s="1913">
        <f t="shared" si="16"/>
        <v>1.5490916825546952E-5</v>
      </c>
      <c r="J40" s="1913">
        <f t="shared" si="16"/>
        <v>1.0843641777882866E-5</v>
      </c>
      <c r="K40" s="3085" t="str">
        <f t="shared" si="16"/>
        <v>NO</v>
      </c>
    </row>
    <row r="41" spans="2:11" ht="18" customHeight="1" x14ac:dyDescent="0.2">
      <c r="B41" s="282" t="s">
        <v>134</v>
      </c>
      <c r="C41" s="3109">
        <f t="shared" si="15"/>
        <v>155257.55289438117</v>
      </c>
      <c r="D41" s="3078" t="s">
        <v>1814</v>
      </c>
      <c r="E41" s="1913">
        <f t="shared" si="13"/>
        <v>51.411918339265007</v>
      </c>
      <c r="F41" s="1913">
        <f t="shared" si="14"/>
        <v>0.90909090909090917</v>
      </c>
      <c r="G41" s="1913">
        <f t="shared" si="14"/>
        <v>0.90909090909090906</v>
      </c>
      <c r="H41" s="1913">
        <f t="shared" si="16"/>
        <v>7982.0886309600419</v>
      </c>
      <c r="I41" s="1913">
        <f t="shared" si="16"/>
        <v>0.1411432299039829</v>
      </c>
      <c r="J41" s="1913">
        <f t="shared" si="16"/>
        <v>0.14114322990398287</v>
      </c>
      <c r="K41" s="3085" t="str">
        <f t="shared" si="16"/>
        <v>NO</v>
      </c>
    </row>
    <row r="42" spans="2:11" ht="18" customHeight="1" x14ac:dyDescent="0.2">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
      <c r="B44" s="282" t="s">
        <v>1943</v>
      </c>
      <c r="C44" s="3109">
        <f>IF(SUM(C52,C58)=0,"NO",SUM(C52,C58))</f>
        <v>49247.543021948542</v>
      </c>
      <c r="D44" s="3078" t="s">
        <v>1814</v>
      </c>
      <c r="E44" s="1913">
        <f t="shared" si="13"/>
        <v>77.526381361865432</v>
      </c>
      <c r="F44" s="1913">
        <f t="shared" si="14"/>
        <v>712.6790161055302</v>
      </c>
      <c r="G44" s="1913">
        <f t="shared" si="14"/>
        <v>1.8623424108135298</v>
      </c>
      <c r="H44" s="1913">
        <f>IF(SUM(H52,H58)=0,"NO",SUM(H52,H58))</f>
        <v>3817.9838014544575</v>
      </c>
      <c r="I44" s="1913">
        <f>IF(SUM(I52,I58)=0,"NO",SUM(I52,I58))</f>
        <v>35.097690506497052</v>
      </c>
      <c r="J44" s="1913">
        <f>IF(SUM(J52,J58)=0,"NO",SUM(J52,J58))</f>
        <v>9.1715787998138676E-2</v>
      </c>
      <c r="K44" s="3085" t="str">
        <f>IF(SUM(K52,K58)=0,"NO",SUM(K52,K58))</f>
        <v>NO</v>
      </c>
    </row>
    <row r="45" spans="2:11" ht="18" customHeight="1" x14ac:dyDescent="0.2">
      <c r="B45" s="1241" t="s">
        <v>203</v>
      </c>
      <c r="C45" s="3096"/>
      <c r="D45" s="3097"/>
      <c r="E45" s="3097"/>
      <c r="F45" s="3097"/>
      <c r="G45" s="3097"/>
      <c r="H45" s="3097"/>
      <c r="I45" s="3097"/>
      <c r="J45" s="3097"/>
      <c r="K45" s="3111"/>
    </row>
    <row r="46" spans="2:11" ht="18" customHeight="1" x14ac:dyDescent="0.2">
      <c r="B46" s="1242" t="s">
        <v>204</v>
      </c>
      <c r="C46" s="3078">
        <f>IF(SUM(C47:C52)=0,"NO",SUM(C47:C52))</f>
        <v>222046.14459204735</v>
      </c>
      <c r="D46" s="3078" t="s">
        <v>1814</v>
      </c>
      <c r="E46" s="628"/>
      <c r="F46" s="628"/>
      <c r="G46" s="628"/>
      <c r="H46" s="1913">
        <f>IF(SUM(H47:H51)=0,"NO",SUM(H47:H51))</f>
        <v>9040.5407352123657</v>
      </c>
      <c r="I46" s="1913">
        <f>IF(SUM(I47:I52)=0,"NO",SUM(I47:I52))</f>
        <v>35.233702769483045</v>
      </c>
      <c r="J46" s="1913">
        <f>IF(SUM(J47:J52)=0,"NO",SUM(J47:J52))</f>
        <v>0.24374638631786566</v>
      </c>
      <c r="K46" s="3085" t="str">
        <f>IF(SUM(K47:K52)=0,"NO",SUM(K47:K52))</f>
        <v>NO</v>
      </c>
    </row>
    <row r="47" spans="2:11" ht="18" customHeight="1" x14ac:dyDescent="0.2">
      <c r="B47" s="282" t="s">
        <v>132</v>
      </c>
      <c r="C47" s="691">
        <v>17556.592779052764</v>
      </c>
      <c r="D47" s="3078" t="s">
        <v>1814</v>
      </c>
      <c r="E47" s="1913">
        <f t="shared" ref="E47:E52" si="17">IFERROR(H47*1000/$C47,"NA")</f>
        <v>60.2</v>
      </c>
      <c r="F47" s="1913">
        <f t="shared" ref="F47:G52" si="18">IFERROR(I47*1000000/$C47,"NA")</f>
        <v>1.0476190476190479</v>
      </c>
      <c r="G47" s="1913">
        <f t="shared" si="18"/>
        <v>0.62857142857142856</v>
      </c>
      <c r="H47" s="691">
        <v>1056.9068852989765</v>
      </c>
      <c r="I47" s="691">
        <v>1.8392621006626707E-2</v>
      </c>
      <c r="J47" s="691">
        <v>1.1035572603976022E-2</v>
      </c>
      <c r="K47" s="2911" t="s">
        <v>2146</v>
      </c>
    </row>
    <row r="48" spans="2:11" ht="18" customHeight="1" x14ac:dyDescent="0.2">
      <c r="B48" s="282" t="s">
        <v>133</v>
      </c>
      <c r="C48" s="691">
        <v>16.265462666824298</v>
      </c>
      <c r="D48" s="3078" t="s">
        <v>1814</v>
      </c>
      <c r="E48" s="1913">
        <f t="shared" si="17"/>
        <v>95</v>
      </c>
      <c r="F48" s="1913">
        <f t="shared" si="18"/>
        <v>0.95238095238095244</v>
      </c>
      <c r="G48" s="1913">
        <f t="shared" si="18"/>
        <v>0.66666666666666663</v>
      </c>
      <c r="H48" s="691">
        <v>1.5452189533483083</v>
      </c>
      <c r="I48" s="691">
        <v>1.5490916825546952E-5</v>
      </c>
      <c r="J48" s="691">
        <v>1.0843641777882866E-5</v>
      </c>
      <c r="K48" s="2911" t="s">
        <v>2146</v>
      </c>
    </row>
    <row r="49" spans="2:11" ht="18" customHeight="1" x14ac:dyDescent="0.2">
      <c r="B49" s="282" t="s">
        <v>134</v>
      </c>
      <c r="C49" s="691">
        <v>155257.55289438117</v>
      </c>
      <c r="D49" s="3078" t="s">
        <v>1814</v>
      </c>
      <c r="E49" s="1913">
        <f t="shared" si="17"/>
        <v>51.411918339265007</v>
      </c>
      <c r="F49" s="1913">
        <f t="shared" si="18"/>
        <v>0.90909090909090917</v>
      </c>
      <c r="G49" s="1913">
        <f t="shared" si="18"/>
        <v>0.90909090909090906</v>
      </c>
      <c r="H49" s="691">
        <v>7982.0886309600419</v>
      </c>
      <c r="I49" s="691">
        <v>0.1411432299039829</v>
      </c>
      <c r="J49" s="691">
        <v>0.14114322990398287</v>
      </c>
      <c r="K49" s="2911" t="s">
        <v>2146</v>
      </c>
    </row>
    <row r="50" spans="2:11" ht="18" customHeight="1" x14ac:dyDescent="0.2">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
      <c r="B52" s="282" t="s">
        <v>1943</v>
      </c>
      <c r="C52" s="691">
        <v>49215.733455946589</v>
      </c>
      <c r="D52" s="3078" t="s">
        <v>1814</v>
      </c>
      <c r="E52" s="1913">
        <f t="shared" si="17"/>
        <v>77.533016823995112</v>
      </c>
      <c r="F52" s="1913">
        <f t="shared" si="18"/>
        <v>712.66135775566102</v>
      </c>
      <c r="G52" s="1913">
        <f t="shared" si="18"/>
        <v>1.8603144510704506</v>
      </c>
      <c r="H52" s="691">
        <v>3815.844290045166</v>
      </c>
      <c r="I52" s="691">
        <v>35.074151427655607</v>
      </c>
      <c r="J52" s="691">
        <v>9.1556740168128897E-2</v>
      </c>
      <c r="K52" s="2911" t="s">
        <v>2146</v>
      </c>
    </row>
    <row r="53" spans="2:11" ht="18" customHeight="1" x14ac:dyDescent="0.2">
      <c r="B53" s="1242" t="s">
        <v>205</v>
      </c>
      <c r="C53" s="3078">
        <f>IF(SUM(C54:C58)=0,"NO",SUM(C54:C58))</f>
        <v>3976.9440752941796</v>
      </c>
      <c r="D53" s="3078" t="s">
        <v>1814</v>
      </c>
      <c r="E53" s="628"/>
      <c r="F53" s="628"/>
      <c r="G53" s="628"/>
      <c r="H53" s="3078">
        <f>IF(SUM(H54:H57)=0,"NO",SUM(H54:H57))</f>
        <v>266.25427799040619</v>
      </c>
      <c r="I53" s="3078">
        <f>IF(SUM(I54:I58)=0,"NO",SUM(I54:I58))</f>
        <v>0.72291783771068918</v>
      </c>
      <c r="J53" s="3078">
        <f>IF(SUM(J54:J58)=0,"NO",SUM(J54:J58))</f>
        <v>1.7132228497192055E-3</v>
      </c>
      <c r="K53" s="2921"/>
    </row>
    <row r="54" spans="2:11" ht="18" customHeight="1" x14ac:dyDescent="0.2">
      <c r="B54" s="282" t="s">
        <v>132</v>
      </c>
      <c r="C54" s="691">
        <v>3945.1345092922238</v>
      </c>
      <c r="D54" s="3078" t="s">
        <v>1814</v>
      </c>
      <c r="E54" s="1913">
        <f t="shared" ref="E54:E58" si="19">IFERROR(H54*1000/$C54,"NA")</f>
        <v>67.489277580594717</v>
      </c>
      <c r="F54" s="1913">
        <f t="shared" ref="F54:G58" si="20">IFERROR(I54*1000000/$C54,"NA")</f>
        <v>177.27627720219706</v>
      </c>
      <c r="G54" s="1913">
        <f t="shared" si="20"/>
        <v>0.39394728267154905</v>
      </c>
      <c r="H54" s="691">
        <v>266.25427799040619</v>
      </c>
      <c r="I54" s="691">
        <v>0.69937875886924195</v>
      </c>
      <c r="J54" s="691">
        <v>1.5541750197094267E-3</v>
      </c>
      <c r="K54" s="2921"/>
    </row>
    <row r="55" spans="2:11" ht="18" customHeight="1" x14ac:dyDescent="0.2">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
      <c r="B58" s="282" t="s">
        <v>1943</v>
      </c>
      <c r="C58" s="691">
        <v>31.809566001955801</v>
      </c>
      <c r="D58" s="3078" t="s">
        <v>1814</v>
      </c>
      <c r="E58" s="1913">
        <f t="shared" si="19"/>
        <v>67.259999999999934</v>
      </c>
      <c r="F58" s="1913">
        <f t="shared" si="20"/>
        <v>739.99999999999932</v>
      </c>
      <c r="G58" s="1913">
        <f t="shared" si="20"/>
        <v>4.9999999999999956</v>
      </c>
      <c r="H58" s="691">
        <v>2.1395114092915453</v>
      </c>
      <c r="I58" s="691">
        <v>2.3539078841447271E-2</v>
      </c>
      <c r="J58" s="691">
        <v>1.5904783000977887E-4</v>
      </c>
      <c r="K58" s="2921"/>
    </row>
    <row r="59" spans="2:11" ht="18" customHeight="1" x14ac:dyDescent="0.2">
      <c r="B59" s="1245" t="s">
        <v>206</v>
      </c>
      <c r="C59" s="3078">
        <f>IF(SUM(C60:C65)=0,"NO",SUM(C60:C65))</f>
        <v>101744.41853024768</v>
      </c>
      <c r="D59" s="3078" t="s">
        <v>1814</v>
      </c>
      <c r="E59" s="628"/>
      <c r="F59" s="628"/>
      <c r="G59" s="628"/>
      <c r="H59" s="1913">
        <f>IF(SUM(H60:H64)=0,"NO",SUM(H60:H64))</f>
        <v>7049.3841169143307</v>
      </c>
      <c r="I59" s="1913">
        <f>IF(SUM(I60:I65)=0,"NO",SUM(I60:I65))</f>
        <v>0.68207751076155976</v>
      </c>
      <c r="J59" s="1913">
        <f>IF(SUM(J60:J65)=0,"NO",SUM(J60:J65))</f>
        <v>0.36145609965157866</v>
      </c>
      <c r="K59" s="3085" t="str">
        <f>IF(SUM(K60:K65)=0,"NO",SUM(K60:K65))</f>
        <v>NO</v>
      </c>
    </row>
    <row r="60" spans="2:11" ht="18" customHeight="1" x14ac:dyDescent="0.2">
      <c r="B60" s="282" t="s">
        <v>132</v>
      </c>
      <c r="C60" s="1913">
        <f>IF(SUM(C67,C74:C77,C84:C87)=0,"NO",SUM(C67,C74:C77,C84:C87))</f>
        <v>100445.96553024769</v>
      </c>
      <c r="D60" s="3078" t="s">
        <v>1814</v>
      </c>
      <c r="E60" s="1913">
        <f t="shared" ref="E60:E65" si="21">IFERROR(H60*1000/$C60,"NA")</f>
        <v>69.516263002203416</v>
      </c>
      <c r="F60" s="1913">
        <f t="shared" ref="F60:G65" si="22">IFERROR(I60*1000000/$C60,"NA")</f>
        <v>6.7787401450020086</v>
      </c>
      <c r="G60" s="1913">
        <f t="shared" si="22"/>
        <v>3.5867611599084643</v>
      </c>
      <c r="H60" s="1913">
        <f>IF(SUM(H67,H74:H77,H84:H87)=0,"NO",SUM(H67,H74:H77,H84:H87))</f>
        <v>6982.6281573109572</v>
      </c>
      <c r="I60" s="1913">
        <f>IF(SUM(I67,I74:I77,I84:I87)=0,"NO",SUM(I67,I74:I77,I84:I87))</f>
        <v>0.68089709894337791</v>
      </c>
      <c r="J60" s="1913">
        <f>IF(SUM(J67,J74:J77,J84:J87)=0,"NO",SUM(J67,J74:J77,J84:J87))</f>
        <v>0.36027568783339686</v>
      </c>
      <c r="K60" s="3085" t="str">
        <f>IF(SUM(K67,K74:K77,K84:K87)=0,"NO",SUM(K67,K74:K77,K84:K87))</f>
        <v>NO</v>
      </c>
    </row>
    <row r="61" spans="2:11" ht="18" customHeight="1" x14ac:dyDescent="0.2">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
      <c r="B62" s="282" t="s">
        <v>134</v>
      </c>
      <c r="C62" s="1913">
        <f>IF(SUM(C69,C79,C89)=0,"NO",SUM(C69,C79,C89))</f>
        <v>1298.4529999999997</v>
      </c>
      <c r="D62" s="3078" t="s">
        <v>1814</v>
      </c>
      <c r="E62" s="1913">
        <f t="shared" si="21"/>
        <v>51.411918339265021</v>
      </c>
      <c r="F62" s="1913">
        <f t="shared" si="22"/>
        <v>0.90909090909090928</v>
      </c>
      <c r="G62" s="1913">
        <f t="shared" si="22"/>
        <v>0.90909090909090917</v>
      </c>
      <c r="H62" s="1913">
        <f>IF(SUM(H69,H79,H89)=0,"NO",SUM(H69,H79,H89))</f>
        <v>66.755959603373668</v>
      </c>
      <c r="I62" s="1913">
        <f>IF(SUM(I69,I79,I89)=0,"NO",SUM(I69,I79,I89))</f>
        <v>1.1804118181818182E-3</v>
      </c>
      <c r="J62" s="1913">
        <f>IF(SUM(J69,J79,J89)=0,"NO",SUM(J69,J79,J89))</f>
        <v>1.180411818181818E-3</v>
      </c>
      <c r="K62" s="3085" t="str">
        <f>IF(SUM(K69,K79,K89)=0,"NO",SUM(K69,K79,K89))</f>
        <v>NO</v>
      </c>
    </row>
    <row r="63" spans="2:11" ht="18" customHeight="1" x14ac:dyDescent="0.2">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
      <c r="B66" s="1246" t="s">
        <v>207</v>
      </c>
      <c r="C66" s="1913">
        <f>IF(SUM(C67:C72)=0,"NO",SUM(C67:C72))</f>
        <v>101744.41853024768</v>
      </c>
      <c r="D66" s="3078" t="s">
        <v>1814</v>
      </c>
      <c r="E66" s="2108"/>
      <c r="F66" s="2108"/>
      <c r="G66" s="2108"/>
      <c r="H66" s="1913">
        <f>IF(SUM(H67:H71)=0,"NO",SUM(H67:H71))</f>
        <v>7049.3841169143307</v>
      </c>
      <c r="I66" s="1913">
        <f>IF(SUM(I67:I72)=0,"NO",SUM(I67:I72))</f>
        <v>0.68207751076155976</v>
      </c>
      <c r="J66" s="1913">
        <f>IF(SUM(J67:J72)=0,"NO",SUM(J67:J72))</f>
        <v>0.36145609965157866</v>
      </c>
      <c r="K66" s="3085" t="str">
        <f>IF(SUM(K67:K72)=0,"NO",SUM(K67:K72))</f>
        <v>NO</v>
      </c>
    </row>
    <row r="67" spans="2:11" ht="18" customHeight="1" x14ac:dyDescent="0.2">
      <c r="B67" s="282" t="s">
        <v>132</v>
      </c>
      <c r="C67" s="691">
        <v>100445.96553024769</v>
      </c>
      <c r="D67" s="3078" t="s">
        <v>1814</v>
      </c>
      <c r="E67" s="1913">
        <f t="shared" ref="E67:E72" si="23">IFERROR(H67*1000/$C67,"NA")</f>
        <v>69.516263002203416</v>
      </c>
      <c r="F67" s="1913">
        <f t="shared" ref="F67:G72" si="24">IFERROR(I67*1000000/$C67,"NA")</f>
        <v>6.7787401450020086</v>
      </c>
      <c r="G67" s="1913">
        <f t="shared" si="24"/>
        <v>3.5867611599084643</v>
      </c>
      <c r="H67" s="691">
        <v>6982.6281573109572</v>
      </c>
      <c r="I67" s="691">
        <v>0.68089709894337791</v>
      </c>
      <c r="J67" s="691">
        <v>0.36027568783339686</v>
      </c>
      <c r="K67" s="2911" t="s">
        <v>2146</v>
      </c>
    </row>
    <row r="68" spans="2:11" ht="18" customHeight="1" x14ac:dyDescent="0.2">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
      <c r="B69" s="282" t="s">
        <v>134</v>
      </c>
      <c r="C69" s="691">
        <v>1298.4529999999997</v>
      </c>
      <c r="D69" s="3078" t="s">
        <v>1814</v>
      </c>
      <c r="E69" s="1913">
        <f t="shared" si="23"/>
        <v>51.411918339265021</v>
      </c>
      <c r="F69" s="1913">
        <f t="shared" si="24"/>
        <v>0.90909090909090928</v>
      </c>
      <c r="G69" s="1913">
        <f t="shared" si="24"/>
        <v>0.90909090909090917</v>
      </c>
      <c r="H69" s="691">
        <v>66.755959603373668</v>
      </c>
      <c r="I69" s="691">
        <v>1.1804118181818182E-3</v>
      </c>
      <c r="J69" s="691">
        <v>1.180411818181818E-3</v>
      </c>
      <c r="K69" s="2911" t="s">
        <v>2146</v>
      </c>
    </row>
    <row r="70" spans="2:11" ht="18" customHeight="1" x14ac:dyDescent="0.2">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25">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
      <c r="B93" s="1276" t="s">
        <v>211</v>
      </c>
      <c r="C93" s="3109">
        <f>IF(SUM(C94:C99)=0,"NO",SUM(C94:C99))</f>
        <v>15760.416647036653</v>
      </c>
      <c r="D93" s="3078" t="s">
        <v>1814</v>
      </c>
      <c r="E93" s="2134"/>
      <c r="F93" s="2134"/>
      <c r="G93" s="2134"/>
      <c r="H93" s="3109">
        <f>IF(SUM(H94:H98)=0,"NO",SUM(H94:H98))</f>
        <v>1098.2600127163214</v>
      </c>
      <c r="I93" s="3109">
        <f>IF(SUM(I94:I99)=0,"NO",SUM(I94:I99))</f>
        <v>3.6153916890682418E-2</v>
      </c>
      <c r="J93" s="3113">
        <f>IF(SUM(J94:J99)=0,"NO",SUM(J94:J99))</f>
        <v>3.1179457365658667E-2</v>
      </c>
      <c r="K93" s="449" t="str">
        <f>IF(SUM(K94:K99)=0,"NO",SUM(K94:K99))</f>
        <v>NO</v>
      </c>
    </row>
    <row r="94" spans="2:11" ht="18" customHeight="1" x14ac:dyDescent="0.2">
      <c r="B94" s="282" t="s">
        <v>132</v>
      </c>
      <c r="C94" s="691">
        <f>IF(SUM(C102,C110)=0,"NO",SUM(C102,C110))</f>
        <v>15760.293794889019</v>
      </c>
      <c r="D94" s="1913" t="s">
        <v>1814</v>
      </c>
      <c r="E94" s="1913">
        <f t="shared" ref="E94:E99" si="32">IFERROR(H94*1000/$C94,"NA")</f>
        <v>69.685249971195432</v>
      </c>
      <c r="F94" s="1913">
        <f t="shared" ref="F94:G99" si="33">IFERROR(I94*1000000/$C94,"NA")</f>
        <v>2.2878060274042435</v>
      </c>
      <c r="G94" s="1913">
        <f t="shared" si="33"/>
        <v>1.9783316995858911</v>
      </c>
      <c r="H94" s="691">
        <f t="shared" ref="H94:K97" si="34">IF(SUM(H102,H110)=0,"NO",SUM(H102,H110))</f>
        <v>1098.2600127163214</v>
      </c>
      <c r="I94" s="691">
        <f t="shared" si="34"/>
        <v>3.60564951376088E-2</v>
      </c>
      <c r="J94" s="691">
        <f t="shared" si="34"/>
        <v>3.1179088809215764E-2</v>
      </c>
      <c r="K94" s="2911"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
      <c r="B99" s="282" t="s">
        <v>1943</v>
      </c>
      <c r="C99" s="691">
        <f>IF(SUM(C107,C114)=0,"NO",SUM(C107,C114))</f>
        <v>0.122852147633821</v>
      </c>
      <c r="D99" s="1913" t="s">
        <v>1814</v>
      </c>
      <c r="E99" s="1913">
        <f t="shared" si="32"/>
        <v>67.260000000000076</v>
      </c>
      <c r="F99" s="1913">
        <f t="shared" si="33"/>
        <v>793.00000000000114</v>
      </c>
      <c r="G99" s="1913">
        <f t="shared" si="33"/>
        <v>3.0000000000000031</v>
      </c>
      <c r="H99" s="691">
        <f>IF(SUM(H107,H114)=0,"NO",SUM(H107,H114))</f>
        <v>8.2630354498508096E-3</v>
      </c>
      <c r="I99" s="691">
        <f>IF(SUM(I107,I114)=0,"NO",SUM(I107,I114))</f>
        <v>9.7421753073620188E-5</v>
      </c>
      <c r="J99" s="691">
        <f>IF(SUM(J107,J114)=0,"NO",SUM(J107,J114))</f>
        <v>3.6855644290146341E-7</v>
      </c>
      <c r="K99" s="2911" t="str">
        <f>IF(SUM(K107,K114)=0,"NO",SUM(K107,K114))</f>
        <v>NO</v>
      </c>
    </row>
    <row r="100" spans="2:11" ht="18" customHeight="1" x14ac:dyDescent="0.2">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
      <c r="B108" s="1247" t="s">
        <v>213</v>
      </c>
      <c r="C108" s="3078">
        <f>C109</f>
        <v>15760.416647036653</v>
      </c>
      <c r="D108" s="1913" t="s">
        <v>1814</v>
      </c>
      <c r="E108" s="1931"/>
      <c r="F108" s="1931"/>
      <c r="G108" s="1931"/>
      <c r="H108" s="3078">
        <f>H109</f>
        <v>1098.2600127163214</v>
      </c>
      <c r="I108" s="3078">
        <f>I109</f>
        <v>3.6153916890682418E-2</v>
      </c>
      <c r="J108" s="3110">
        <f>J109</f>
        <v>3.1179457365658667E-2</v>
      </c>
      <c r="K108" s="2921"/>
    </row>
    <row r="109" spans="2:11" ht="18" customHeight="1" x14ac:dyDescent="0.2">
      <c r="B109" s="3125" t="s">
        <v>2149</v>
      </c>
      <c r="C109" s="3099">
        <f>IF(SUM(C110:C114)=0,"NO",SUM(C110:C114))</f>
        <v>15760.416647036653</v>
      </c>
      <c r="D109" s="1913" t="s">
        <v>1814</v>
      </c>
      <c r="E109" s="628"/>
      <c r="F109" s="628"/>
      <c r="G109" s="628"/>
      <c r="H109" s="3099">
        <f>IF(SUM(H110:H113)=0,"NO",SUM(H110:H113))</f>
        <v>1098.2600127163214</v>
      </c>
      <c r="I109" s="3099">
        <f>IF(SUM(I110:I114)=0,"NO",SUM(I110:I114))</f>
        <v>3.6153916890682418E-2</v>
      </c>
      <c r="J109" s="3099">
        <f>IF(SUM(J110:J114)=0,"NO",SUM(J110:J114))</f>
        <v>3.1179457365658667E-2</v>
      </c>
      <c r="K109" s="2921"/>
    </row>
    <row r="110" spans="2:11" ht="18" customHeight="1" x14ac:dyDescent="0.2">
      <c r="B110" s="282" t="s">
        <v>132</v>
      </c>
      <c r="C110" s="691">
        <v>15760.293794889019</v>
      </c>
      <c r="D110" s="1913" t="s">
        <v>1814</v>
      </c>
      <c r="E110" s="1913">
        <f t="shared" ref="E110:E114" si="37">IFERROR(H110*1000/$C110,"NA")</f>
        <v>69.685249971195432</v>
      </c>
      <c r="F110" s="1913">
        <f t="shared" ref="F110:G114" si="38">IFERROR(I110*1000000/$C110,"NA")</f>
        <v>2.2878060274042435</v>
      </c>
      <c r="G110" s="1913">
        <f t="shared" si="38"/>
        <v>1.9783316995858911</v>
      </c>
      <c r="H110" s="691">
        <v>1098.2600127163214</v>
      </c>
      <c r="I110" s="691">
        <v>3.60564951376088E-2</v>
      </c>
      <c r="J110" s="691">
        <v>3.1179088809215764E-2</v>
      </c>
      <c r="K110" s="3114"/>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25">
      <c r="B114" s="2185" t="s">
        <v>199</v>
      </c>
      <c r="C114" s="1559">
        <v>0.122852147633821</v>
      </c>
      <c r="D114" s="2880" t="s">
        <v>1814</v>
      </c>
      <c r="E114" s="2880">
        <f t="shared" si="37"/>
        <v>67.260000000000076</v>
      </c>
      <c r="F114" s="2880">
        <f t="shared" si="38"/>
        <v>793.00000000000114</v>
      </c>
      <c r="G114" s="2880">
        <f t="shared" si="38"/>
        <v>3.0000000000000031</v>
      </c>
      <c r="H114" s="1559">
        <v>8.2630354498508096E-3</v>
      </c>
      <c r="I114" s="1559">
        <v>9.7421753073620188E-5</v>
      </c>
      <c r="J114" s="1559">
        <v>3.6855644290146341E-7</v>
      </c>
      <c r="K114" s="3115"/>
    </row>
    <row r="115" spans="2:11" s="2195" customFormat="1" ht="18" customHeight="1" x14ac:dyDescent="0.2">
      <c r="B115" s="2194" t="s">
        <v>1945</v>
      </c>
      <c r="C115" s="3116"/>
      <c r="D115" s="3117"/>
      <c r="E115" s="3117"/>
      <c r="F115" s="3117"/>
      <c r="G115" s="3117"/>
      <c r="H115" s="3117"/>
      <c r="I115" s="3117"/>
      <c r="J115" s="3117"/>
      <c r="K115" s="3118"/>
    </row>
    <row r="116" spans="2:11" s="2195" customFormat="1" ht="18" customHeight="1" x14ac:dyDescent="0.2">
      <c r="B116" s="2196" t="s">
        <v>214</v>
      </c>
      <c r="C116" s="3119"/>
      <c r="D116" s="3120"/>
      <c r="E116" s="3120"/>
      <c r="F116" s="3120"/>
      <c r="G116" s="3120"/>
      <c r="H116" s="3120"/>
      <c r="I116" s="3120"/>
      <c r="J116" s="3120"/>
      <c r="K116" s="3121"/>
    </row>
    <row r="117" spans="2:11" s="2195" customFormat="1" ht="18" customHeight="1" x14ac:dyDescent="0.2">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25">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
      <c r="B119" s="2197"/>
      <c r="C119" s="2198"/>
      <c r="D119" s="2198"/>
      <c r="E119" s="2198"/>
      <c r="F119" s="2198"/>
      <c r="G119" s="2198"/>
      <c r="H119" s="2198"/>
      <c r="I119" s="2198"/>
      <c r="J119" s="2198"/>
      <c r="K119" s="2198"/>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7"/>
    </row>
    <row r="127" spans="2:11" ht="12" customHeight="1" x14ac:dyDescent="0.2">
      <c r="B127" s="1023"/>
      <c r="C127" s="961"/>
      <c r="D127" s="961"/>
      <c r="E127" s="961"/>
      <c r="F127" s="961"/>
      <c r="G127" s="961"/>
      <c r="H127" s="961"/>
      <c r="I127" s="961"/>
      <c r="J127" s="961"/>
      <c r="K127" s="2187"/>
    </row>
    <row r="128" spans="2:11" ht="12" customHeight="1" x14ac:dyDescent="0.2">
      <c r="B128" s="1023"/>
      <c r="C128" s="961"/>
      <c r="D128" s="961"/>
      <c r="E128" s="961"/>
      <c r="F128" s="961"/>
      <c r="G128" s="961"/>
      <c r="H128" s="961"/>
      <c r="I128" s="961"/>
      <c r="J128" s="961"/>
      <c r="K128" s="2187"/>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7"/>
    </row>
    <row r="132" spans="2:11" ht="12" customHeight="1" x14ac:dyDescent="0.2">
      <c r="B132" s="1023"/>
      <c r="C132" s="961"/>
      <c r="D132" s="961"/>
      <c r="E132" s="961"/>
      <c r="F132" s="961"/>
      <c r="G132" s="961"/>
      <c r="H132" s="961"/>
      <c r="I132" s="961"/>
      <c r="J132" s="961"/>
      <c r="K132" s="2187"/>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9"/>
    </row>
    <row r="152" spans="2:11" ht="41.25" customHeight="1" thickBot="1" x14ac:dyDescent="0.25">
      <c r="B152" s="4471" t="s">
        <v>2273</v>
      </c>
      <c r="C152" s="4472"/>
      <c r="D152" s="4472"/>
      <c r="E152" s="4472"/>
      <c r="F152" s="4472"/>
      <c r="G152" s="4472"/>
      <c r="H152" s="4472"/>
      <c r="I152" s="4472"/>
      <c r="J152" s="4472"/>
      <c r="K152" s="4473"/>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6"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
      <c r="B11" s="1727" t="s">
        <v>240</v>
      </c>
      <c r="C11" s="1567" t="s">
        <v>241</v>
      </c>
      <c r="D11" s="38" t="s">
        <v>242</v>
      </c>
      <c r="E11" s="2575" t="s">
        <v>2150</v>
      </c>
      <c r="F11" s="3361">
        <v>841366.54500000004</v>
      </c>
      <c r="G11" s="3361">
        <v>763947.70940429997</v>
      </c>
      <c r="H11" s="3361">
        <v>513977</v>
      </c>
      <c r="I11" s="3381"/>
      <c r="J11" s="3361">
        <v>2536.8000000000002</v>
      </c>
      <c r="K11" s="3369">
        <f t="shared" ref="K11:K28" si="0">IF((SUM(F11:G11)-SUM(H11:J11))=0,"NO",(SUM(F11:G11)-SUM(H11:J11)))</f>
        <v>1088800.4544042998</v>
      </c>
      <c r="L11" s="2577">
        <f>IF(K11="NO","NA",1)</f>
        <v>1</v>
      </c>
      <c r="M11" s="5" t="s">
        <v>1814</v>
      </c>
      <c r="N11" s="3369">
        <f>K11</f>
        <v>1088800.4544042998</v>
      </c>
      <c r="O11" s="3342">
        <v>18.9807162534435</v>
      </c>
      <c r="P11" s="3369">
        <f>IFERROR(N11*O11/1000,"NA")</f>
        <v>20666.212481668364</v>
      </c>
      <c r="Q11" s="3369" t="str">
        <f>'Table1.A(d)'!G11</f>
        <v>NA</v>
      </c>
      <c r="R11" s="3369">
        <f>IF(SUM(P11,-SUM(Q11))=0,"NO",SUM(P11,-SUM(Q11)))</f>
        <v>20666.212481668364</v>
      </c>
      <c r="S11" s="2577">
        <f>IF(R11="NO","NA",1)</f>
        <v>1</v>
      </c>
      <c r="T11" s="3375">
        <f>IF(R11="NO","NO",R11*S11*44/12)</f>
        <v>75776.112432784008</v>
      </c>
    </row>
    <row r="12" spans="2:20" ht="18" customHeight="1" x14ac:dyDescent="0.2">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
      <c r="B13" s="1727"/>
      <c r="C13" s="1568"/>
      <c r="D13" s="38" t="s">
        <v>244</v>
      </c>
      <c r="E13" s="2575" t="s">
        <v>2150</v>
      </c>
      <c r="F13" s="3361">
        <v>92393.948199999999</v>
      </c>
      <c r="G13" s="3361" t="s">
        <v>2146</v>
      </c>
      <c r="H13" s="3361" t="s">
        <v>2146</v>
      </c>
      <c r="I13" s="3381"/>
      <c r="J13" s="3361" t="s">
        <v>2146</v>
      </c>
      <c r="K13" s="3369">
        <f t="shared" si="0"/>
        <v>92393.948199999999</v>
      </c>
      <c r="L13" s="2577">
        <f t="shared" si="1"/>
        <v>1</v>
      </c>
      <c r="M13" s="5" t="s">
        <v>1814</v>
      </c>
      <c r="N13" s="3369">
        <f t="shared" si="2"/>
        <v>92393.948199999999</v>
      </c>
      <c r="O13" s="3342">
        <v>16.22007653</v>
      </c>
      <c r="P13" s="3369">
        <f t="shared" si="3"/>
        <v>1498.6369107128555</v>
      </c>
      <c r="Q13" s="3369" t="str">
        <f>'Table1.A(d)'!G13</f>
        <v>NA</v>
      </c>
      <c r="R13" s="3369">
        <f>IF(SUM(P13,-SUM(Q13))=0,"NO",SUM(P13,-SUM(Q13)))</f>
        <v>1498.6369107128555</v>
      </c>
      <c r="S13" s="2577">
        <f t="shared" si="4"/>
        <v>1</v>
      </c>
      <c r="T13" s="3375">
        <f t="shared" si="5"/>
        <v>5495.0020059471362</v>
      </c>
    </row>
    <row r="14" spans="2:20" ht="18" customHeight="1" x14ac:dyDescent="0.2">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
      <c r="B15" s="1727"/>
      <c r="C15" s="1567" t="s">
        <v>246</v>
      </c>
      <c r="D15" s="36" t="s">
        <v>167</v>
      </c>
      <c r="E15" s="2575" t="s">
        <v>2150</v>
      </c>
      <c r="F15" s="3381"/>
      <c r="G15" s="3361">
        <v>208912.473927916</v>
      </c>
      <c r="H15" s="3361">
        <v>2605.7485904</v>
      </c>
      <c r="I15" s="3361" t="s">
        <v>2146</v>
      </c>
      <c r="J15" s="3361">
        <v>4626.16</v>
      </c>
      <c r="K15" s="3369">
        <f t="shared" si="0"/>
        <v>201680.56533751599</v>
      </c>
      <c r="L15" s="2577">
        <f>IF(K15="NO","NA",1)</f>
        <v>1</v>
      </c>
      <c r="M15" s="5" t="s">
        <v>1814</v>
      </c>
      <c r="N15" s="3369">
        <f t="shared" si="2"/>
        <v>201680.56533751599</v>
      </c>
      <c r="O15" s="3342">
        <v>18.3818181818182</v>
      </c>
      <c r="P15" s="3369">
        <f t="shared" si="3"/>
        <v>3707.255482840525</v>
      </c>
      <c r="Q15" s="3369" t="str">
        <f>'Table1.A(d)'!G15</f>
        <v>NA</v>
      </c>
      <c r="R15" s="3369">
        <f>IF(SUM(P15,-SUM(Q15))=0,"NO",SUM(P15,-SUM(Q15)))</f>
        <v>3707.255482840525</v>
      </c>
      <c r="S15" s="2577">
        <f>IF(R15="NO","NA",1)</f>
        <v>1</v>
      </c>
      <c r="T15" s="3375">
        <f>IF(R15="NO","NO",R15*S15*44/12)</f>
        <v>13593.270103748591</v>
      </c>
    </row>
    <row r="16" spans="2:20" ht="18" customHeight="1" x14ac:dyDescent="0.2">
      <c r="B16" s="1727"/>
      <c r="C16" s="1567"/>
      <c r="D16" s="36" t="s">
        <v>178</v>
      </c>
      <c r="E16" s="2575" t="s">
        <v>2150</v>
      </c>
      <c r="F16" s="3382"/>
      <c r="G16" s="3361">
        <v>189349.48616761001</v>
      </c>
      <c r="H16" s="3361">
        <v>63.049623999999703</v>
      </c>
      <c r="I16" s="3361">
        <v>178753</v>
      </c>
      <c r="J16" s="3361">
        <v>-886.23999999999796</v>
      </c>
      <c r="K16" s="3369">
        <f t="shared" si="0"/>
        <v>11419.676543609996</v>
      </c>
      <c r="L16" s="2577">
        <f t="shared" ref="L16:L28" si="6">IF(K16="NO","NA",1)</f>
        <v>1</v>
      </c>
      <c r="M16" s="5" t="s">
        <v>1814</v>
      </c>
      <c r="N16" s="3369">
        <f t="shared" si="2"/>
        <v>11419.676543609996</v>
      </c>
      <c r="O16" s="3342">
        <v>18.981818181818198</v>
      </c>
      <c r="P16" s="3369">
        <f t="shared" si="3"/>
        <v>216.76622384597903</v>
      </c>
      <c r="Q16" s="3369" t="str">
        <f>'Table1.A(d)'!G16</f>
        <v>NA</v>
      </c>
      <c r="R16" s="3369">
        <f t="shared" ref="R16:R44" si="7">IF(SUM(P16,-SUM(Q16))=0,"NO",SUM(P16,-SUM(Q16)))</f>
        <v>216.76622384597903</v>
      </c>
      <c r="S16" s="2577">
        <f t="shared" ref="S16:S28" si="8">IF(R16="NO","NA",1)</f>
        <v>1</v>
      </c>
      <c r="T16" s="3375">
        <f t="shared" ref="T16:T28" si="9">IF(R16="NO","NO",R16*S16*44/12)</f>
        <v>794.80948743525641</v>
      </c>
    </row>
    <row r="17" spans="2:20" ht="18" customHeight="1" x14ac:dyDescent="0.2">
      <c r="B17" s="1727"/>
      <c r="C17" s="1567"/>
      <c r="D17" s="36" t="s">
        <v>247</v>
      </c>
      <c r="E17" s="2575" t="s">
        <v>2150</v>
      </c>
      <c r="F17" s="3381"/>
      <c r="G17" s="3361">
        <v>132.958404876386</v>
      </c>
      <c r="H17" s="3361" t="s">
        <v>2146</v>
      </c>
      <c r="I17" s="3361" t="s">
        <v>2146</v>
      </c>
      <c r="J17" s="3361" t="s">
        <v>2146</v>
      </c>
      <c r="K17" s="3369">
        <f t="shared" si="0"/>
        <v>132.958404876386</v>
      </c>
      <c r="L17" s="2577">
        <f t="shared" si="6"/>
        <v>1</v>
      </c>
      <c r="M17" s="5" t="s">
        <v>1814</v>
      </c>
      <c r="N17" s="3369">
        <f t="shared" si="2"/>
        <v>132.958404876386</v>
      </c>
      <c r="O17" s="3342">
        <v>18.7909090909091</v>
      </c>
      <c r="P17" s="3369">
        <f t="shared" si="3"/>
        <v>2.4984092989044542</v>
      </c>
      <c r="Q17" s="3369" t="str">
        <f>'Table1.A(d)'!G17</f>
        <v>NA</v>
      </c>
      <c r="R17" s="3369">
        <f t="shared" si="7"/>
        <v>2.4984092989044542</v>
      </c>
      <c r="S17" s="2577">
        <f t="shared" si="8"/>
        <v>1</v>
      </c>
      <c r="T17" s="3375">
        <f t="shared" si="9"/>
        <v>9.1608340959829988</v>
      </c>
    </row>
    <row r="18" spans="2:20" ht="18" customHeight="1" x14ac:dyDescent="0.2">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
      <c r="B19" s="1727"/>
      <c r="C19" s="1567"/>
      <c r="D19" s="36" t="s">
        <v>191</v>
      </c>
      <c r="E19" s="2575" t="s">
        <v>2150</v>
      </c>
      <c r="F19" s="3381"/>
      <c r="G19" s="3361">
        <v>630843.38799687801</v>
      </c>
      <c r="H19" s="3361">
        <v>2003.9276850000001</v>
      </c>
      <c r="I19" s="3361">
        <v>2113</v>
      </c>
      <c r="J19" s="3361">
        <v>12840.96</v>
      </c>
      <c r="K19" s="3369">
        <f t="shared" si="0"/>
        <v>613885.50031187804</v>
      </c>
      <c r="L19" s="2577">
        <f t="shared" si="6"/>
        <v>1</v>
      </c>
      <c r="M19" s="5" t="s">
        <v>1814</v>
      </c>
      <c r="N19" s="3369">
        <f t="shared" si="2"/>
        <v>613885.50031187804</v>
      </c>
      <c r="O19" s="3342">
        <v>19.063636363636402</v>
      </c>
      <c r="P19" s="3369">
        <f t="shared" si="3"/>
        <v>11702.889946854644</v>
      </c>
      <c r="Q19" s="3369" t="str">
        <f>'Table1.A(d)'!G19</f>
        <v>NA</v>
      </c>
      <c r="R19" s="3369">
        <f t="shared" si="7"/>
        <v>11702.889946854644</v>
      </c>
      <c r="S19" s="2577">
        <f t="shared" si="8"/>
        <v>1</v>
      </c>
      <c r="T19" s="3375">
        <f t="shared" si="9"/>
        <v>42910.59647180036</v>
      </c>
    </row>
    <row r="20" spans="2:20" ht="18" customHeight="1" x14ac:dyDescent="0.2">
      <c r="B20" s="1727"/>
      <c r="C20" s="1567"/>
      <c r="D20" s="36" t="s">
        <v>190</v>
      </c>
      <c r="E20" s="2575" t="s">
        <v>2150</v>
      </c>
      <c r="F20" s="3381"/>
      <c r="G20" s="3361">
        <v>12128.339680274699</v>
      </c>
      <c r="H20" s="3361">
        <v>7177.9104232999998</v>
      </c>
      <c r="I20" s="3361">
        <v>21025</v>
      </c>
      <c r="J20" s="3361">
        <v>-539.4</v>
      </c>
      <c r="K20" s="3369">
        <f t="shared" si="0"/>
        <v>-15535.170743025299</v>
      </c>
      <c r="L20" s="2577">
        <f t="shared" si="6"/>
        <v>1</v>
      </c>
      <c r="M20" s="5" t="s">
        <v>1814</v>
      </c>
      <c r="N20" s="3369">
        <f t="shared" si="2"/>
        <v>-15535.170743025299</v>
      </c>
      <c r="O20" s="3342">
        <v>20.072727272727299</v>
      </c>
      <c r="P20" s="3369">
        <f t="shared" si="3"/>
        <v>-311.83324545999915</v>
      </c>
      <c r="Q20" s="3369" t="str">
        <f>'Table1.A(d)'!G20</f>
        <v>NA</v>
      </c>
      <c r="R20" s="3369">
        <f t="shared" si="7"/>
        <v>-311.83324545999915</v>
      </c>
      <c r="S20" s="2577">
        <f t="shared" si="8"/>
        <v>1</v>
      </c>
      <c r="T20" s="3375">
        <f t="shared" si="9"/>
        <v>-1143.3885666866636</v>
      </c>
    </row>
    <row r="21" spans="2:20" ht="18" customHeight="1" x14ac:dyDescent="0.2">
      <c r="B21" s="1727"/>
      <c r="C21" s="1567"/>
      <c r="D21" s="36" t="s">
        <v>169</v>
      </c>
      <c r="E21" s="2575" t="s">
        <v>2150</v>
      </c>
      <c r="F21" s="3381"/>
      <c r="G21" s="3361">
        <v>23597.804815399999</v>
      </c>
      <c r="H21" s="3361">
        <v>52316.333118100003</v>
      </c>
      <c r="I21" s="3381"/>
      <c r="J21" s="3361">
        <v>2792.48</v>
      </c>
      <c r="K21" s="3369">
        <f t="shared" si="0"/>
        <v>-31511.008302700007</v>
      </c>
      <c r="L21" s="2577">
        <f t="shared" si="6"/>
        <v>1</v>
      </c>
      <c r="M21" s="5" t="s">
        <v>1814</v>
      </c>
      <c r="N21" s="3369">
        <f t="shared" si="2"/>
        <v>-31511.008302700007</v>
      </c>
      <c r="O21" s="3342">
        <v>16.4181818181818</v>
      </c>
      <c r="P21" s="3369">
        <f t="shared" si="3"/>
        <v>-517.35346358796505</v>
      </c>
      <c r="Q21" s="3369" t="str">
        <f>'Table1.A(d)'!G21</f>
        <v>NA</v>
      </c>
      <c r="R21" s="3369">
        <f t="shared" si="7"/>
        <v>-517.35346358796505</v>
      </c>
      <c r="S21" s="2577">
        <f t="shared" si="8"/>
        <v>1</v>
      </c>
      <c r="T21" s="3375">
        <f t="shared" si="9"/>
        <v>-1896.9626998225385</v>
      </c>
    </row>
    <row r="22" spans="2:20" ht="18" customHeight="1" x14ac:dyDescent="0.2">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15.409090909090899</v>
      </c>
      <c r="P22" s="3369" t="str">
        <f t="shared" si="3"/>
        <v>NA</v>
      </c>
      <c r="Q22" s="3369">
        <f>'Table1.A(d)'!G22</f>
        <v>293.069907</v>
      </c>
      <c r="R22" s="3369">
        <f t="shared" si="7"/>
        <v>-293.069907</v>
      </c>
      <c r="S22" s="2577">
        <f t="shared" si="8"/>
        <v>1</v>
      </c>
      <c r="T22" s="3375">
        <f t="shared" si="9"/>
        <v>-1074.589659</v>
      </c>
    </row>
    <row r="23" spans="2:20" ht="18" customHeight="1" x14ac:dyDescent="0.2">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
      <c r="B24" s="1727"/>
      <c r="C24" s="1567"/>
      <c r="D24" s="36" t="s">
        <v>251</v>
      </c>
      <c r="E24" s="2575" t="s">
        <v>2150</v>
      </c>
      <c r="F24" s="3381"/>
      <c r="G24" s="3361">
        <v>22195.337201004899</v>
      </c>
      <c r="H24" s="3361">
        <v>79.505927999999997</v>
      </c>
      <c r="I24" s="3381"/>
      <c r="J24" s="3361" t="s">
        <v>2146</v>
      </c>
      <c r="K24" s="3369">
        <f t="shared" si="0"/>
        <v>22115.8312730049</v>
      </c>
      <c r="L24" s="2577">
        <f t="shared" si="6"/>
        <v>1</v>
      </c>
      <c r="M24" s="5" t="s">
        <v>1814</v>
      </c>
      <c r="N24" s="3369">
        <f t="shared" si="2"/>
        <v>22115.8312730049</v>
      </c>
      <c r="O24" s="3342">
        <v>22.009090909090901</v>
      </c>
      <c r="P24" s="3369">
        <f t="shared" si="3"/>
        <v>486.74934101768042</v>
      </c>
      <c r="Q24" s="3369">
        <f>'Table1.A(d)'!G24</f>
        <v>693.11029090909096</v>
      </c>
      <c r="R24" s="3369">
        <f t="shared" si="7"/>
        <v>-206.36094989141054</v>
      </c>
      <c r="S24" s="2577">
        <f t="shared" si="8"/>
        <v>1</v>
      </c>
      <c r="T24" s="3375">
        <f t="shared" si="9"/>
        <v>-756.65681626850528</v>
      </c>
    </row>
    <row r="25" spans="2:20" ht="18" customHeight="1" x14ac:dyDescent="0.2">
      <c r="B25" s="1727"/>
      <c r="C25" s="1567"/>
      <c r="D25" s="36" t="s">
        <v>252</v>
      </c>
      <c r="E25" s="2575" t="s">
        <v>2150</v>
      </c>
      <c r="F25" s="3381"/>
      <c r="G25" s="3361">
        <v>15422.886617137099</v>
      </c>
      <c r="H25" s="3361">
        <v>10408.555783600001</v>
      </c>
      <c r="I25" s="3361" t="s">
        <v>2146</v>
      </c>
      <c r="J25" s="3361">
        <v>2048.48</v>
      </c>
      <c r="K25" s="3369">
        <f t="shared" si="0"/>
        <v>2965.8508335370989</v>
      </c>
      <c r="L25" s="2577">
        <f t="shared" si="6"/>
        <v>1</v>
      </c>
      <c r="M25" s="5" t="s">
        <v>1814</v>
      </c>
      <c r="N25" s="3369">
        <f t="shared" si="2"/>
        <v>2965.8508335370989</v>
      </c>
      <c r="O25" s="3342">
        <v>18.991363636363602</v>
      </c>
      <c r="P25" s="3369">
        <f t="shared" si="3"/>
        <v>56.325551670915132</v>
      </c>
      <c r="Q25" s="3369">
        <f>'Table1.A(d)'!G25</f>
        <v>236.21458090909101</v>
      </c>
      <c r="R25" s="3369">
        <f t="shared" si="7"/>
        <v>-179.88902923817588</v>
      </c>
      <c r="S25" s="2577">
        <f t="shared" si="8"/>
        <v>1</v>
      </c>
      <c r="T25" s="3375">
        <f t="shared" si="9"/>
        <v>-659.59310720664496</v>
      </c>
    </row>
    <row r="26" spans="2:20" ht="18" customHeight="1" x14ac:dyDescent="0.2">
      <c r="B26" s="1727"/>
      <c r="C26" s="1567"/>
      <c r="D26" s="36" t="s">
        <v>253</v>
      </c>
      <c r="E26" s="2575" t="s">
        <v>2150</v>
      </c>
      <c r="F26" s="3381"/>
      <c r="G26" s="3361">
        <v>21760.923846599999</v>
      </c>
      <c r="H26" s="3361" t="s">
        <v>2146</v>
      </c>
      <c r="I26" s="3381"/>
      <c r="J26" s="3361" t="s">
        <v>2146</v>
      </c>
      <c r="K26" s="3369">
        <f t="shared" si="0"/>
        <v>21760.923846599999</v>
      </c>
      <c r="L26" s="2577">
        <f t="shared" si="6"/>
        <v>1</v>
      </c>
      <c r="M26" s="5" t="s">
        <v>1814</v>
      </c>
      <c r="N26" s="3369">
        <f t="shared" si="2"/>
        <v>21760.923846599999</v>
      </c>
      <c r="O26" s="3342">
        <v>25.261363636363601</v>
      </c>
      <c r="P26" s="3369">
        <f t="shared" si="3"/>
        <v>549.71061035217883</v>
      </c>
      <c r="Q26" s="3369">
        <f>'Table1.A(d)'!G26</f>
        <v>549.71061035217997</v>
      </c>
      <c r="R26" s="3369">
        <f t="shared" si="7"/>
        <v>-1.1368683772161603E-12</v>
      </c>
      <c r="S26" s="2577">
        <f t="shared" si="8"/>
        <v>1</v>
      </c>
      <c r="T26" s="3375">
        <f t="shared" si="9"/>
        <v>-4.1685173831259208E-12</v>
      </c>
    </row>
    <row r="27" spans="2:20" ht="18" customHeight="1" x14ac:dyDescent="0.2">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
      <c r="B28" s="1727"/>
      <c r="C28" s="1568"/>
      <c r="D28" s="36" t="s">
        <v>255</v>
      </c>
      <c r="E28" s="2575" t="s">
        <v>2150</v>
      </c>
      <c r="F28" s="3381"/>
      <c r="G28" s="3361">
        <v>17699.971853503299</v>
      </c>
      <c r="H28" s="3361">
        <v>4640.5634399999999</v>
      </c>
      <c r="I28" s="3381"/>
      <c r="J28" s="3361">
        <v>928.69999999999902</v>
      </c>
      <c r="K28" s="3369">
        <f t="shared" si="0"/>
        <v>12130.7084135033</v>
      </c>
      <c r="L28" s="2577">
        <f t="shared" si="6"/>
        <v>1</v>
      </c>
      <c r="M28" s="5" t="s">
        <v>1814</v>
      </c>
      <c r="N28" s="3369">
        <f t="shared" si="2"/>
        <v>12130.7084135033</v>
      </c>
      <c r="O28" s="3342">
        <v>19.0363636363636</v>
      </c>
      <c r="P28" s="3369">
        <f t="shared" si="3"/>
        <v>230.92457652614419</v>
      </c>
      <c r="Q28" s="3369">
        <f>'Table1.A(d)'!G28</f>
        <v>776.25110584407298</v>
      </c>
      <c r="R28" s="3369">
        <f t="shared" si="7"/>
        <v>-545.32652931792882</v>
      </c>
      <c r="S28" s="2577">
        <f t="shared" si="8"/>
        <v>1</v>
      </c>
      <c r="T28" s="3375">
        <f t="shared" si="9"/>
        <v>-1999.5306074990724</v>
      </c>
    </row>
    <row r="29" spans="2:20" ht="18" customHeight="1" x14ac:dyDescent="0.2">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25">
      <c r="B31" s="1251" t="s">
        <v>257</v>
      </c>
      <c r="C31" s="2343"/>
      <c r="D31" s="2343"/>
      <c r="E31" s="2344"/>
      <c r="F31" s="3385"/>
      <c r="G31" s="3385"/>
      <c r="H31" s="3385"/>
      <c r="I31" s="3385"/>
      <c r="J31" s="3385"/>
      <c r="K31" s="3386"/>
      <c r="L31" s="41"/>
      <c r="M31" s="42"/>
      <c r="N31" s="3371">
        <f>SUM(N11:N29)</f>
        <v>2020240.2385231</v>
      </c>
      <c r="O31" s="3364"/>
      <c r="P31" s="3371">
        <f>SUM(P11:P29)</f>
        <v>38288.782825740229</v>
      </c>
      <c r="Q31" s="3371">
        <f>SUM(Q11:Q29)</f>
        <v>2548.3564950144346</v>
      </c>
      <c r="R31" s="3369">
        <f t="shared" si="7"/>
        <v>35740.426330725793</v>
      </c>
      <c r="S31" s="2578"/>
      <c r="T31" s="3377">
        <f>SUM(T11:T29)</f>
        <v>131048.22987932796</v>
      </c>
    </row>
    <row r="32" spans="2:20" ht="18" customHeight="1" x14ac:dyDescent="0.2">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v>29.506996306092802</v>
      </c>
      <c r="P34" s="3369" t="str">
        <f t="shared" si="13"/>
        <v>NA</v>
      </c>
      <c r="Q34" s="3369">
        <f>'Table1.A(d)'!G34</f>
        <v>20.697632397015099</v>
      </c>
      <c r="R34" s="3369">
        <f t="shared" si="7"/>
        <v>-20.697632397015099</v>
      </c>
      <c r="S34" s="2577">
        <f t="shared" si="14"/>
        <v>1</v>
      </c>
      <c r="T34" s="3375">
        <f t="shared" si="15"/>
        <v>-75.891318789055362</v>
      </c>
    </row>
    <row r="35" spans="2:20" ht="18" customHeight="1" x14ac:dyDescent="0.2">
      <c r="B35" s="1727"/>
      <c r="C35" s="1567"/>
      <c r="D35" s="31" t="s">
        <v>261</v>
      </c>
      <c r="E35" s="2575" t="s">
        <v>2150</v>
      </c>
      <c r="F35" s="3361">
        <v>12156201.425726</v>
      </c>
      <c r="G35" s="3361" t="s">
        <v>2146</v>
      </c>
      <c r="H35" s="3361">
        <v>11001103</v>
      </c>
      <c r="I35" s="3361" t="s">
        <v>2146</v>
      </c>
      <c r="J35" s="3361">
        <v>-171845</v>
      </c>
      <c r="K35" s="3369">
        <f t="shared" si="10"/>
        <v>1326943.4257260002</v>
      </c>
      <c r="L35" s="2577">
        <f t="shared" si="11"/>
        <v>1</v>
      </c>
      <c r="M35" s="55" t="s">
        <v>1814</v>
      </c>
      <c r="N35" s="3369">
        <f t="shared" si="12"/>
        <v>1326943.4257260002</v>
      </c>
      <c r="O35" s="3342">
        <v>24.644579928664701</v>
      </c>
      <c r="P35" s="3369">
        <f t="shared" si="13"/>
        <v>32701.963316120564</v>
      </c>
      <c r="Q35" s="3369">
        <f>'Table1.A(d)'!G35</f>
        <v>472.20240697115401</v>
      </c>
      <c r="R35" s="3369">
        <f t="shared" si="7"/>
        <v>32229.760909149409</v>
      </c>
      <c r="S35" s="2577">
        <f t="shared" si="14"/>
        <v>1</v>
      </c>
      <c r="T35" s="3375">
        <f t="shared" si="15"/>
        <v>118175.79000021449</v>
      </c>
    </row>
    <row r="36" spans="2:20" ht="18" customHeight="1" x14ac:dyDescent="0.2">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
      <c r="B37" s="1727"/>
      <c r="C37" s="1567"/>
      <c r="D37" s="31" t="s">
        <v>263</v>
      </c>
      <c r="E37" s="2575" t="s">
        <v>2150</v>
      </c>
      <c r="F37" s="3361">
        <v>634930.20476626104</v>
      </c>
      <c r="G37" s="3361" t="s">
        <v>2146</v>
      </c>
      <c r="H37" s="3361" t="s">
        <v>2146</v>
      </c>
      <c r="I37" s="3381"/>
      <c r="J37" s="3361">
        <v>-7963</v>
      </c>
      <c r="K37" s="3369">
        <f t="shared" si="10"/>
        <v>642893.20476626104</v>
      </c>
      <c r="L37" s="2577">
        <f t="shared" si="11"/>
        <v>1</v>
      </c>
      <c r="M37" s="55" t="s">
        <v>1814</v>
      </c>
      <c r="N37" s="3369">
        <f t="shared" si="12"/>
        <v>642893.20476626104</v>
      </c>
      <c r="O37" s="3342">
        <v>25.407686347416199</v>
      </c>
      <c r="P37" s="3369">
        <f t="shared" si="13"/>
        <v>16334.428901586378</v>
      </c>
      <c r="Q37" s="3369" t="str">
        <f>'Table1.A(d)'!G37</f>
        <v>NO</v>
      </c>
      <c r="R37" s="3369">
        <f t="shared" si="7"/>
        <v>16334.428901586378</v>
      </c>
      <c r="S37" s="2577">
        <f t="shared" si="14"/>
        <v>1</v>
      </c>
      <c r="T37" s="3375">
        <f t="shared" si="15"/>
        <v>59892.905972483386</v>
      </c>
    </row>
    <row r="38" spans="2:20" ht="18" customHeight="1" x14ac:dyDescent="0.2">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
      <c r="B40" s="1727"/>
      <c r="C40" s="1567" t="s">
        <v>246</v>
      </c>
      <c r="D40" s="36" t="s">
        <v>265</v>
      </c>
      <c r="E40" s="2575" t="s">
        <v>2150</v>
      </c>
      <c r="F40" s="3381"/>
      <c r="G40" s="3361" t="s">
        <v>2146</v>
      </c>
      <c r="H40" s="3361" t="s">
        <v>2146</v>
      </c>
      <c r="I40" s="3381"/>
      <c r="J40" s="3361" t="s">
        <v>2146</v>
      </c>
      <c r="K40" s="3369" t="str">
        <f t="shared" ref="K40:K42" si="16">IF((SUM(F40:G40)-SUM(H40:J40))=0,"NO",(SUM(F40:G40)-SUM(H40:J40)))</f>
        <v>NO</v>
      </c>
      <c r="L40" s="2577" t="str">
        <f t="shared" ref="L40:L42" si="17">IF(K40="NO","NA",1)</f>
        <v>NA</v>
      </c>
      <c r="M40" s="55" t="s">
        <v>1814</v>
      </c>
      <c r="N40" s="3369" t="str">
        <f t="shared" ref="N40:N42" si="18">K40</f>
        <v>NO</v>
      </c>
      <c r="O40" s="3342" t="s">
        <v>2147</v>
      </c>
      <c r="P40" s="3369" t="str">
        <f t="shared" ref="P40:P42" si="19">IFERROR(N40*O40/1000,"NA")</f>
        <v>NA</v>
      </c>
      <c r="Q40" s="3369" t="str">
        <f>'Table1.A(d)'!G40</f>
        <v>NA</v>
      </c>
      <c r="R40" s="3369" t="str">
        <f t="shared" si="7"/>
        <v>NO</v>
      </c>
      <c r="S40" s="2577" t="str">
        <f t="shared" ref="S40:S42" si="20">IF(R40="NO","NA",1)</f>
        <v>NA</v>
      </c>
      <c r="T40" s="3375" t="str">
        <f t="shared" ref="T40:T42" si="21">IF(R40="NO","NO",R40*S40*44/12)</f>
        <v>NO</v>
      </c>
    </row>
    <row r="41" spans="2:20" ht="18" customHeight="1" x14ac:dyDescent="0.2">
      <c r="B41" s="1727"/>
      <c r="C41" s="1567"/>
      <c r="D41" s="31" t="s">
        <v>266</v>
      </c>
      <c r="E41" s="2575" t="s">
        <v>2150</v>
      </c>
      <c r="F41" s="3381"/>
      <c r="G41" s="3361">
        <v>5106</v>
      </c>
      <c r="H41" s="3361">
        <v>20398</v>
      </c>
      <c r="I41" s="3381"/>
      <c r="J41" s="3361" t="s">
        <v>2146</v>
      </c>
      <c r="K41" s="3369">
        <f t="shared" si="16"/>
        <v>-15292</v>
      </c>
      <c r="L41" s="2577">
        <f t="shared" si="17"/>
        <v>1</v>
      </c>
      <c r="M41" s="55" t="s">
        <v>1814</v>
      </c>
      <c r="N41" s="3369">
        <f t="shared" si="18"/>
        <v>-15292</v>
      </c>
      <c r="O41" s="3342">
        <v>29.506996306092802</v>
      </c>
      <c r="P41" s="3369">
        <f t="shared" si="19"/>
        <v>-451.2209875127711</v>
      </c>
      <c r="Q41" s="3369">
        <f>'Table1.A(d)'!G41</f>
        <v>1812.65848817345</v>
      </c>
      <c r="R41" s="3369">
        <f t="shared" si="7"/>
        <v>-2263.8794756862212</v>
      </c>
      <c r="S41" s="2577">
        <f t="shared" si="20"/>
        <v>1</v>
      </c>
      <c r="T41" s="3375">
        <f t="shared" si="21"/>
        <v>-8300.8914108494773</v>
      </c>
    </row>
    <row r="42" spans="2:20" ht="18" customHeight="1" x14ac:dyDescent="0.2">
      <c r="B42" s="1727"/>
      <c r="C42" s="1568"/>
      <c r="D42" s="31" t="s">
        <v>267</v>
      </c>
      <c r="E42" s="2575" t="s">
        <v>2150</v>
      </c>
      <c r="F42" s="3381"/>
      <c r="G42" s="3361" t="s">
        <v>2146</v>
      </c>
      <c r="H42" s="3361" t="s">
        <v>2146</v>
      </c>
      <c r="I42" s="3381"/>
      <c r="J42" s="3361" t="s">
        <v>2146</v>
      </c>
      <c r="K42" s="3369" t="str">
        <f t="shared" si="16"/>
        <v>NO</v>
      </c>
      <c r="L42" s="2577" t="str">
        <f t="shared" si="17"/>
        <v>NA</v>
      </c>
      <c r="M42" s="55" t="s">
        <v>1814</v>
      </c>
      <c r="N42" s="3369" t="str">
        <f t="shared" si="18"/>
        <v>NO</v>
      </c>
      <c r="O42" s="3342">
        <v>22.309090909090909</v>
      </c>
      <c r="P42" s="3369" t="str">
        <f t="shared" si="19"/>
        <v>NA</v>
      </c>
      <c r="Q42" s="3369">
        <f>'Table1.A(d)'!G42</f>
        <v>200.44215216136399</v>
      </c>
      <c r="R42" s="3369">
        <f t="shared" si="7"/>
        <v>-200.44215216136399</v>
      </c>
      <c r="S42" s="2577">
        <f t="shared" si="20"/>
        <v>1</v>
      </c>
      <c r="T42" s="3375">
        <f t="shared" si="21"/>
        <v>-734.95455792500127</v>
      </c>
    </row>
    <row r="43" spans="2:20" ht="18" customHeight="1" x14ac:dyDescent="0.2">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25">
      <c r="B45" s="1251" t="s">
        <v>269</v>
      </c>
      <c r="C45" s="2343"/>
      <c r="D45" s="2343"/>
      <c r="E45" s="2344"/>
      <c r="F45" s="3385"/>
      <c r="G45" s="3385"/>
      <c r="H45" s="3385"/>
      <c r="I45" s="3385"/>
      <c r="J45" s="3385"/>
      <c r="K45" s="3386"/>
      <c r="L45" s="41"/>
      <c r="M45" s="42"/>
      <c r="N45" s="3371">
        <f>SUM(N33:N43)</f>
        <v>1954544.6304922611</v>
      </c>
      <c r="O45" s="3364"/>
      <c r="P45" s="3371">
        <f>SUM(P33:P43)</f>
        <v>48585.171230194166</v>
      </c>
      <c r="Q45" s="3371">
        <f>SUM(Q33:Q43)</f>
        <v>2506.0006797029832</v>
      </c>
      <c r="R45" s="3371">
        <f>SUM(R33:R43)</f>
        <v>46079.170550491188</v>
      </c>
      <c r="S45" s="41"/>
      <c r="T45" s="3377">
        <f>SUM(T33:T43)</f>
        <v>168956.95868513436</v>
      </c>
    </row>
    <row r="46" spans="2:20" ht="18" customHeight="1" x14ac:dyDescent="0.2">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
      <c r="B47" s="2173"/>
      <c r="C47" s="96"/>
      <c r="D47" s="2345" t="s">
        <v>271</v>
      </c>
      <c r="E47" s="2575" t="s">
        <v>2150</v>
      </c>
      <c r="F47" s="3361">
        <v>3369357.2294013901</v>
      </c>
      <c r="G47" s="3361">
        <v>238467</v>
      </c>
      <c r="H47" s="3361">
        <v>2025430</v>
      </c>
      <c r="I47" s="3361" t="s">
        <v>2146</v>
      </c>
      <c r="J47" s="3361">
        <v>101177</v>
      </c>
      <c r="K47" s="3369">
        <f t="shared" ref="K47" si="22">IF((SUM(F47:G47)-SUM(H47:J47))=0,"NO",(SUM(F47:G47)-SUM(H47:J47)))</f>
        <v>1481217.2294013901</v>
      </c>
      <c r="L47" s="2577">
        <f t="shared" ref="L47" si="23">IF(K47="NO","NA",1)</f>
        <v>1</v>
      </c>
      <c r="M47" s="55" t="s">
        <v>1814</v>
      </c>
      <c r="N47" s="3369">
        <f t="shared" ref="N47" si="24">K47</f>
        <v>1481217.2294013901</v>
      </c>
      <c r="O47" s="3342">
        <v>13.9682918484487</v>
      </c>
      <c r="P47" s="3369">
        <f t="shared" ref="P47" si="25">IFERROR(N47*O47/1000,"NA")</f>
        <v>20690.074551229205</v>
      </c>
      <c r="Q47" s="3369">
        <f>'Table1.A(d)'!G47</f>
        <v>766.43139227834502</v>
      </c>
      <c r="R47" s="3369">
        <f t="shared" ref="R47" si="26">IF(SUM(P47,-SUM(Q47))=0,"NO",SUM(P47,-SUM(Q47)))</f>
        <v>19923.643158950861</v>
      </c>
      <c r="S47" s="2577">
        <f t="shared" ref="S47" si="27">IF(R47="NO","NA",1)</f>
        <v>1</v>
      </c>
      <c r="T47" s="3375">
        <f t="shared" ref="T47" si="28">IF(R47="NO","NO",R47*S47*44/12)</f>
        <v>73053.358249486497</v>
      </c>
    </row>
    <row r="48" spans="2:20" ht="18" customHeight="1" x14ac:dyDescent="0.2">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25">
      <c r="B50" s="68" t="s">
        <v>273</v>
      </c>
      <c r="C50" s="79"/>
      <c r="D50" s="80"/>
      <c r="E50" s="2353"/>
      <c r="F50" s="3389"/>
      <c r="G50" s="3389"/>
      <c r="H50" s="3389"/>
      <c r="I50" s="3385"/>
      <c r="J50" s="3389"/>
      <c r="K50" s="3389"/>
      <c r="L50" s="2354"/>
      <c r="M50" s="2355"/>
      <c r="N50" s="3371">
        <f>SUM(N47:N48)</f>
        <v>1481217.2294013901</v>
      </c>
      <c r="O50" s="3366"/>
      <c r="P50" s="3371">
        <f>SUM(P47:P48)</f>
        <v>20690.074551229205</v>
      </c>
      <c r="Q50" s="3371">
        <f>SUM(Q47:Q48)</f>
        <v>766.43139227834502</v>
      </c>
      <c r="R50" s="3371">
        <f>SUM(R47:R48)</f>
        <v>19923.643158950861</v>
      </c>
      <c r="S50" s="2354"/>
      <c r="T50" s="3377">
        <f>SUM(T47:T48)</f>
        <v>73053.358249486497</v>
      </c>
    </row>
    <row r="51" spans="2:20" ht="18" customHeight="1" x14ac:dyDescent="0.2">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
      <c r="B52" s="50" t="s">
        <v>275</v>
      </c>
      <c r="C52" s="39"/>
      <c r="D52" s="38"/>
      <c r="E52" s="2575" t="s">
        <v>2150</v>
      </c>
      <c r="F52" s="3390" t="s">
        <v>2153</v>
      </c>
      <c r="G52" s="3390" t="s">
        <v>2153</v>
      </c>
      <c r="H52" s="3390" t="s">
        <v>2153</v>
      </c>
      <c r="I52" s="3361" t="s">
        <v>2146</v>
      </c>
      <c r="J52" s="3390">
        <v>-270.3</v>
      </c>
      <c r="K52" s="3369">
        <f t="shared" ref="K52:K53" si="29">IF((SUM(F52:G52)-SUM(H52:J52))=0,"NO",(SUM(F52:G52)-SUM(H52:J52)))</f>
        <v>270.3</v>
      </c>
      <c r="L52" s="2577">
        <f t="shared" ref="L52:L53" si="30">IF(K52="NO","NA",1)</f>
        <v>1</v>
      </c>
      <c r="M52" s="55" t="s">
        <v>1814</v>
      </c>
      <c r="N52" s="3369">
        <f t="shared" ref="N52:N53" si="31">K52</f>
        <v>270.3</v>
      </c>
      <c r="O52" s="3342">
        <v>0.14598786588495191</v>
      </c>
      <c r="P52" s="3369">
        <f t="shared" ref="P52:P53" si="32">IFERROR(N52*O52/1000,"NA")</f>
        <v>3.9460520148702501E-2</v>
      </c>
      <c r="Q52" s="3374" t="str">
        <f>'Table1.A(d)'!G52</f>
        <v>NA</v>
      </c>
      <c r="R52" s="3369">
        <f t="shared" ref="R52:R53" si="33">IF(SUM(P52,-SUM(Q52))=0,"NO",SUM(P52,-SUM(Q52)))</f>
        <v>3.9460520148702501E-2</v>
      </c>
      <c r="S52" s="2577">
        <f t="shared" ref="S52:S53" si="34">IF(R52="NO","NA",1)</f>
        <v>1</v>
      </c>
      <c r="T52" s="3375">
        <f t="shared" ref="T52:T53" si="35">IF(R52="NO","NO",R52*S52*44/12)</f>
        <v>0.14468857387857584</v>
      </c>
    </row>
    <row r="53" spans="2:20" ht="18" customHeight="1" x14ac:dyDescent="0.2">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25">
      <c r="B54" s="1251" t="s">
        <v>277</v>
      </c>
      <c r="C54" s="2343"/>
      <c r="D54" s="2343"/>
      <c r="E54" s="100"/>
      <c r="F54" s="3391"/>
      <c r="G54" s="3391"/>
      <c r="H54" s="3391"/>
      <c r="I54" s="3391"/>
      <c r="J54" s="3391"/>
      <c r="K54" s="3392"/>
      <c r="L54" s="2372"/>
      <c r="M54" s="2373"/>
      <c r="N54" s="3373">
        <f>SUM(N51:N53)</f>
        <v>270.3</v>
      </c>
      <c r="O54" s="3367"/>
      <c r="P54" s="3373">
        <f>SUM(P51:P53)</f>
        <v>3.9460520148702501E-2</v>
      </c>
      <c r="Q54" s="3373">
        <f>SUM(Q51:Q53)</f>
        <v>0</v>
      </c>
      <c r="R54" s="3373">
        <f>SUM(R51:R53)</f>
        <v>3.9460520148702501E-2</v>
      </c>
      <c r="S54" s="2374"/>
      <c r="T54" s="3379">
        <f>SUM(T51:T53)</f>
        <v>0.14468857387857584</v>
      </c>
    </row>
    <row r="55" spans="2:20" ht="18" customHeight="1" thickBot="1" x14ac:dyDescent="0.25">
      <c r="B55" s="2370" t="s">
        <v>278</v>
      </c>
      <c r="C55" s="2371"/>
      <c r="D55" s="2371"/>
      <c r="E55" s="100"/>
      <c r="F55" s="3391"/>
      <c r="G55" s="3391"/>
      <c r="H55" s="3391"/>
      <c r="I55" s="3391"/>
      <c r="J55" s="3391"/>
      <c r="K55" s="3392"/>
      <c r="L55" s="2372"/>
      <c r="M55" s="2373"/>
      <c r="N55" s="3373">
        <f>SUM(N31,N45,N50,N54)</f>
        <v>5456272.3984167511</v>
      </c>
      <c r="O55" s="3367"/>
      <c r="P55" s="3373">
        <f>SUM(P31,P45,P50,P54)</f>
        <v>107564.06806768374</v>
      </c>
      <c r="Q55" s="3373">
        <f>SUM(Q31,Q45,Q50,Q54)</f>
        <v>5820.7885669957623</v>
      </c>
      <c r="R55" s="3373">
        <f>SUM(R31,R45,R50,R54)</f>
        <v>101743.27950068798</v>
      </c>
      <c r="S55" s="2374"/>
      <c r="T55" s="3379">
        <f>SUM(T31,T45,T50,T54)</f>
        <v>373058.69150252274</v>
      </c>
    </row>
    <row r="56" spans="2:20" ht="18" customHeight="1" x14ac:dyDescent="0.2">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25">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7"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135">
        <f>'Table1.A(b)'!N31/1000</f>
        <v>2020.2402385231001</v>
      </c>
      <c r="D10" s="4136">
        <f>C10-'Table1.A(d)'!E31/1000</f>
        <v>1893.8035196421104</v>
      </c>
      <c r="E10" s="4135">
        <f>'Table1.A(b)'!T31</f>
        <v>131048.22987932796</v>
      </c>
      <c r="F10" s="4135">
        <f>'Table1.A(a)s1'!C11/1000</f>
        <v>1971.1163273776556</v>
      </c>
      <c r="G10" s="4135">
        <f>'Table1.A(a)s1'!H11</f>
        <v>134891.33774866944</v>
      </c>
      <c r="H10" s="4135">
        <f>100*((D10-F10)/F10)</f>
        <v>-3.9222853903504036</v>
      </c>
      <c r="I10" s="4137">
        <f>100*((E10-G10)/G10)</f>
        <v>-2.8490397778558489</v>
      </c>
      <c r="L10"/>
    </row>
    <row r="11" spans="2:12" ht="18" customHeight="1" x14ac:dyDescent="0.2">
      <c r="B11" s="50" t="s">
        <v>299</v>
      </c>
      <c r="C11" s="4135">
        <f>'Table1.A(b)'!N45/1000</f>
        <v>1954.5446304922611</v>
      </c>
      <c r="D11" s="4135">
        <f>C11-'Table1.A(d)'!E45/1000</f>
        <v>1865.7284871775325</v>
      </c>
      <c r="E11" s="4135">
        <f>'Table1.A(b)'!T45</f>
        <v>168956.95868513436</v>
      </c>
      <c r="F11" s="4135">
        <f>'Table1.A(a)s1'!C12/1000</f>
        <v>1885.9158075886548</v>
      </c>
      <c r="G11" s="4135">
        <f>'Table1.A(a)s1'!H12</f>
        <v>171166.97173235071</v>
      </c>
      <c r="H11" s="4135">
        <f t="shared" ref="H11:H13" si="0">100*((D11-F11)/F11)</f>
        <v>-1.0704253249212621</v>
      </c>
      <c r="I11" s="4137">
        <f t="shared" ref="I11:I13" si="1">100*((E11-G11)/G11)</f>
        <v>-1.2911445618562924</v>
      </c>
      <c r="L11"/>
    </row>
    <row r="12" spans="2:12" ht="18" customHeight="1" x14ac:dyDescent="0.2">
      <c r="B12" s="50" t="s">
        <v>300</v>
      </c>
      <c r="C12" s="4135">
        <f>'Table1.A(b)'!N50/1000</f>
        <v>1481.2172294013901</v>
      </c>
      <c r="D12" s="4135">
        <f>C12-'Table1.A(d)'!E50/1000</f>
        <v>1426.3478580713902</v>
      </c>
      <c r="E12" s="4135">
        <f>'Table1.A(b)'!T50</f>
        <v>73053.358249486497</v>
      </c>
      <c r="F12" s="4135">
        <f>'Table1.A(a)s1'!C13/1000</f>
        <v>1361.3873935952918</v>
      </c>
      <c r="G12" s="4135">
        <f>'Table1.A(a)s1'!H13</f>
        <v>69721.929144865848</v>
      </c>
      <c r="H12" s="4135">
        <f t="shared" si="0"/>
        <v>4.7716369919177932</v>
      </c>
      <c r="I12" s="4137">
        <f t="shared" si="1"/>
        <v>4.7781654143543832</v>
      </c>
      <c r="L12"/>
    </row>
    <row r="13" spans="2:12" ht="18" customHeight="1" x14ac:dyDescent="0.2">
      <c r="B13" s="50" t="s">
        <v>275</v>
      </c>
      <c r="C13" s="4135">
        <f>'Table1.A(b)'!N54/1000</f>
        <v>0.27029999999999998</v>
      </c>
      <c r="D13" s="4135">
        <f>C13-SUM('Table1.A(d)'!E54)/1000</f>
        <v>0.27029999999999998</v>
      </c>
      <c r="E13" s="4135">
        <f>'Table1.A(b)'!T54</f>
        <v>0.14468857387857584</v>
      </c>
      <c r="F13" s="4135">
        <f>'Table1.A(a)s1'!C14/1000</f>
        <v>3.8546382049813395</v>
      </c>
      <c r="G13" s="4135">
        <f>'Table1.A(a)s1'!H14</f>
        <v>158.99038301823725</v>
      </c>
      <c r="H13" s="4135">
        <f t="shared" si="0"/>
        <v>-92.98766873501404</v>
      </c>
      <c r="I13" s="4137">
        <f t="shared" si="1"/>
        <v>-99.908995392594306</v>
      </c>
      <c r="L13"/>
    </row>
    <row r="14" spans="2:12" ht="18" customHeight="1" x14ac:dyDescent="0.2">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25">
      <c r="B15" s="2297" t="s">
        <v>1514</v>
      </c>
      <c r="C15" s="4138">
        <f>SUM(C10:C14)</f>
        <v>5456.2723984167515</v>
      </c>
      <c r="D15" s="4138">
        <f>SUM(D10:D14)</f>
        <v>5186.1501648910335</v>
      </c>
      <c r="E15" s="4138">
        <f>SUM(E10:E14)</f>
        <v>373058.69150252274</v>
      </c>
      <c r="F15" s="4138">
        <f>SUM(F10:F14)</f>
        <v>5222.2741667665841</v>
      </c>
      <c r="G15" s="4138">
        <f>SUM(G10:G14)</f>
        <v>375939.22900890419</v>
      </c>
      <c r="H15" s="4139">
        <f t="shared" ref="H15" si="2">100*((D15-F15)/F15)</f>
        <v>-0.69172932561518807</v>
      </c>
      <c r="I15" s="4140">
        <f t="shared" ref="I15" si="3">100*((E15-G15)/G15)</f>
        <v>-0.76622424160827096</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74" t="s">
        <v>2178</v>
      </c>
      <c r="C35" s="4475"/>
      <c r="D35" s="4475"/>
      <c r="E35" s="4475"/>
      <c r="F35" s="4475"/>
      <c r="G35" s="4475"/>
      <c r="H35" s="4475"/>
      <c r="I35" s="4476"/>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2.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3.xml><?xml version="1.0" encoding="utf-8"?>
<ds:datastoreItem xmlns:ds="http://schemas.openxmlformats.org/officeDocument/2006/customXml" ds:itemID="{70047BB5-1651-462D-ADCE-2174403489D1}"/>
</file>

<file path=customXml/itemProps4.xml><?xml version="1.0" encoding="utf-8"?>
<ds:datastoreItem xmlns:ds="http://schemas.openxmlformats.org/officeDocument/2006/customXml" ds:itemID="{32A9FEB2-8205-4368-A3A5-444D049B3276}">
  <ds:schemaRefs>
    <ds:schemaRef ds:uri="http://schemas.microsoft.com/sharepoint/events"/>
  </ds:schemaRefs>
</ds:datastoreItem>
</file>

<file path=customXml/itemProps5.xml><?xml version="1.0" encoding="utf-8"?>
<ds:datastoreItem xmlns:ds="http://schemas.openxmlformats.org/officeDocument/2006/customXml" ds:itemID="{D7F9BB66-26BC-4FB5-8B4E-F270C2DFD009}">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2023-04-13T05:49:09Z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