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59ED7F75-AB60-40C9-9CF9-1BC419BE6666}" xr6:coauthVersionLast="47" xr6:coauthVersionMax="47" xr10:uidLastSave="{00000000-0000-0000-0000-000000000000}"/>
  <bookViews>
    <workbookView xWindow="1950" yWindow="1950" windowWidth="11535" windowHeight="6540"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J40" i="34"/>
  <c r="J42" i="34"/>
  <c r="J44" i="34"/>
  <c r="J45" i="34"/>
  <c r="J46" i="34"/>
  <c r="J47" i="34"/>
  <c r="J48" i="34"/>
  <c r="J50" i="34"/>
  <c r="K40" i="34"/>
  <c r="K47" i="34"/>
  <c r="G31" i="34"/>
  <c r="G30" i="34"/>
  <c r="G29" i="34"/>
  <c r="G37" i="34"/>
  <c r="H67" i="34"/>
  <c r="G28" i="34"/>
  <c r="G36" i="34"/>
  <c r="I67" i="34"/>
  <c r="G27" i="34"/>
  <c r="H28" i="34"/>
  <c r="G35" i="34"/>
  <c r="I37" i="34"/>
  <c r="G80" i="34"/>
  <c r="G88" i="34"/>
  <c r="G26" i="34"/>
  <c r="H27" i="34"/>
  <c r="I28" i="34"/>
  <c r="G34" i="34"/>
  <c r="H35" i="34"/>
  <c r="I36" i="34"/>
  <c r="G54" i="34"/>
  <c r="I80" i="34"/>
  <c r="H26" i="34"/>
  <c r="I27" i="34"/>
  <c r="G33" i="34"/>
  <c r="H34" i="34"/>
  <c r="I35" i="34"/>
  <c r="G85" i="34"/>
  <c r="G89" i="34"/>
  <c r="I26" i="34"/>
  <c r="G32" i="34"/>
  <c r="H33" i="34"/>
  <c r="I34" i="34"/>
  <c r="G135" i="34"/>
  <c r="G143" i="34"/>
  <c r="G120" i="34"/>
  <c r="G138" i="34"/>
  <c r="I45" i="59"/>
  <c r="G133" i="34"/>
  <c r="G141" i="34"/>
  <c r="I15" i="59"/>
  <c r="G136" i="34"/>
  <c r="H16" i="59"/>
  <c r="G139" i="34"/>
  <c r="H15" i="59"/>
  <c r="H45" i="59"/>
  <c r="G134" i="34"/>
  <c r="G142" i="34"/>
  <c r="D16" i="57"/>
  <c r="I22" i="59"/>
  <c r="G137" i="34"/>
  <c r="I149" i="34"/>
  <c r="D18" i="57"/>
  <c r="G132" i="34"/>
  <c r="G140" i="34"/>
  <c r="H22" i="59"/>
  <c r="H149" i="34"/>
  <c r="H134" i="34"/>
  <c r="H118" i="34"/>
  <c r="H119" i="34"/>
  <c r="H120" i="34"/>
  <c r="H121" i="34"/>
  <c r="H122" i="34"/>
  <c r="H123" i="34"/>
  <c r="H124" i="34"/>
  <c r="H125" i="34"/>
  <c r="H126" i="34"/>
  <c r="I118" i="34"/>
  <c r="I119" i="34"/>
  <c r="I120" i="34"/>
  <c r="I121" i="34"/>
  <c r="I122" i="34"/>
  <c r="I123" i="34"/>
  <c r="I124" i="34"/>
  <c r="I125" i="34"/>
  <c r="I126" i="34"/>
  <c r="I127" i="34"/>
  <c r="I128" i="34"/>
  <c r="I129" i="34"/>
  <c r="D29" i="25"/>
  <c r="F29" i="25"/>
  <c r="G29" i="25"/>
  <c r="H29" i="25"/>
  <c r="I29" i="25"/>
  <c r="K29" i="25"/>
  <c r="M29" i="25"/>
  <c r="O29" i="25"/>
  <c r="I94" i="34"/>
  <c r="K106" i="34"/>
  <c r="K107" i="34"/>
  <c r="K108" i="34"/>
  <c r="K109" i="34"/>
  <c r="K110" i="34"/>
  <c r="K111" i="34"/>
  <c r="K112" i="34"/>
  <c r="K113" i="34"/>
  <c r="K114" i="34"/>
  <c r="K115" i="34"/>
  <c r="K116" i="34"/>
  <c r="M106" i="34"/>
  <c r="M107" i="34"/>
  <c r="M108" i="34"/>
  <c r="M109" i="34"/>
  <c r="M110" i="34"/>
  <c r="M111" i="34"/>
  <c r="M112" i="34"/>
  <c r="M113" i="34"/>
  <c r="M114" i="34"/>
  <c r="M115" i="34"/>
  <c r="M116" i="34"/>
  <c r="H80" i="34"/>
  <c r="G65" i="34"/>
  <c r="G66" i="34"/>
  <c r="G67" i="34"/>
  <c r="G68" i="34"/>
  <c r="G69" i="34"/>
  <c r="H54" i="34"/>
  <c r="I54" i="34"/>
  <c r="G63" i="34"/>
  <c r="M51" i="34" l="1"/>
  <c r="L51" i="34"/>
  <c r="K51" i="34"/>
  <c r="J51" i="34"/>
  <c r="I63" i="34"/>
  <c r="I62" i="34"/>
  <c r="I61" i="34"/>
  <c r="I60" i="34"/>
  <c r="I59" i="34"/>
  <c r="I58" i="34"/>
  <c r="I57" i="34"/>
  <c r="I56" i="34"/>
  <c r="I55" i="34"/>
  <c r="I53" i="34"/>
  <c r="I52" i="34"/>
  <c r="H63" i="34"/>
  <c r="H62" i="34"/>
  <c r="H61" i="34"/>
  <c r="H60" i="34"/>
  <c r="H59" i="34"/>
  <c r="H58" i="34"/>
  <c r="H57" i="34"/>
  <c r="H56" i="34"/>
  <c r="H55" i="34"/>
  <c r="H53" i="34"/>
  <c r="H52" i="34"/>
  <c r="I70" i="34"/>
  <c r="L64" i="34"/>
  <c r="K64" i="34"/>
  <c r="H76" i="34"/>
  <c r="H75" i="34"/>
  <c r="H74" i="34"/>
  <c r="H73" i="34"/>
  <c r="H72" i="34"/>
  <c r="G76" i="34"/>
  <c r="G75" i="34"/>
  <c r="G74" i="34"/>
  <c r="G73" i="34"/>
  <c r="G72" i="34"/>
  <c r="G71" i="34"/>
  <c r="G70" i="34"/>
  <c r="M77" i="34"/>
  <c r="L77" i="34"/>
  <c r="K77" i="34"/>
  <c r="J77" i="34"/>
  <c r="H89" i="34"/>
  <c r="H88" i="34"/>
  <c r="H87" i="34"/>
  <c r="H86" i="34"/>
  <c r="H85" i="34"/>
  <c r="H84" i="34"/>
  <c r="H83" i="34"/>
  <c r="H82" i="34"/>
  <c r="H81"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I103" i="34"/>
  <c r="I102" i="34"/>
  <c r="I101" i="34"/>
  <c r="I100" i="34"/>
  <c r="I99" i="34"/>
  <c r="I98" i="34"/>
  <c r="I97" i="34"/>
  <c r="I96" i="34"/>
  <c r="I95" i="34"/>
  <c r="I93" i="34"/>
  <c r="I92" i="34"/>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9" i="34"/>
  <c r="H128" i="34"/>
  <c r="H127" i="34"/>
  <c r="K131" i="34"/>
  <c r="K130" i="34" s="1"/>
  <c r="U30" i="25"/>
  <c r="T30" i="25"/>
  <c r="R30" i="25"/>
  <c r="O30" i="25"/>
  <c r="M30" i="25"/>
  <c r="K30" i="25"/>
  <c r="I30" i="25"/>
  <c r="H30" i="25"/>
  <c r="G30" i="25"/>
  <c r="F30" i="25"/>
  <c r="D30" i="25"/>
  <c r="J131" i="34"/>
  <c r="J130" i="34" s="1"/>
  <c r="C30" i="25"/>
  <c r="F49" i="22" s="1"/>
  <c r="H143" i="34"/>
  <c r="H142" i="34"/>
  <c r="H141" i="34"/>
  <c r="H140" i="34"/>
  <c r="H139" i="34"/>
  <c r="H138" i="34"/>
  <c r="H137" i="34"/>
  <c r="H136" i="34"/>
  <c r="H135" i="34"/>
  <c r="H133" i="34"/>
  <c r="H132" i="34"/>
  <c r="M146" i="34"/>
  <c r="I158"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8" i="34"/>
  <c r="H157" i="34"/>
  <c r="H156" i="34"/>
  <c r="H155" i="34"/>
  <c r="H154" i="34"/>
  <c r="H153" i="34"/>
  <c r="H152" i="34"/>
  <c r="H151" i="34"/>
  <c r="H150" i="34"/>
  <c r="H148" i="34"/>
  <c r="H147" i="34"/>
  <c r="D23" i="57"/>
  <c r="D21" i="57" s="1"/>
  <c r="H21" i="57"/>
  <c r="H20" i="57" s="1"/>
  <c r="Q11" i="50"/>
  <c r="K12" i="50"/>
  <c r="I23" i="57"/>
  <c r="G21" i="57"/>
  <c r="E23" i="57"/>
  <c r="K38" i="59"/>
  <c r="H39" i="59"/>
  <c r="S13" i="51"/>
  <c r="S11" i="51" s="1"/>
  <c r="Q11" i="51"/>
  <c r="K13" i="51"/>
  <c r="L38" i="59"/>
  <c r="I39" i="59"/>
  <c r="K20" i="59"/>
  <c r="H21" i="59"/>
  <c r="I150" i="34"/>
  <c r="D112" i="34"/>
  <c r="G112" i="34" s="1"/>
  <c r="G99" i="34"/>
  <c r="K17" i="59"/>
  <c r="H17" i="59" s="1"/>
  <c r="H18" i="59"/>
  <c r="U14" i="49"/>
  <c r="U11" i="49" s="1"/>
  <c r="Q11" i="49"/>
  <c r="Q10" i="49" s="1"/>
  <c r="J14" i="49"/>
  <c r="L23" i="59"/>
  <c r="I23" i="59" s="1"/>
  <c r="I24" i="59"/>
  <c r="I157" i="34"/>
  <c r="D111" i="34"/>
  <c r="G111" i="34" s="1"/>
  <c r="G98" i="34"/>
  <c r="K13" i="59"/>
  <c r="H14" i="59"/>
  <c r="I15" i="57"/>
  <c r="G13" i="57"/>
  <c r="E15" i="57"/>
  <c r="I156" i="34"/>
  <c r="I148" i="34"/>
  <c r="G127" i="34"/>
  <c r="G125" i="34"/>
  <c r="G123" i="34"/>
  <c r="G121" i="34"/>
  <c r="G119" i="34"/>
  <c r="G97" i="34"/>
  <c r="D110" i="34"/>
  <c r="G110" i="34" s="1"/>
  <c r="L20" i="59"/>
  <c r="I21" i="59"/>
  <c r="I155" i="34"/>
  <c r="I147" i="34"/>
  <c r="M117" i="34"/>
  <c r="D109" i="34"/>
  <c r="G109" i="34" s="1"/>
  <c r="G96" i="34"/>
  <c r="L43" i="59"/>
  <c r="I44" i="59"/>
  <c r="L13" i="59"/>
  <c r="I14" i="59"/>
  <c r="L17" i="59"/>
  <c r="I17" i="59" s="1"/>
  <c r="I18" i="59"/>
  <c r="G11" i="57"/>
  <c r="I12" i="57"/>
  <c r="I154" i="34"/>
  <c r="G129" i="34"/>
  <c r="L117" i="34"/>
  <c r="G103" i="34"/>
  <c r="D116" i="34"/>
  <c r="G116" i="34" s="1"/>
  <c r="G95" i="34"/>
  <c r="D108" i="34"/>
  <c r="G108" i="34" s="1"/>
  <c r="I32" i="57"/>
  <c r="G30" i="57"/>
  <c r="E32" i="57"/>
  <c r="H13" i="57"/>
  <c r="D15" i="57"/>
  <c r="D13" i="57" s="1"/>
  <c r="F13" i="57" s="1"/>
  <c r="I153" i="34"/>
  <c r="K117" i="34"/>
  <c r="G102" i="34"/>
  <c r="D115" i="34"/>
  <c r="G115" i="34" s="1"/>
  <c r="G94" i="34"/>
  <c r="D107" i="34"/>
  <c r="G107" i="34" s="1"/>
  <c r="D12" i="57"/>
  <c r="D11" i="57" s="1"/>
  <c r="H11" i="57"/>
  <c r="K23" i="59"/>
  <c r="H23" i="59" s="1"/>
  <c r="H24" i="59"/>
  <c r="I152" i="34"/>
  <c r="M131" i="34"/>
  <c r="M130" i="34" s="1"/>
  <c r="G126" i="34"/>
  <c r="G124" i="34"/>
  <c r="G122" i="34"/>
  <c r="G118" i="34"/>
  <c r="G101" i="34"/>
  <c r="D114" i="34"/>
  <c r="G114" i="34" s="1"/>
  <c r="D106" i="34"/>
  <c r="G106" i="34" s="1"/>
  <c r="G93" i="34"/>
  <c r="I16" i="57"/>
  <c r="E16" i="57"/>
  <c r="I18" i="57"/>
  <c r="E18" i="57"/>
  <c r="I151" i="34"/>
  <c r="G128" i="34"/>
  <c r="G100" i="34"/>
  <c r="D113" i="34"/>
  <c r="G113" i="34" s="1"/>
  <c r="D105" i="34"/>
  <c r="G105" i="34" s="1"/>
  <c r="G92" i="34"/>
  <c r="I89" i="34"/>
  <c r="I85" i="34"/>
  <c r="I81" i="34"/>
  <c r="I68" i="34"/>
  <c r="I66" i="34"/>
  <c r="G81" i="34"/>
  <c r="I76" i="34"/>
  <c r="H70" i="34"/>
  <c r="H68" i="34"/>
  <c r="H66" i="34"/>
  <c r="G55" i="34"/>
  <c r="I88" i="34"/>
  <c r="I84" i="34"/>
  <c r="I75" i="34"/>
  <c r="M64" i="34"/>
  <c r="G62" i="34"/>
  <c r="G84" i="34"/>
  <c r="I74" i="34"/>
  <c r="J64" i="34"/>
  <c r="G61" i="34"/>
  <c r="G53" i="34"/>
  <c r="H36" i="34"/>
  <c r="I29" i="34"/>
  <c r="I73" i="34"/>
  <c r="I69" i="34"/>
  <c r="I65" i="34"/>
  <c r="H37" i="34"/>
  <c r="I30" i="34"/>
  <c r="H29" i="34"/>
  <c r="M25" i="34"/>
  <c r="G87" i="34"/>
  <c r="G83" i="34"/>
  <c r="G79" i="34"/>
  <c r="I72" i="34"/>
  <c r="H69" i="34"/>
  <c r="H65" i="34"/>
  <c r="G59" i="34"/>
  <c r="I31" i="34"/>
  <c r="H30" i="34"/>
  <c r="L25" i="34"/>
  <c r="I71" i="34"/>
  <c r="I32" i="34"/>
  <c r="H31" i="34"/>
  <c r="K25" i="34"/>
  <c r="H71" i="34"/>
  <c r="I33" i="34"/>
  <c r="H32" i="34"/>
  <c r="J25" i="34"/>
  <c r="I83" i="34"/>
  <c r="G60" i="34"/>
  <c r="I82" i="34"/>
  <c r="G58" i="34"/>
  <c r="G82" i="34"/>
  <c r="G57" i="34"/>
  <c r="I79" i="34"/>
  <c r="G56" i="34"/>
  <c r="I87" i="34"/>
  <c r="G78" i="34"/>
  <c r="I86" i="34"/>
  <c r="I78" i="34"/>
  <c r="G86" i="34"/>
  <c r="G52" i="34"/>
  <c r="J49" i="34"/>
  <c r="T27" i="25"/>
  <c r="T26" i="25" s="1"/>
  <c r="J43" i="34"/>
  <c r="H27" i="25"/>
  <c r="H26" i="25" s="1"/>
  <c r="J41" i="34"/>
  <c r="F27" i="25"/>
  <c r="F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R27" i="25"/>
  <c r="R26" i="25" s="1"/>
  <c r="G27" i="25"/>
  <c r="G26" i="25" s="1"/>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M27" i="25"/>
  <c r="M26" i="25" s="1"/>
  <c r="K27" i="25"/>
  <c r="K26" i="25" s="1"/>
  <c r="K39" i="34"/>
  <c r="K12" i="34"/>
  <c r="M39" i="34"/>
  <c r="M38" i="34" s="1"/>
  <c r="M12" i="34"/>
  <c r="M11" i="34" s="1"/>
  <c r="M10" i="34" s="1"/>
  <c r="U27" i="25"/>
  <c r="U26" i="25" s="1"/>
  <c r="I27" i="25"/>
  <c r="I26" i="25" s="1"/>
  <c r="O27" i="25"/>
  <c r="O26" i="25" s="1"/>
  <c r="D27" i="25"/>
  <c r="D26" i="25"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D43" i="25"/>
  <c r="D39" i="25" s="1"/>
  <c r="D10" i="25"/>
  <c r="O43" i="25"/>
  <c r="O39" i="25" s="1"/>
  <c r="O10" i="25"/>
  <c r="I43" i="25"/>
  <c r="I39" i="25" s="1"/>
  <c r="I10" i="25"/>
  <c r="U43" i="25"/>
  <c r="U39" i="25" s="1"/>
  <c r="U10" i="25"/>
  <c r="K38" i="34"/>
  <c r="K11" i="34" s="1"/>
  <c r="K10" i="34" s="1"/>
  <c r="C27" i="25"/>
  <c r="K10" i="25"/>
  <c r="K43" i="25"/>
  <c r="K39" i="25" s="1"/>
  <c r="M43" i="25"/>
  <c r="M39" i="25" s="1"/>
  <c r="M10" i="25"/>
  <c r="G43" i="25"/>
  <c r="G39" i="25" s="1"/>
  <c r="G10" i="25"/>
  <c r="R43" i="25"/>
  <c r="R39" i="25" s="1"/>
  <c r="R10" i="25"/>
  <c r="F43" i="25"/>
  <c r="F39" i="25" s="1"/>
  <c r="F10" i="25"/>
  <c r="H43" i="25"/>
  <c r="H39" i="25" s="1"/>
  <c r="H10" i="25"/>
  <c r="T43" i="25"/>
  <c r="T39" i="25" s="1"/>
  <c r="T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C17" i="47" s="1"/>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F25" i="73"/>
  <c r="F20" i="57"/>
  <c r="I20" i="57"/>
  <c r="E20" i="57"/>
  <c r="D18" i="47"/>
  <c r="H37" i="59"/>
  <c r="C45" i="109"/>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I18" i="47"/>
  <c r="E17" i="47"/>
  <c r="E45" i="109" s="1"/>
  <c r="E45" i="65" s="1"/>
  <c r="P44" i="70" s="1"/>
  <c r="Q44" i="70" s="1"/>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65"/>
  <c r="D17" i="47"/>
  <c r="K66" i="65"/>
  <c r="D65" i="70"/>
  <c r="E65" i="70" s="1"/>
  <c r="D13" i="124"/>
  <c r="D11" i="124" s="1"/>
  <c r="D10" i="124" s="1"/>
  <c r="F11" i="124"/>
  <c r="F10" i="124" s="1"/>
  <c r="D11" i="1"/>
  <c r="J12" i="1"/>
  <c r="E11" i="126"/>
  <c r="C10" i="126"/>
  <c r="E10" i="126" s="1"/>
  <c r="J11" i="1" l="1"/>
  <c r="D52" i="109"/>
  <c r="F65" i="70"/>
  <c r="D45" i="109"/>
  <c r="I17" i="47"/>
  <c r="D44" i="70"/>
  <c r="E44" i="70" s="1"/>
  <c r="C43" i="65"/>
  <c r="D43" i="109"/>
  <c r="R42" i="70"/>
  <c r="F21" i="73"/>
  <c r="F28" i="109"/>
  <c r="O45" i="22"/>
  <c r="D49" i="70"/>
  <c r="E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F49" i="70"/>
  <c r="H49" i="70"/>
  <c r="O28" i="109"/>
  <c r="F28" i="65"/>
  <c r="K28" i="65" s="1"/>
  <c r="D43" i="65"/>
  <c r="J42" i="70" s="1"/>
  <c r="K42" i="70" s="1"/>
  <c r="O43" i="109"/>
  <c r="D42" i="70"/>
  <c r="E42" i="70" s="1"/>
  <c r="K43" i="65"/>
  <c r="F44" i="70"/>
  <c r="D45" i="65"/>
  <c r="O45" i="109"/>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J44" i="70"/>
  <c r="K44" i="70" s="1"/>
  <c r="K45" i="65"/>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F13" i="33"/>
  <c r="L22" i="132"/>
  <c r="E33" i="132"/>
  <c r="H39" i="132" l="1"/>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44" i="70"/>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Y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H11" i="73"/>
  <c r="G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I34" i="73" l="1"/>
  <c r="J34" i="73" s="1"/>
  <c r="G35" i="73"/>
  <c r="H45" i="70"/>
  <c r="H22" i="73"/>
  <c r="H23" i="73"/>
  <c r="H24" i="73"/>
  <c r="H25" i="73"/>
  <c r="T49" i="70"/>
  <c r="H46" i="70"/>
  <c r="H65" i="70"/>
  <c r="T42" i="70"/>
  <c r="H21" i="73"/>
  <c r="T45" i="70"/>
  <c r="T44" i="70"/>
  <c r="T43" i="70"/>
  <c r="H44" i="70"/>
  <c r="H42" i="70"/>
  <c r="N42" i="70"/>
  <c r="N43" i="70"/>
  <c r="T54" i="70"/>
  <c r="H48" i="70"/>
  <c r="N44"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I35" i="73" l="1"/>
  <c r="J35" i="73" s="1"/>
  <c r="G22" i="73"/>
  <c r="G23" i="73"/>
  <c r="G24"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<sst xmlns="http://schemas.openxmlformats.org/spreadsheetml/2006/main" count="19180" uniqueCount="2523">
  <si>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</si>
  <si>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</si>
  <si>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</si>
  <si>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</si>
  <si>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</si>
  <si>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</si>
  <si>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</si>
  <si>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</si>
  <si>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</si>
  <si>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</si>
  <si>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</si>
  <si>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</si>
  <si>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</si>
  <si>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</si>
  <si>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</si>
  <si>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</si>
  <si>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</si>
  <si>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</si>
  <si>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</si>
  <si>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</si>
  <si>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</si>
  <si>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</si>
  <si>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</si>
  <si>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</si>
  <si>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</si>
  <si>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</si>
  <si>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</si>
  <si>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</si>
  <si>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</si>
  <si>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</si>
  <si>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</si>
  <si>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</si>
  <si>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</si>
  <si>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</si>
  <si>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</si>
  <si>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</si>
  <si>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</si>
  <si>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</si>
  <si>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</si>
  <si>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</si>
  <si>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</si>
  <si>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</si>
  <si>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</si>
  <si>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</si>
  <si>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</si>
  <si>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</si>
  <si>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</si>
  <si>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</si>
  <si>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</si>
  <si>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</si>
  <si>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</si>
  <si>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</si>
  <si>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</si>
  <si>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</si>
  <si>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</si>
  <si>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</si>
  <si>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</si>
  <si>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</si>
  <si>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</si>
  <si>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</si>
  <si>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</si>
  <si>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</si>
  <si>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</si>
  <si>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</si>
  <si>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</si>
  <si>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</si>
  <si>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</si>
  <si>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</si>
  <si>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</si>
  <si>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</si>
  <si>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</si>
  <si>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</si>
  <si>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</si>
  <si>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</si>
  <si>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</si>
  <si>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</si>
  <si>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</si>
  <si>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</si>
  <si>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</si>
  <si>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</si>
  <si>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</si>
  <si>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</si>
  <si>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</si>
  <si>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</si>
  <si>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</si>
  <si>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</si>
  <si>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</si>
  <si>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</si>
  <si>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</si>
  <si>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</si>
  <si>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</si>
  <si>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</si>
  <si>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</si>
  <si>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</si>
  <si>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</si>
  <si>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</si>
  <si>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</si>
  <si>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</si>
  <si>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</si>
  <si>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</si>
  <si>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</si>
  <si>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</si>
  <si>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</si>
  <si>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</si>
  <si>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</si>
  <si>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</si>
  <si>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</si>
  <si>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</si>
  <si>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</si>
  <si>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</si>
  <si>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</si>
  <si>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</si>
  <si>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</si>
  <si>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</si>
  <si>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</si>
  <si>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</si>
  <si>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</si>
  <si>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</si>
  <si>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</si>
  <si>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</si>
  <si>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</si>
  <si>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</si>
  <si>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</si>
  <si>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</si>
  <si>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</si>
  <si>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</si>
  <si>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</si>
  <si>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</si>
  <si>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</si>
  <si>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</si>
  <si>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</si>
  <si>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</si>
  <si>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</si>
  <si>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</si>
  <si>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</si>
  <si>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</si>
  <si>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</si>
  <si>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</si>
  <si>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</si>
  <si>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</si>
  <si>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</si>
  <si>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</si>
  <si>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</si>
  <si>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</si>
  <si>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</si>
  <si>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</si>
  <si>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</si>
  <si>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</si>
  <si>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</si>
  <si>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</si>
  <si>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</si>
  <si>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</si>
  <si>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</si>
  <si>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</si>
  <si>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</si>
  <si>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</si>
  <si>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</si>
  <si>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</si>
  <si>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</si>
  <si>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</si>
  <si>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</si>
  <si>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</si>
  <si>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</si>
  <si>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</si>
  <si>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</si>
  <si>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</si>
  <si>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</si>
  <si>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</si>
  <si>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</si>
  <si>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</si>
  <si>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</si>
  <si>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</si>
  <si>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</si>
  <si>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</si>
  <si>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</si>
  <si>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</si>
  <si>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</si>
  <si>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</si>
  <si>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</si>
  <si>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</si>
  <si>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</si>
  <si>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</si>
  <si>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</si>
  <si>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</si>
  <si>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</si>
  <si>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</si>
  <si>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</si>
  <si>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</si>
  <si>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</si>
  <si>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</si>
  <si>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</si>
  <si>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</si>
  <si>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</si>
  <si>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</si>
  <si>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</si>
  <si>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</si>
  <si>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</si>
  <si>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</si>
  <si>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</si>
  <si>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</si>
  <si>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</si>
  <si>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</si>
  <si>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</si>
  <si>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</si>
  <si>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</si>
  <si>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</si>
  <si>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</si>
  <si>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</si>
  <si>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</si>
  <si>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</si>
  <si>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</si>
  <si>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</si>
  <si>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</si>
  <si>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</si>
  <si>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</si>
  <si>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</si>
  <si>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</si>
  <si>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</si>
  <si>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</si>
  <si>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</si>
  <si>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</si>
  <si>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</si>
  <si>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</si>
  <si>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</si>
  <si>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</si>
  <si>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</si>
  <si>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</si>
  <si>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</si>
  <si>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</si>
  <si>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</si>
  <si>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</si>
  <si>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</si>
  <si>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</si>
  <si>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</si>
  <si>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</si>
  <si>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</si>
  <si>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</si>
  <si>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</si>
  <si>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</si>
  <si>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</si>
  <si>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</si>
  <si>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</si>
  <si>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</si>
  <si>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</si>
  <si>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</si>
  <si>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</si>
  <si>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</si>
  <si>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</si>
  <si>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</si>
  <si>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</si>
  <si>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</si>
  <si>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</si>
  <si>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</si>
  <si>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</si>
  <si>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</si>
  <si>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</si>
  <si>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</si>
  <si>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</si>
  <si>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</si>
  <si>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</si>
  <si>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</si>
  <si>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</si>
  <si>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</si>
  <si>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</si>
  <si>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</si>
  <si>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</si>
  <si>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</si>
  <si>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</si>
  <si>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</si>
  <si>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</si>
  <si>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</si>
  <si>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</si>
  <si>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</si>
  <si>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</si>
  <si>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</si>
  <si>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</si>
  <si>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</si>
  <si>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</si>
  <si>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</si>
  <si>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</si>
  <si>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</si>
  <si>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</si>
  <si>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</si>
  <si>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</si>
  <si>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</si>
  <si>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</si>
  <si>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</si>
  <si>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</si>
  <si>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</si>
  <si>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</si>
  <si>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</si>
  <si>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</si>
  <si>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</si>
  <si>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</si>
  <si>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</si>
  <si>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</si>
  <si>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</si>
  <si>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</si>
  <si>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</si>
  <si>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</si>
  <si>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</si>
  <si>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</si>
  <si>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</si>
  <si>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</si>
  <si>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</si>
  <si>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</si>
  <si>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</si>
  <si>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</si>
  <si>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</si>
  <si>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</si>
  <si>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</si>
  <si>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</si>
  <si>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</si>
  <si>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</si>
  <si>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</si>
  <si>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</si>
  <si>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</si>
  <si>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</si>
  <si>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</si>
  <si>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</si>
  <si>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</si>
  <si>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</si>
  <si>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</si>
  <si>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</si>
  <si>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</si>
  <si>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</si>
  <si>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</si>
  <si>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</si>
  <si>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</si>
  <si>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</si>
  <si>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</si>
  <si>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</si>
  <si>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</si>
  <si>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</si>
  <si>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</si>
  <si>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</si>
  <si>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</si>
  <si>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</si>
  <si>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</si>
  <si>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</si>
  <si>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</si>
  <si>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</si>
  <si>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</si>
  <si>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</si>
  <si>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</si>
  <si>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</si>
  <si>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</si>
  <si>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</si>
  <si>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</si>
  <si>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</si>
  <si>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</si>
  <si>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</si>
  <si>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</si>
  <si>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</si>
  <si>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</si>
  <si>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</si>
  <si>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</si>
  <si>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</si>
  <si>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</si>
  <si>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</si>
  <si>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</si>
  <si>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</si>
  <si>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</si>
  <si>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</si>
  <si>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</si>
  <si>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</si>
  <si>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</si>
  <si>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</si>
  <si>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</si>
  <si>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</si>
  <si>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</si>
  <si>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</si>
  <si>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</si>
  <si>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</si>
  <si>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</si>
  <si>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</si>
  <si>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</si>
  <si>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</si>
  <si>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</si>
  <si>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</si>
  <si>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</si>
  <si>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</si>
  <si>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</si>
  <si>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</si>
  <si>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</si>
  <si>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</si>
  <si>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</si>
  <si>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</si>
  <si>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</si>
  <si>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</si>
  <si>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</si>
  <si>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</si>
  <si>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</si>
  <si>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</si>
  <si>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</si>
  <si>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</si>
  <si>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</si>
  <si>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</si>
  <si>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</si>
  <si>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</si>
  <si>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</si>
  <si>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</si>
  <si>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</si>
  <si>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</si>
  <si>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</si>
  <si>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</si>
  <si>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</si>
  <si>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</si>
  <si>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</si>
  <si>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</si>
  <si>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</si>
  <si>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</si>
  <si>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</si>
  <si>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</si>
  <si>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</si>
  <si>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</si>
  <si>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</si>
  <si>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</si>
  <si>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</si>
  <si>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</si>
  <si>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</si>
  <si>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</si>
  <si>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</si>
  <si>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</si>
  <si>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</si>
  <si>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</si>
  <si>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</si>
  <si>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</si>
  <si>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</si>
  <si>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</si>
  <si>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</si>
  <si>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</si>
  <si>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</si>
  <si>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</si>
  <si>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</si>
  <si>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</si>
  <si>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</si>
  <si>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</si>
  <si>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</si>
  <si>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</si>
  <si>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</si>
  <si>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</si>
  <si>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</si>
  <si>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</si>
  <si>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</si>
  <si>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</si>
  <si>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</si>
  <si>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</si>
  <si>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</si>
  <si>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</si>
  <si>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</si>
  <si>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</si>
  <si>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</si>
  <si>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</si>
  <si>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</si>
  <si>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</si>
  <si>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</si>
  <si>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</si>
  <si>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</si>
  <si>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</si>
  <si>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</si>
  <si>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</si>
  <si>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</si>
  <si>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</si>
  <si>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</si>
  <si>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</si>
  <si>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</si>
  <si>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</si>
  <si>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</si>
  <si>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</si>
  <si>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</si>
  <si>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</si>
  <si>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</si>
  <si>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</si>
  <si>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</si>
  <si>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</si>
  <si>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</si>
  <si>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</si>
  <si>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</si>
  <si>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</si>
  <si>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</si>
  <si>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</si>
  <si>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</si>
  <si>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</si>
  <si>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</si>
  <si>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</si>
  <si>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</si>
  <si>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</si>
  <si>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</si>
  <si>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</si>
  <si>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</si>
  <si>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</si>
  <si>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</si>
  <si>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</si>
  <si>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</si>
  <si>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</si>
  <si>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</si>
  <si>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</si>
  <si>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</si>
  <si>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</si>
  <si>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</si>
  <si>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</si>
  <si>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</si>
  <si>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</si>
  <si>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</si>
  <si>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</si>
  <si>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</si>
  <si>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</si>
  <si>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</si>
  <si>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</si>
  <si>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</si>
  <si>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</si>
  <si>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</si>
  <si>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</si>
  <si>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</si>
  <si>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</si>
  <si>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</si>
  <si>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</si>
  <si>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</si>
  <si>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</si>
  <si>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</si>
  <si>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</si>
  <si>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</si>
  <si>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</si>
  <si>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</si>
  <si>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</si>
  <si>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</si>
  <si>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</si>
  <si>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</si>
  <si>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</si>
  <si>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</si>
  <si>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</si>
  <si>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</si>
  <si>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</si>
  <si>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</si>
  <si>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</si>
  <si>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</si>
  <si>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</si>
  <si>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</si>
  <si>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</si>
  <si>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</si>
  <si>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</si>
  <si>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</si>
  <si>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</si>
  <si>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</si>
  <si>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</si>
  <si>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</si>
  <si>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</si>
  <si>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</si>
  <si>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</si>
  <si>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</si>
  <si>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</si>
  <si>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</si>
  <si>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</si>
  <si>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</si>
  <si>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</si>
  <si>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</si>
  <si>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</si>
  <si>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</si>
  <si>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</si>
  <si>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</si>
  <si>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</si>
  <si>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</si>
  <si>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</si>
  <si>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</si>
  <si>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</si>
  <si>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</si>
  <si>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</si>
  <si>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</si>
  <si>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</si>
  <si>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</si>
  <si>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</si>
  <si>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</si>
  <si>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</si>
  <si>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</si>
  <si>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</si>
  <si>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</si>
  <si>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</si>
  <si>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</si>
  <si>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</si>
  <si>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</si>
  <si>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</si>
  <si>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</si>
  <si>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</si>
  <si>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</si>
  <si>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</si>
  <si>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</si>
  <si>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</si>
  <si>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</si>
  <si>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</si>
  <si>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</si>
  <si>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</si>
  <si>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</si>
  <si>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</si>
  <si>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</si>
  <si>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</si>
  <si>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</si>
  <si>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</si>
  <si>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</si>
  <si>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</si>
  <si>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</si>
  <si>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</si>
  <si>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</si>
  <si>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</si>
  <si>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</si>
  <si>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</si>
  <si>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</si>
  <si>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</si>
  <si>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</si>
  <si>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</si>
  <si>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</si>
  <si>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</si>
  <si>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</si>
  <si>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</si>
  <si>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</si>
  <si>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</si>
  <si>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</si>
  <si>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</si>
  <si>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</si>
  <si>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</si>
  <si>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</si>
  <si>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</si>
  <si>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</si>
  <si>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</si>
  <si>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</si>
  <si>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</si>
  <si>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</si>
  <si>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</si>
  <si>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</si>
  <si>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</si>
  <si>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</si>
  <si>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</si>
  <si>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</si>
  <si>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</si>
  <si>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</si>
  <si>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</si>
  <si>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</si>
  <si>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</si>
  <si>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</si>
  <si>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</si>
  <si>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</si>
  <si>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</si>
  <si>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</si>
  <si>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</si>
  <si>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</si>
  <si>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</si>
  <si>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</si>
  <si>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</si>
  <si>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</si>
  <si>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</si>
  <si>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</si>
  <si>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</si>
  <si>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</si>
  <si>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</si>
  <si>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</si>
  <si>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</si>
  <si>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</si>
  <si>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</si>
  <si>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</si>
  <si>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</si>
  <si>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</si>
  <si>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</si>
  <si>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</si>
  <si>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</si>
  <si>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</si>
  <si>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</si>
  <si>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</si>
  <si>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</si>
  <si>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</si>
  <si>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</si>
  <si>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</si>
  <si>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</si>
  <si>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</si>
  <si>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</si>
  <si>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</si>
  <si>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</si>
  <si>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</si>
  <si>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</si>
  <si>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</si>
  <si>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</si>
  <si>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</si>
  <si>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</si>
  <si>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</si>
  <si>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</si>
  <si>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</si>
  <si>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</si>
  <si>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</si>
  <si>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</si>
  <si>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</si>
  <si>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</si>
  <si>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</si>
  <si>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</si>
  <si>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</si>
  <si>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</si>
  <si>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</si>
  <si>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</si>
  <si>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</si>
  <si>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</si>
  <si>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</si>
  <si>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</si>
  <si>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</si>
  <si>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</si>
  <si>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</si>
  <si>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</si>
  <si>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</si>
  <si>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</si>
  <si>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</si>
  <si>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</si>
  <si>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</si>
  <si>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</si>
  <si>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</si>
  <si>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</si>
  <si>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</si>
  <si>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</si>
  <si>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</si>
  <si>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</si>
  <si>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</si>
  <si>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</si>
  <si>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</si>
  <si>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</si>
  <si>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</si>
  <si>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</si>
  <si>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</si>
  <si>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</si>
  <si>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</si>
  <si>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</si>
  <si>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</si>
  <si>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</si>
  <si>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</si>
  <si>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</si>
  <si>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</si>
  <si>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</si>
  <si>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</si>
  <si>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</si>
  <si>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</si>
  <si>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</si>
  <si>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</si>
  <si>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</si>
  <si>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</si>
  <si>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</si>
  <si>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</si>
  <si>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</si>
  <si>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</si>
  <si>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</si>
  <si>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</si>
  <si>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</si>
  <si>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</si>
  <si>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</si>
  <si>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</si>
  <si>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</si>
  <si>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</si>
  <si>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</si>
  <si>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</si>
  <si>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</si>
  <si>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</si>
  <si>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</si>
  <si>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</si>
  <si>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</si>
  <si>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</si>
  <si>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</si>
  <si>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</si>
  <si>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</si>
  <si>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</si>
  <si>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</si>
  <si>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</si>
  <si>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</si>
  <si>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</si>
  <si>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</si>
  <si>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</si>
  <si>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</si>
  <si>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</si>
  <si>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</si>
  <si>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</si>
  <si>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</si>
  <si>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</si>
  <si>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</si>
  <si>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</si>
  <si>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</si>
  <si>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</si>
  <si>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</si>
  <si>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</si>
  <si>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</si>
  <si>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</si>
  <si>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</si>
  <si>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</si>
  <si>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</si>
  <si>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</si>
  <si>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</si>
  <si>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</si>
  <si>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</si>
  <si>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</si>
  <si>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</si>
  <si>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</si>
  <si>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</si>
  <si>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</si>
  <si>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</si>
  <si>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</si>
  <si>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</si>
  <si>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</si>
  <si>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</si>
  <si>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</si>
  <si>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</si>
  <si>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</si>
  <si>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</si>
  <si>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</si>
  <si>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</si>
  <si>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</si>
  <si>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</si>
  <si>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</si>
  <si>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</si>
  <si>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</si>
  <si>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</si>
  <si>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</si>
  <si>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</si>
  <si>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</si>
  <si>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</si>
  <si>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</si>
  <si>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</si>
  <si>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</si>
  <si>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</si>
  <si>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</si>
  <si>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</si>
  <si>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</si>
  <si>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</si>
  <si>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</si>
  <si>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</si>
  <si>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</si>
  <si>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</si>
  <si>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</si>
  <si>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</si>
  <si>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</si>
  <si>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</si>
  <si>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</si>
  <si>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</si>
  <si>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</si>
  <si>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</si>
  <si>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</si>
  <si>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</si>
  <si>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</si>
  <si>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</si>
  <si>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</si>
  <si>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</si>
  <si>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</si>
  <si>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</si>
  <si>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</si>
  <si>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</si>
  <si>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</si>
  <si>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</si>
  <si>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</si>
  <si>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</si>
  <si>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</si>
  <si>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</si>
  <si>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</si>
  <si>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</si>
  <si>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</si>
  <si>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</si>
  <si>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</si>
  <si>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</si>
  <si>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</si>
  <si>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</si>
  <si>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</si>
  <si>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</si>
  <si>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</si>
  <si>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</si>
  <si>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</si>
  <si>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</si>
  <si>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</si>
  <si>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</si>
  <si>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</si>
  <si>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</si>
  <si>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</si>
  <si>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</si>
  <si>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</si>
  <si>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</si>
  <si>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</si>
  <si>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</si>
  <si>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</si>
  <si>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</si>
  <si>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</si>
  <si>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</si>
  <si>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</si>
  <si>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</si>
  <si>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</si>
  <si>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</si>
  <si>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</si>
  <si>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</si>
  <si>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</si>
  <si>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</si>
  <si>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</si>
  <si>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</si>
  <si>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</si>
  <si>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</si>
  <si>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</si>
  <si>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</si>
  <si>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</si>
  <si>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</si>
  <si>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</si>
  <si>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</si>
  <si>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</si>
  <si>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</si>
  <si>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</si>
  <si>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</si>
  <si>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</si>
  <si>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</si>
  <si>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</si>
  <si>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</si>
  <si>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</si>
  <si>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</si>
  <si>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</si>
  <si>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</si>
  <si>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</si>
  <si>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</si>
  <si>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</si>
  <si>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</si>
  <si>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</si>
  <si>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</si>
  <si>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</si>
  <si>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</si>
  <si>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</si>
  <si>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</si>
  <si>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</si>
  <si>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</si>
  <si>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</si>
  <si>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</si>
  <si>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</si>
  <si>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</si>
  <si>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</si>
  <si>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</si>
  <si>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</si>
  <si>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</si>
  <si>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</si>
  <si>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</si>
  <si>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</si>
  <si>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</si>
  <si>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</si>
  <si>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</si>
  <si>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</si>
  <si>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</si>
  <si>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</si>
  <si>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</si>
  <si>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</si>
  <si>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</si>
  <si>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</si>
  <si>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</si>
  <si>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</si>
  <si>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</si>
  <si>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</si>
  <si>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</si>
  <si>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</si>
  <si>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</si>
  <si>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</si>
  <si>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</si>
  <si>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</si>
  <si>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</si>
  <si>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</si>
  <si>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</si>
  <si>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</si>
  <si>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</si>
  <si>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</si>
  <si>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</si>
  <si>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</si>
  <si>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</si>
  <si>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</si>
  <si>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</si>
  <si>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</si>
  <si>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</si>
  <si>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</si>
  <si>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</si>
  <si>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</si>
  <si>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</si>
  <si>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</si>
  <si>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</si>
  <si>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</si>
  <si>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</si>
  <si>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</si>
  <si>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</si>
  <si>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</si>
  <si>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</si>
  <si>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</si>
  <si>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</si>
  <si>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</si>
  <si>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</si>
  <si>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</si>
  <si>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</si>
  <si>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</si>
  <si>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</si>
  <si>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</si>
  <si>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</si>
  <si>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</si>
  <si>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</si>
  <si>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</si>
  <si>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</si>
  <si>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</si>
  <si>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</si>
  <si>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</si>
  <si>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</si>
  <si>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</si>
  <si>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</si>
  <si>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</si>
  <si>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</si>
  <si>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</si>
  <si>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</si>
  <si>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</si>
  <si>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</si>
  <si>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</si>
  <si>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</si>
  <si>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</si>
  <si>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</si>
  <si>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</si>
  <si>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</si>
  <si>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</si>
  <si>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</si>
  <si>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</si>
  <si>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</si>
  <si>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</si>
  <si>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</si>
  <si>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</si>
  <si>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</si>
  <si>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</si>
  <si>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</si>
  <si>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</si>
  <si>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</si>
  <si>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</si>
  <si>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</si>
  <si>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</si>
  <si>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</si>
  <si>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</si>
  <si>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</si>
  <si>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</si>
  <si>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</si>
  <si>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</si>
  <si>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</si>
  <si>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</si>
  <si>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</si>
  <si>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</si>
  <si>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</si>
  <si>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</si>
  <si>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</si>
  <si>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</si>
  <si>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</si>
  <si>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</si>
  <si>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</si>
  <si>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</si>
  <si>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</si>
  <si>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</si>
  <si>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</si>
  <si>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</si>
  <si>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</si>
  <si>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</si>
  <si>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</si>
  <si>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</si>
  <si>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</si>
  <si>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</si>
  <si>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</si>
  <si>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</si>
  <si>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</si>
  <si>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</si>
  <si>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</si>
  <si>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</si>
  <si>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</si>
  <si>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</si>
  <si>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</si>
  <si>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</si>
  <si>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</si>
  <si>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</si>
  <si>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</si>
  <si>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</si>
  <si>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</si>
  <si>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</si>
  <si>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</si>
  <si>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</si>
  <si>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</si>
  <si>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</si>
  <si>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</si>
  <si>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</si>
  <si>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</si>
  <si>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</si>
  <si>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</si>
  <si>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</si>
  <si>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</si>
  <si>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</si>
  <si>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</si>
  <si>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</si>
  <si>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</si>
  <si>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</si>
  <si>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</si>
  <si>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</si>
  <si>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</si>
  <si>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</si>
  <si>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</si>
  <si>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</si>
  <si>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</si>
  <si>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</si>
  <si>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</si>
  <si>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</si>
  <si>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</si>
  <si>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</si>
  <si>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</si>
  <si>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</si>
  <si>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</si>
  <si>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</si>
  <si>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</si>
  <si>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</si>
  <si>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</si>
  <si>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</si>
  <si>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</si>
  <si>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</si>
  <si>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</si>
  <si>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</si>
  <si>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</si>
  <si>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</si>
  <si>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</si>
  <si>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</si>
  <si>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</si>
  <si>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</si>
  <si>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</si>
  <si>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</si>
  <si>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</si>
  <si>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</si>
  <si>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</si>
  <si>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</si>
  <si>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</si>
  <si>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</si>
  <si>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</si>
  <si>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</si>
  <si>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</si>
  <si>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</si>
  <si>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</si>
  <si>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</si>
  <si>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</si>
  <si>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</si>
  <si>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</si>
  <si>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</si>
  <si>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</si>
  <si>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</si>
  <si>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</si>
  <si>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</si>
  <si>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</si>
  <si>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</si>
  <si>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</si>
  <si>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</si>
  <si>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</si>
  <si>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</si>
  <si>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</si>
  <si>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</si>
  <si>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</si>
  <si>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</si>
  <si>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</si>
  <si>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</si>
  <si>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</si>
  <si>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</si>
  <si>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</si>
  <si>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</si>
  <si>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</si>
  <si>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</si>
  <si>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</si>
  <si>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</si>
  <si>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</si>
  <si>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</si>
  <si>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</si>
  <si>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</si>
  <si>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</si>
  <si>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</si>
  <si>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</si>
  <si>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</si>
  <si>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</si>
  <si>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</si>
  <si>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</si>
  <si>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</si>
  <si>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</si>
  <si>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</si>
  <si>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</si>
  <si>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</si>
  <si>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</si>
  <si>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</si>
  <si>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</si>
  <si>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</si>
  <si>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</si>
  <si>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</si>
  <si>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</si>
  <si>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</si>
  <si>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</si>
  <si>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</si>
  <si>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</si>
  <si>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</si>
  <si>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</si>
  <si>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</si>
  <si>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</si>
  <si>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</si>
  <si>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</si>
  <si>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</si>
  <si>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</si>
  <si>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</si>
  <si>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</si>
  <si>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</si>
  <si>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</si>
  <si>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</si>
  <si>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</si>
  <si>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</si>
  <si>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</si>
  <si>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</si>
  <si>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</si>
  <si>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</si>
  <si>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</si>
  <si>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</si>
  <si>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</si>
  <si>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</si>
  <si>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</si>
  <si>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</si>
  <si>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</si>
  <si>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</si>
  <si>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</si>
  <si>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</si>
  <si>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</si>
  <si>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</si>
  <si>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</si>
  <si>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</si>
  <si>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</si>
  <si>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</si>
  <si>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</si>
  <si>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</si>
  <si>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</si>
  <si>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</si>
  <si>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</si>
  <si>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</si>
  <si>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</si>
  <si>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</si>
  <si>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</si>
  <si>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</si>
  <si>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</si>
  <si>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</si>
  <si>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</si>
  <si>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</si>
  <si>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</si>
  <si>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</si>
  <si>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</si>
  <si>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</si>
  <si>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</si>
  <si>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</si>
  <si>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</si>
  <si>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</si>
  <si>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</si>
  <si>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</si>
  <si>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</si>
  <si>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</si>
  <si>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</si>
  <si>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</si>
  <si>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</si>
  <si>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</si>
  <si>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</si>
  <si>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</si>
  <si>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</si>
  <si>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</si>
  <si>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</si>
  <si>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</si>
  <si>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</si>
  <si>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</si>
  <si>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</si>
  <si>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</si>
  <si>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</si>
  <si>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</si>
  <si>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</si>
  <si>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</si>
  <si>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</si>
  <si>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</si>
  <si>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</si>
  <si>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</si>
  <si>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</si>
  <si>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</si>
  <si>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</si>
  <si>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</si>
  <si>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</si>
  <si>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</si>
  <si>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</si>
  <si>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</si>
  <si>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</si>
  <si>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</si>
  <si>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</si>
  <si>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</si>
  <si>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</si>
  <si>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</si>
  <si>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</si>
  <si>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</si>
  <si>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</si>
  <si>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</si>
  <si>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</si>
  <si>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</si>
  <si>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</si>
  <si>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</si>
  <si>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</si>
  <si>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</si>
  <si>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</si>
  <si>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</si>
  <si>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</si>
  <si>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</si>
  <si>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</si>
  <si>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</si>
  <si>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</si>
  <si>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</si>
  <si>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</si>
  <si>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</si>
  <si>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</si>
  <si>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</si>
  <si>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</si>
  <si>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</si>
  <si>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</si>
  <si>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</si>
  <si>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</si>
  <si>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</si>
  <si>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</si>
  <si>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</si>
  <si>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</si>
  <si>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</si>
  <si>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</si>
  <si>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</si>
  <si>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</si>
  <si>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</si>
  <si>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</si>
  <si>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</si>
  <si>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</si>
  <si>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</si>
  <si>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</si>
  <si>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</si>
  <si>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</si>
  <si>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</si>
  <si>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</si>
  <si>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</si>
  <si>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</si>
  <si>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</si>
  <si>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</si>
  <si>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</si>
  <si>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</si>
  <si>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</si>
  <si>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</si>
  <si>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</si>
  <si>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</si>
  <si>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</si>
  <si>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</si>
  <si>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</si>
  <si>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</si>
  <si>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</si>
  <si>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</si>
  <si>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</si>
  <si>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</si>
  <si>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</si>
  <si>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</si>
  <si>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</si>
  <si>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</si>
  <si>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</si>
  <si>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</si>
  <si>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</si>
  <si>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</si>
  <si>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</si>
  <si>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</si>
  <si>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</si>
  <si>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</si>
  <si>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</si>
  <si>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</si>
  <si>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</si>
  <si>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</si>
  <si>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</si>
  <si>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</si>
  <si>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</si>
  <si>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</si>
  <si>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</si>
  <si>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</si>
  <si>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</si>
  <si>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</si>
  <si>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</si>
  <si>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</si>
  <si>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</si>
  <si>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</si>
  <si>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</si>
  <si>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</si>
  <si>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</si>
  <si>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</si>
  <si>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</si>
  <si>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</si>
  <si>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</si>
  <si>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</si>
  <si>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</si>
  <si>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</si>
  <si>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</si>
  <si>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</si>
  <si>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</si>
  <si>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</si>
  <si>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</si>
  <si>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</si>
  <si>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</si>
  <si>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</si>
  <si>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</si>
  <si>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</si>
  <si>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</si>
  <si>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</si>
  <si>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</si>
  <si>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</si>
  <si>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</si>
  <si>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</si>
  <si>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</si>
  <si>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</si>
  <si>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</si>
  <si>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</si>
  <si>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</si>
  <si>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</si>
  <si>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</si>
  <si>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</si>
  <si>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</si>
  <si>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</si>
  <si>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</si>
  <si>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</si>
  <si>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</si>
  <si>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</si>
  <si>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</si>
  <si>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</si>
  <si>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</si>
  <si>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</si>
  <si>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</si>
  <si>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</si>
  <si>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</si>
  <si>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</si>
  <si>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</si>
  <si>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</si>
  <si>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</si>
  <si>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</si>
  <si>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</si>
  <si>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</si>
  <si>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</si>
  <si>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</si>
  <si>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</si>
  <si>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</si>
  <si>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</si>
  <si>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</si>
  <si>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</si>
  <si>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</si>
  <si>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</si>
  <si>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</si>
  <si>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</si>
  <si>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</si>
  <si>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</si>
  <si>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</si>
  <si>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</si>
  <si>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</si>
  <si>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</si>
  <si>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</si>
  <si>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</si>
  <si>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</si>
  <si>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</si>
  <si>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</si>
  <si>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</si>
  <si>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</si>
  <si>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</si>
  <si>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</si>
  <si>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</si>
  <si>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</si>
  <si>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</si>
  <si>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</si>
  <si>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</si>
  <si>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</si>
  <si>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</si>
  <si>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</si>
  <si>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</si>
  <si>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</si>
  <si>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</si>
  <si>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</si>
  <si>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</si>
  <si>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</si>
  <si>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</si>
  <si>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</si>
  <si>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</si>
  <si>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</si>
  <si>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</si>
  <si>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</si>
  <si>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</si>
  <si>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</si>
  <si>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</si>
  <si>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</si>
  <si>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</si>
  <si>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</si>
  <si>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</si>
  <si>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</si>
  <si>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</si>
  <si>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</si>
  <si>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</si>
  <si>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</si>
  <si>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</si>
  <si>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</si>
  <si>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</si>
  <si>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</si>
  <si>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</si>
  <si>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</si>
  <si>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</si>
  <si>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</si>
  <si>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</si>
  <si>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</si>
  <si>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</si>
  <si>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</si>
  <si>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</si>
  <si>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</si>
  <si>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</si>
  <si>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</si>
  <si>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</si>
  <si>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</si>
  <si>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</si>
  <si>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</si>
  <si>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</si>
  <si>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</si>
  <si>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</si>
  <si>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</si>
  <si>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</si>
  <si>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</si>
  <si>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</si>
  <si>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</si>
  <si>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</si>
  <si>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</si>
  <si>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</si>
  <si>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</si>
  <si>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</si>
  <si>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</si>
  <si>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</si>
  <si>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</si>
  <si>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</si>
  <si>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</si>
  <si>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</si>
  <si>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</si>
  <si>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</si>
  <si>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</si>
  <si>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</si>
  <si>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</si>
  <si>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</si>
  <si>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</si>
  <si>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</si>
  <si>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</si>
  <si>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</si>
  <si>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</si>
  <si>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</si>
  <si>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</si>
  <si>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</si>
  <si>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</si>
  <si>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</si>
  <si>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</si>
  <si>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</si>
  <si>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</si>
  <si>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</si>
  <si>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</si>
  <si>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</si>
  <si>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</si>
  <si>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</si>
  <si>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</si>
  <si>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</si>
  <si>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</si>
  <si>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</si>
  <si>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</si>
  <si>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</si>
  <si>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</si>
  <si>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</si>
  <si>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</si>
  <si>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</si>
  <si>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</si>
  <si>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</si>
  <si>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</si>
  <si>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</si>
  <si>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</si>
  <si>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</si>
  <si>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</si>
  <si>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</si>
  <si>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</si>
  <si>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</si>
  <si>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</si>
  <si>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</si>
  <si>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</si>
  <si>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</si>
  <si>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</si>
  <si>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</si>
  <si>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</si>
  <si>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</si>
  <si>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</si>
  <si>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</si>
  <si>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</si>
  <si>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</si>
  <si>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</si>
  <si>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</si>
  <si>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</si>
  <si>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</si>
  <si>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</si>
  <si>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</si>
  <si>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</si>
  <si>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</si>
  <si>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</si>
  <si>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</si>
  <si>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</si>
  <si>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</si>
  <si>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</si>
  <si>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</si>
  <si>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</si>
  <si>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</si>
  <si>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</si>
  <si>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</si>
  <si>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</si>
  <si>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</si>
  <si>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</si>
  <si>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</si>
  <si>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</si>
  <si>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</si>
  <si>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</si>
  <si>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</si>
  <si>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</si>
  <si>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</si>
  <si>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</si>
  <si>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</si>
  <si>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</si>
  <si>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</si>
  <si>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</si>
  <si>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</si>
  <si>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</si>
  <si>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</si>
  <si>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</si>
  <si>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</si>
  <si>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</si>
  <si>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</si>
  <si>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</si>
  <si>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</si>
  <si>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</si>
  <si>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</si>
  <si>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</si>
  <si>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</si>
  <si>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</si>
  <si>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</si>
  <si>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</si>
  <si>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</si>
  <si>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</si>
  <si>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</si>
  <si>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</si>
  <si>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</si>
  <si>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</si>
  <si>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</si>
  <si>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</si>
  <si>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</si>
  <si>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</si>
  <si>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</si>
  <si>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</si>
  <si>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</si>
  <si>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</si>
  <si>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</si>
  <si>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</si>
  <si>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</si>
  <si>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</si>
  <si>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</si>
  <si>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</si>
  <si>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</si>
  <si>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</si>
  <si>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</si>
  <si>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</si>
  <si>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</si>
  <si>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</si>
  <si>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</si>
  <si>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</si>
  <si>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</si>
  <si>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</si>
  <si>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</si>
  <si>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</si>
  <si>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</si>
  <si>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</si>
  <si>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</si>
  <si>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</si>
  <si>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</si>
  <si>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</si>
  <si>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</si>
  <si>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</si>
  <si>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</si>
  <si>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</si>
  <si>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</si>
  <si>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</si>
  <si>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</si>
  <si>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</si>
  <si>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</si>
  <si>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</si>
  <si>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</si>
  <si>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</si>
  <si>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</si>
  <si>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</si>
  <si>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</si>
  <si>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</si>
  <si>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</si>
  <si>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</si>
  <si>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</si>
  <si>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</si>
  <si>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</si>
  <si>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</si>
  <si>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</si>
  <si>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</si>
  <si>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</si>
  <si>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</si>
  <si>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</si>
  <si>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</si>
  <si>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</si>
  <si>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</si>
  <si>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</si>
  <si>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</si>
  <si>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</si>
  <si>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</si>
  <si>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</si>
  <si>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</si>
  <si>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</si>
  <si>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</si>
  <si>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</si>
  <si>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</si>
  <si>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</si>
  <si>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</si>
  <si>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</si>
  <si>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</si>
  <si>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</si>
  <si>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</si>
  <si>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</si>
  <si>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</si>
  <si>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</si>
  <si>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</si>
  <si>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</si>
  <si>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</si>
  <si>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</si>
  <si>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</si>
  <si>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</si>
  <si>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</si>
  <si>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</si>
  <si>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</si>
  <si>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</si>
  <si>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</si>
  <si>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</si>
  <si>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</si>
  <si>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</si>
  <si>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</si>
  <si>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</si>
  <si>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</si>
  <si>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</si>
  <si>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</si>
  <si>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</si>
  <si>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</si>
  <si>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</si>
  <si>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</si>
  <si>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</si>
  <si>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</si>
  <si>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</si>
  <si>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</si>
  <si>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</si>
  <si>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</si>
  <si>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</si>
  <si>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</si>
  <si>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</si>
  <si>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</si>
  <si>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</si>
  <si>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</si>
  <si>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</si>
  <si>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</si>
  <si>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</si>
  <si>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</si>
  <si>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</si>
  <si>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</si>
  <si>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</si>
  <si>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</si>
  <si>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</si>
  <si>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</si>
  <si>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</si>
  <si>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</si>
  <si>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</si>
  <si>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</si>
  <si>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</si>
  <si>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</si>
  <si>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</si>
  <si>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</si>
  <si>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</si>
  <si>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</si>
  <si>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</si>
  <si>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</si>
  <si>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</si>
  <si>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</si>
  <si>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</si>
  <si>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</si>
  <si>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</si>
  <si>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</si>
  <si>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</si>
  <si>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</si>
  <si>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</si>
  <si>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</si>
  <si>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</si>
  <si>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</si>
  <si>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</si>
  <si>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</si>
  <si>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</si>
  <si>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</si>
  <si>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</si>
  <si>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</si>
  <si>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</si>
  <si>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</si>
  <si>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</si>
  <si>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</si>
  <si>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</si>
  <si>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</si>
  <si>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</si>
  <si>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</si>
  <si>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</si>
  <si>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</si>
  <si>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</si>
  <si>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</si>
  <si>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</si>
  <si>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</si>
  <si>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</si>
  <si>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</si>
  <si>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</si>
  <si>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</si>
  <si>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</si>
  <si>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</si>
  <si>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</si>
  <si>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</si>
  <si>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</si>
  <si>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</si>
  <si>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</si>
  <si>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</si>
  <si>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</si>
  <si>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</si>
  <si>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</si>
  <si>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</si>
  <si>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</si>
  <si>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</si>
  <si>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</si>
  <si>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</si>
  <si>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</si>
  <si>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</si>
  <si>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</si>
  <si>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</si>
  <si>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</si>
  <si>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</si>
  <si>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</si>
  <si>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</si>
  <si>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</si>
  <si>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</si>
  <si>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</si>
  <si>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</si>
  <si>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</si>
  <si>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</si>
  <si>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</si>
  <si>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</si>
  <si>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</si>
  <si>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</si>
  <si>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</si>
  <si>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</si>
  <si>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</si>
  <si>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</si>
  <si>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</si>
  <si>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</si>
  <si>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</si>
  <si>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</si>
  <si>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</si>
  <si>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</si>
  <si>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</si>
  <si>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</si>
  <si>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</si>
  <si>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</si>
  <si>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</si>
  <si>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</si>
  <si>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</si>
  <si>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</si>
  <si>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</si>
  <si>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</si>
  <si>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</si>
  <si>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</si>
  <si>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</si>
  <si>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</si>
  <si>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</si>
  <si>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</si>
  <si>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</si>
  <si>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</si>
  <si>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</si>
  <si>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</si>
  <si>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</si>
  <si>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</si>
  <si>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</si>
  <si>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</si>
  <si>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</si>
  <si>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</si>
  <si>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</si>
  <si>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</si>
  <si>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</si>
  <si>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</si>
  <si>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</si>
  <si>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</si>
  <si>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</si>
  <si>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</si>
  <si>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</si>
  <si>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</si>
  <si>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</si>
  <si>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</si>
  <si>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</si>
  <si>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</si>
  <si>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</si>
  <si>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</si>
  <si>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</si>
  <si>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</si>
  <si>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</si>
  <si>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</si>
  <si>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</si>
  <si>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</si>
  <si>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</si>
  <si>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</si>
  <si>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</si>
  <si>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</si>
  <si>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</si>
  <si>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</si>
  <si>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</si>
  <si>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</si>
  <si>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</si>
  <si>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</si>
  <si>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</si>
  <si>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</si>
  <si>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</si>
  <si>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</si>
  <si>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</si>
  <si>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</si>
  <si>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</si>
  <si>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</si>
  <si>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</si>
  <si>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</si>
  <si>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</si>
  <si>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</si>
  <si>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</si>
  <si>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</si>
  <si>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</si>
  <si>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</si>
  <si>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</si>
  <si>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</si>
  <si>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</si>
  <si>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</si>
  <si>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</si>
  <si>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</si>
  <si>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</si>
  <si>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</si>
  <si>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</si>
  <si>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</si>
  <si>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</si>
  <si>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</si>
  <si>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</si>
  <si>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</si>
  <si>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</si>
  <si>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</si>
  <si>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</si>
  <si>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</si>
  <si>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</si>
  <si>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</si>
  <si>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</si>
  <si>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</si>
  <si>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</si>
  <si>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</si>
  <si>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</si>
  <si>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</si>
  <si>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</si>
  <si>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</si>
  <si>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</si>
  <si>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</si>
  <si>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</si>
  <si>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</si>
  <si>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</si>
  <si>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</si>
  <si>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</si>
  <si>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</si>
  <si>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</si>
  <si>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</si>
  <si>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</si>
  <si>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</si>
  <si>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</si>
  <si>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</si>
  <si>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</si>
  <si>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</si>
  <si>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</si>
  <si>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</si>
  <si>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</si>
  <si>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</si>
  <si>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</si>
  <si>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</si>
  <si>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</si>
  <si>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</si>
  <si>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</si>
  <si>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</si>
  <si>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</si>
  <si>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</si>
  <si>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</si>
  <si>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</si>
  <si>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</si>
  <si>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</si>
  <si>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</si>
  <si>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</si>
  <si>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</si>
  <si>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</si>
  <si>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</si>
  <si>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</si>
  <si>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</si>
  <si>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</si>
  <si>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</si>
  <si>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</si>
  <si>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</si>
  <si>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</si>
  <si>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</si>
  <si>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</si>
  <si>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</si>
  <si>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</si>
  <si>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</si>
  <si>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</si>
  <si>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</si>
  <si>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</si>
  <si>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</si>
  <si>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</si>
  <si>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</si>
  <si>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</si>
  <si>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</si>
  <si>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</si>
  <si>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</si>
  <si>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</si>
  <si>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</si>
  <si>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</si>
  <si>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</si>
  <si>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</si>
  <si>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</si>
  <si>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</si>
  <si>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</si>
  <si>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</si>
  <si>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</si>
  <si>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</si>
  <si>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</si>
  <si>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</si>
  <si>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</si>
  <si>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</si>
  <si>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</si>
  <si>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</si>
  <si>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</si>
  <si>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</si>
  <si>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</si>
  <si>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</si>
  <si>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</si>
  <si>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</si>
  <si>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</si>
  <si>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</si>
  <si>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</si>
  <si>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</si>
  <si>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</si>
  <si>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</si>
  <si>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</si>
  <si>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</si>
  <si>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</si>
  <si>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</si>
  <si>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</si>
  <si>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</si>
  <si>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</si>
  <si>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</si>
  <si>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</si>
  <si>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</si>
  <si>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</si>
  <si>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</si>
  <si>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</si>
  <si>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</si>
  <si>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</si>
  <si>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</si>
  <si>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</si>
  <si>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</si>
  <si>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</si>
  <si>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</si>
  <si>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</si>
  <si>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</si>
  <si>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</si>
  <si>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</si>
  <si>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</si>
  <si>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</si>
  <si>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</si>
  <si>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</si>
  <si>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</si>
  <si>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</si>
  <si>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</si>
  <si>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</si>
  <si>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</si>
  <si>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</si>
  <si>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</si>
  <si>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</si>
  <si>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</si>
  <si>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</si>
  <si>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</si>
  <si>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</si>
  <si>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</si>
  <si>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</si>
  <si>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</si>
  <si>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</si>
  <si>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</si>
  <si>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</si>
  <si>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</si>
  <si>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</si>
  <si>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</si>
  <si>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</si>
  <si>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</si>
  <si>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</si>
  <si>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</si>
  <si>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</si>
  <si>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</si>
  <si>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</si>
  <si>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</si>
  <si>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</si>
  <si>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</si>
  <si>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</si>
  <si>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</si>
  <si>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</si>
  <si>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</si>
  <si>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</si>
  <si>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</si>
  <si>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</si>
  <si>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</si>
  <si>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</si>
  <si>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</si>
  <si>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</si>
  <si>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</si>
  <si>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</si>
  <si>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</si>
  <si>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</si>
  <si>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</si>
  <si>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</si>
  <si>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</si>
  <si>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</si>
  <si>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</si>
  <si>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</si>
  <si>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</si>
  <si>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</si>
  <si>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</si>
  <si>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</si>
  <si>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</si>
  <si>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</si>
  <si>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</si>
  <si>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</si>
  <si>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</si>
  <si>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</si>
  <si>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</si>
  <si>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</si>
  <si>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</si>
  <si>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</si>
  <si>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</si>
  <si>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</si>
  <si>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</si>
  <si>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</si>
  <si>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</si>
  <si>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</si>
  <si>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</si>
  <si>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</si>
  <si>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</si>
  <si>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</si>
  <si>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</si>
  <si>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</si>
  <si>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</si>
  <si>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</si>
  <si>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</si>
  <si>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</si>
  <si>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</si>
  <si>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</si>
  <si>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</si>
  <si>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</si>
  <si>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</si>
  <si>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</si>
  <si>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</si>
  <si>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</si>
  <si>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</si>
  <si>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</si>
  <si>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</si>
  <si>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</si>
  <si>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</si>
  <si>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</si>
  <si>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</si>
  <si>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</si>
  <si>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</si>
  <si>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</si>
  <si>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</si>
  <si>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</si>
  <si>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</si>
  <si>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</si>
  <si>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</si>
  <si>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</si>
  <si>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</si>
  <si>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</si>
  <si>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</si>
  <si>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</si>
  <si>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</si>
  <si>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</si>
  <si>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</si>
  <si>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</si>
  <si>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</si>
  <si>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</si>
  <si>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</si>
  <si>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</si>
  <si>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</si>
  <si>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</si>
  <si>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</si>
  <si>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</si>
  <si>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</si>
  <si>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</si>
  <si>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</si>
  <si>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</si>
  <si>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</si>
  <si>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</si>
  <si>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</si>
  <si>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</si>
  <si>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</si>
  <si>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</si>
  <si>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</si>
  <si>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</si>
  <si>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</si>
  <si>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</si>
  <si>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</si>
  <si>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</si>
  <si>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</si>
  <si>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</si>
  <si>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</si>
  <si>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</si>
  <si>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</si>
  <si>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</si>
  <si>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</si>
  <si>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</si>
  <si>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</si>
  <si>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</si>
  <si>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</si>
  <si>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</si>
  <si>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</si>
  <si>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</si>
  <si>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</si>
  <si>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</si>
  <si>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</si>
  <si>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</si>
  <si>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</si>
  <si>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</si>
  <si>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</si>
  <si>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</si>
  <si>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</si>
  <si>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</si>
  <si>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</si>
  <si>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</si>
  <si>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</si>
  <si>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</si>
  <si>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</si>
  <si>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</si>
  <si>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</si>
  <si>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</si>
  <si>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</si>
  <si>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</si>
  <si>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</si>
  <si>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</si>
  <si>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</si>
  <si>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</si>
  <si>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</si>
  <si>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</si>
  <si>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</si>
  <si>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</si>
  <si>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</si>
  <si>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</si>
  <si>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</si>
  <si>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</si>
  <si>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</si>
  <si>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</si>
  <si>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</si>
  <si>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</si>
  <si>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</si>
  <si>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</si>
  <si>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</si>
  <si>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</si>
  <si>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</si>
  <si>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</si>
  <si>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</si>
  <si>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</si>
  <si>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</si>
  <si>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</si>
  <si>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</si>
  <si>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</si>
  <si>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</si>
  <si>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</si>
  <si>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</si>
  <si>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</si>
  <si>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</si>
  <si>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</si>
  <si>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</si>
  <si>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</si>
  <si>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</si>
  <si>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</si>
  <si>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</si>
  <si>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</si>
  <si>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</si>
  <si>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</si>
  <si>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</si>
  <si>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</si>
  <si>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</si>
  <si>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</si>
  <si>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</si>
  <si>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</si>
  <si>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</si>
  <si>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</si>
  <si>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</si>
  <si>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</si>
  <si>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</si>
  <si>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</si>
  <si>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</si>
  <si>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</si>
  <si>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</si>
  <si>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</si>
  <si>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</si>
  <si>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</si>
  <si>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</si>
  <si>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</si>
  <si>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</si>
  <si>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</si>
  <si>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</si>
  <si>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</si>
  <si>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</si>
  <si>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</si>
  <si>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</si>
  <si>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</si>
  <si>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</si>
  <si>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</si>
  <si>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</si>
  <si>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</si>
  <si>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</si>
  <si>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</si>
  <si>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</si>
  <si>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</si>
  <si>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</si>
  <si>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</si>
  <si>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</si>
  <si>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</si>
  <si>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</si>
  <si>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</si>
  <si>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</si>
  <si>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</si>
  <si>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</si>
  <si>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</si>
  <si>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</si>
  <si>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</si>
  <si>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</si>
  <si>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</si>
  <si>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</si>
  <si>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</si>
  <si>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</si>
  <si>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</si>
  <si>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</si>
  <si>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</si>
  <si>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</si>
  <si>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</si>
  <si>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</si>
  <si>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</si>
  <si>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</si>
  <si>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</si>
  <si>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</si>
  <si>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</si>
  <si>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</si>
  <si>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</si>
  <si>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</si>
  <si>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</si>
  <si>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</si>
  <si>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</si>
  <si>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</si>
  <si>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</si>
  <si>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</si>
  <si>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</si>
  <si>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</si>
  <si>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</si>
  <si>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</si>
  <si>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</si>
  <si>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</si>
  <si>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</si>
  <si>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</si>
  <si>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</si>
  <si>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</si>
  <si>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</si>
  <si>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</si>
  <si>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</si>
  <si>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</si>
  <si>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</si>
  <si>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</si>
  <si>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</si>
  <si>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</si>
  <si>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</si>
  <si>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</si>
  <si>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</si>
  <si>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</si>
  <si>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</si>
  <si>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</si>
  <si>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</si>
  <si>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</si>
  <si>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</si>
  <si>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</si>
  <si>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</si>
  <si>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</si>
  <si>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</si>
  <si>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</si>
  <si>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</si>
  <si>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</si>
  <si>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</si>
  <si>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</si>
  <si>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</si>
  <si>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</si>
  <si>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</si>
  <si>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</si>
  <si>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</si>
  <si>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</si>
  <si>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</si>
  <si>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</si>
  <si>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</si>
  <si>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</si>
  <si>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</si>
  <si>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</si>
  <si>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</si>
  <si>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</si>
  <si>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</si>
  <si>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</si>
  <si>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</si>
  <si>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</si>
  <si>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</si>
  <si>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</si>
  <si>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</si>
  <si>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</si>
  <si>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</si>
  <si>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</si>
  <si>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</si>
  <si>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</si>
  <si>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</si>
  <si>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</si>
  <si>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</si>
  <si>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</si>
  <si>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</si>
  <si>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</si>
  <si>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</si>
  <si>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</si>
  <si>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</si>
  <si>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</si>
  <si>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</si>
  <si>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</si>
  <si>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</si>
  <si>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</si>
  <si>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</si>
  <si>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</si>
  <si>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</si>
  <si>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</si>
  <si>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</si>
  <si>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</si>
  <si>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</si>
  <si>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</si>
  <si>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</si>
  <si>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</si>
  <si>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</si>
  <si>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</si>
  <si>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</si>
  <si>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</si>
  <si>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</si>
  <si>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</si>
  <si>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</si>
  <si>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</si>
  <si>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</si>
  <si>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</si>
  <si>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</si>
  <si>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</si>
  <si>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</si>
  <si>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</si>
  <si>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</si>
  <si>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</si>
  <si>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</si>
  <si>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</si>
  <si>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</si>
  <si>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</si>
  <si>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</si>
  <si>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</si>
  <si>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</si>
  <si>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</si>
  <si>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</si>
  <si>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</si>
  <si>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</si>
  <si>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</si>
  <si>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</si>
  <si>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</si>
  <si>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</si>
  <si>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</si>
  <si>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</si>
  <si>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</si>
  <si>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</si>
  <si>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</si>
  <si>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</si>
  <si>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</si>
  <si>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</si>
  <si>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</si>
  <si>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</si>
  <si>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</si>
  <si>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</si>
  <si>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</si>
  <si>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</si>
  <si>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</si>
  <si>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</si>
  <si>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</si>
  <si>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</si>
  <si>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</si>
  <si>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</si>
  <si>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</si>
  <si>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</si>
  <si>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</si>
  <si>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</si>
  <si>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</si>
  <si>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</si>
  <si>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</si>
  <si>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</si>
  <si>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</si>
  <si>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</si>
  <si>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</si>
  <si>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</si>
  <si>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</si>
  <si>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</si>
  <si>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</si>
  <si>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</si>
  <si>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</si>
  <si>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</si>
  <si>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</si>
  <si>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</si>
  <si>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</si>
  <si>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</si>
  <si>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</si>
  <si>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</si>
  <si>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</si>
  <si>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</si>
  <si>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</si>
  <si>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2018</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</si>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</sst>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8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18862.785</v>
      </c>
      <c r="F22" s="3419" t="str">
        <f t="shared" si="0"/>
        <v>NA</v>
      </c>
      <c r="G22" s="3395">
        <v>290.65836886363599</v>
      </c>
      <c r="H22" s="3374">
        <f t="shared" si="1"/>
        <v>1065.7473524999987</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34129</v>
      </c>
      <c r="F24" s="3419" t="str">
        <f t="shared" si="0"/>
        <v>NA</v>
      </c>
      <c r="G24" s="3395">
        <v>751.14826363636371</v>
      </c>
      <c r="H24" s="3374">
        <f t="shared" si="1"/>
        <v>2754.2103000000002</v>
      </c>
      <c r="I24" s="2579" t="s">
        <v>2147</v>
      </c>
      <c r="J24" s="2580"/>
      <c r="M24" s="125"/>
    </row>
    <row r="25" spans="2:13" ht="18" customHeight="1" x14ac:dyDescent="0.2">
      <c r="B25" s="165"/>
      <c r="C25" s="1563"/>
      <c r="D25" s="1452" t="s">
        <v>1789</v>
      </c>
      <c r="E25" s="3414">
        <v>12296</v>
      </c>
      <c r="F25" s="3419" t="str">
        <f t="shared" si="0"/>
        <v>NA</v>
      </c>
      <c r="G25" s="3395">
        <v>233.51780727272731</v>
      </c>
      <c r="H25" s="3374">
        <f t="shared" si="1"/>
        <v>856.23196000000007</v>
      </c>
      <c r="I25" s="2579" t="s">
        <v>2147</v>
      </c>
      <c r="J25" s="2580"/>
      <c r="M25" s="125"/>
    </row>
    <row r="26" spans="2:13" ht="18" customHeight="1" x14ac:dyDescent="0.2">
      <c r="B26" s="165"/>
      <c r="C26" s="1563"/>
      <c r="D26" s="1452" t="s">
        <v>1790</v>
      </c>
      <c r="E26" s="3418">
        <v>22050.305676</v>
      </c>
      <c r="F26" s="3419">
        <f t="shared" si="0"/>
        <v>25.26136363636364</v>
      </c>
      <c r="G26" s="3395">
        <v>557.02078997440901</v>
      </c>
      <c r="H26" s="3374">
        <f t="shared" si="1"/>
        <v>2042.4095632394999</v>
      </c>
      <c r="I26" s="3395">
        <v>2042.4095632394999</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39097.784658389799</v>
      </c>
      <c r="F28" s="3419">
        <f>IF(I28="NA","NA",I28/(44/12)*1000/E28)</f>
        <v>0.3025724142707597</v>
      </c>
      <c r="G28" s="3395">
        <v>726.19345655127302</v>
      </c>
      <c r="H28" s="3374">
        <f>IF(G28="NA","NA",IF(G28="NO","NO",G28*44/12))</f>
        <v>2662.7093406880008</v>
      </c>
      <c r="I28" s="3395">
        <v>43.376340687999999</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126435.8753343898</v>
      </c>
      <c r="F31" s="3359">
        <f t="shared" ref="F31" si="3">IF(I31="NA","NA",I31/(44/12)*1000/E31)</f>
        <v>4.4991241573380583</v>
      </c>
      <c r="G31" s="3423">
        <f>SUM(G11:G29)</f>
        <v>2558.5386862984092</v>
      </c>
      <c r="H31" s="3371">
        <f t="shared" ref="H31" si="4">IF(G31="NA","NA",IF(G31="NO","NO",G31*44/12))</f>
        <v>9381.3085164274999</v>
      </c>
      <c r="I31" s="3423">
        <f>SUM(I11:I29)</f>
        <v>2085.7859039274999</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v>25.4480137252162</v>
      </c>
      <c r="H34" s="3396">
        <f t="shared" ref="H34:H42" si="5">IF(G34="NA","NA",IF(G34="NO","NO",G34*44/12))</f>
        <v>93.30938365912607</v>
      </c>
      <c r="I34" s="2363" t="s">
        <v>2153</v>
      </c>
      <c r="J34" s="2580"/>
      <c r="M34" s="125"/>
    </row>
    <row r="35" spans="2:13" ht="18" customHeight="1" x14ac:dyDescent="0.2">
      <c r="B35" s="1434"/>
      <c r="C35" s="1563"/>
      <c r="D35" s="1452" t="s">
        <v>261</v>
      </c>
      <c r="E35" s="3414">
        <v>19326.476742334598</v>
      </c>
      <c r="F35" s="3419">
        <f>IF(I35="NA","NA",I35/(44/12)*1000/E35)</f>
        <v>27.321872592822622</v>
      </c>
      <c r="G35" s="3399">
        <v>528.035535222215</v>
      </c>
      <c r="H35" s="3396">
        <f t="shared" si="5"/>
        <v>1936.1302958147883</v>
      </c>
      <c r="I35" s="3395">
        <v>1936.1302958147901</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67248.496889999995</v>
      </c>
      <c r="F41" s="3419">
        <f t="shared" ref="F41" si="8">IF(I41="NA","NA",I41/(44/12)*1000/E41)</f>
        <v>29.836402531421982</v>
      </c>
      <c r="G41" s="3395">
        <v>2006.4532228431201</v>
      </c>
      <c r="H41" s="3396">
        <f t="shared" si="5"/>
        <v>7356.9951504247738</v>
      </c>
      <c r="I41" s="3395">
        <v>7356.9951504247701</v>
      </c>
      <c r="J41" s="3416" t="s">
        <v>2274</v>
      </c>
      <c r="M41" s="125"/>
    </row>
    <row r="42" spans="2:13" ht="18" customHeight="1" x14ac:dyDescent="0.2">
      <c r="B42" s="1434"/>
      <c r="C42" s="1564"/>
      <c r="D42" s="1452" t="s">
        <v>1792</v>
      </c>
      <c r="E42" s="3414">
        <v>8883.3100816395508</v>
      </c>
      <c r="F42" s="3419">
        <f>IF(I42="NA","NA",I42/(44/12)*1000/E42)</f>
        <v>8.2763150727966668</v>
      </c>
      <c r="G42" s="3395">
        <v>179.89140850866599</v>
      </c>
      <c r="H42" s="3396">
        <f t="shared" si="5"/>
        <v>659.60183119844203</v>
      </c>
      <c r="I42" s="3395">
        <v>269.57726812499999</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95458.283713974131</v>
      </c>
      <c r="F45" s="3343">
        <f>IF(I45="NA","NA",I45/(44/12)*1000/E45)</f>
        <v>27.320937793149827</v>
      </c>
      <c r="G45" s="3423">
        <f>SUM(G33:G43)</f>
        <v>2739.8281802992174</v>
      </c>
      <c r="H45" s="3371">
        <f t="shared" ref="H45" si="9">IF(G45="NA","NA",IF(G45="NO","NO",G45*44/12))</f>
        <v>10046.03666109713</v>
      </c>
      <c r="I45" s="3423">
        <f>SUM(I33:I43)</f>
        <v>9562.702714364561</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53948.345999999998</v>
      </c>
      <c r="F47" s="3419">
        <f t="shared" ref="F47" si="10">IF(I47="NA","NA",I47/(44/12)*1000/E47)</f>
        <v>13.96519496268618</v>
      </c>
      <c r="G47" s="3395">
        <v>755.64438133535589</v>
      </c>
      <c r="H47" s="3374">
        <f t="shared" ref="H47" si="11">IF(G47="NA","NA",IF(G47="NO","NO",G47*44/12))</f>
        <v>2770.696064896305</v>
      </c>
      <c r="I47" s="3395">
        <v>2762.4636226163202</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53948.345999999998</v>
      </c>
      <c r="F50" s="3343">
        <f>IF(I50="NA","NA",I50/(44/12)*1000/E50)</f>
        <v>13.96519496268618</v>
      </c>
      <c r="G50" s="3423">
        <f>SUM(G47:G48)</f>
        <v>755.64438133535589</v>
      </c>
      <c r="H50" s="3397">
        <f t="shared" ref="H50" si="13">IF(G50="NA","NA",IF(G50="NO","NO",G50*44/12))</f>
        <v>2770.696064896305</v>
      </c>
      <c r="I50" s="3423">
        <f>SUM(I47:I48)</f>
        <v>2762.4636226163202</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275842.50504836394</v>
      </c>
      <c r="F55" s="3354">
        <f t="shared" si="14"/>
        <v>14.248201891063971</v>
      </c>
      <c r="G55" s="3423">
        <f>SUM(G31,G45,G50,G54)</f>
        <v>6054.0112479329828</v>
      </c>
      <c r="H55" s="3398">
        <f t="shared" si="15"/>
        <v>22198.041242420935</v>
      </c>
      <c r="I55" s="3423">
        <f>SUM(I31,I45,I50,I54)</f>
        <v>14410.95224090838</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618.41312999206002</v>
      </c>
      <c r="D10" s="3127"/>
      <c r="E10" s="3127"/>
      <c r="F10" s="3078">
        <f>SUM(F11,F18)</f>
        <v>1363.9685402677476</v>
      </c>
      <c r="G10" s="3078">
        <f>SUM(G11,G18)</f>
        <v>2361.4971654210785</v>
      </c>
      <c r="H10" s="3078">
        <f>H11</f>
        <v>-297.88206415000002</v>
      </c>
      <c r="I10" s="3128" t="s">
        <v>2146</v>
      </c>
      <c r="L10" s="3750"/>
    </row>
    <row r="11" spans="2:12" ht="18" customHeight="1" x14ac:dyDescent="0.2">
      <c r="B11" s="1252" t="s">
        <v>334</v>
      </c>
      <c r="C11" s="3033">
        <v>112.52760105500001</v>
      </c>
      <c r="D11" s="3078">
        <f>IFERROR(SUM(F11,H11)/$C$11,"NA")</f>
        <v>6.533917741857894</v>
      </c>
      <c r="E11" s="3078">
        <f>IFERROR(SUM(G11,I11)/$C$11,"NA")</f>
        <v>19.725397349092276</v>
      </c>
      <c r="F11" s="3078">
        <f>SUM(F12:F16)</f>
        <v>1033.1281531319717</v>
      </c>
      <c r="G11" s="3078">
        <f>SUM(G12:G16)</f>
        <v>2219.6516435500102</v>
      </c>
      <c r="H11" s="3078">
        <f>H12</f>
        <v>-297.88206415000002</v>
      </c>
      <c r="I11" s="3128" t="s">
        <v>2146</v>
      </c>
    </row>
    <row r="12" spans="2:12" ht="18" customHeight="1" x14ac:dyDescent="0.2">
      <c r="B12" s="160" t="s">
        <v>335</v>
      </c>
      <c r="C12" s="3046"/>
      <c r="D12" s="3078">
        <f t="shared" ref="D12:D14" si="0">IFERROR(SUM(F12,H12)/$C$11,"NA")</f>
        <v>5.7675860314731375</v>
      </c>
      <c r="E12" s="3078">
        <f>IFERROR(SUM(G12,I12)/$C$11,"NA")</f>
        <v>12.568711913699474</v>
      </c>
      <c r="F12" s="3126">
        <v>946.89468414999999</v>
      </c>
      <c r="G12" s="3126">
        <v>1414.327</v>
      </c>
      <c r="H12" s="3126">
        <v>-297.88206415000002</v>
      </c>
      <c r="I12" s="3034" t="s">
        <v>2146</v>
      </c>
    </row>
    <row r="13" spans="2:12" ht="18" customHeight="1" x14ac:dyDescent="0.2">
      <c r="B13" s="160" t="s">
        <v>336</v>
      </c>
      <c r="C13" s="3046"/>
      <c r="D13" s="3078">
        <f t="shared" si="0"/>
        <v>0.37787872215022456</v>
      </c>
      <c r="E13" s="3078" t="s">
        <v>2147</v>
      </c>
      <c r="F13" s="3126">
        <v>42.521786093293663</v>
      </c>
      <c r="G13" s="3126" t="s">
        <v>2154</v>
      </c>
      <c r="H13" s="3126" t="s">
        <v>2146</v>
      </c>
      <c r="I13" s="3034" t="s">
        <v>2146</v>
      </c>
    </row>
    <row r="14" spans="2:12" ht="18" customHeight="1" x14ac:dyDescent="0.2">
      <c r="B14" s="160" t="s">
        <v>337</v>
      </c>
      <c r="C14" s="3046"/>
      <c r="D14" s="3078">
        <f t="shared" si="0"/>
        <v>0.36469073345012987</v>
      </c>
      <c r="E14" s="3078" t="s">
        <v>2147</v>
      </c>
      <c r="F14" s="3126">
        <v>41.03777336213156</v>
      </c>
      <c r="G14" s="3126" t="s">
        <v>2147</v>
      </c>
      <c r="H14" s="3126" t="s">
        <v>2146</v>
      </c>
      <c r="I14" s="3034" t="s">
        <v>2146</v>
      </c>
    </row>
    <row r="15" spans="2:12" ht="18" customHeight="1" x14ac:dyDescent="0.2">
      <c r="B15" s="160" t="s">
        <v>338</v>
      </c>
      <c r="C15" s="3033">
        <v>0.29788206415000001</v>
      </c>
      <c r="D15" s="3078">
        <f>IFERROR(SUM(F15,H15)/$C15,"NA")</f>
        <v>8.9764032425930136</v>
      </c>
      <c r="E15" s="3078">
        <f>IFERROR(SUM(G15,I15)/$C15,"NA")</f>
        <v>2703.5016218515425</v>
      </c>
      <c r="F15" s="3126">
        <v>2.6739095265463604</v>
      </c>
      <c r="G15" s="3126">
        <v>805.32464355001025</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505.88552893705997</v>
      </c>
      <c r="D18" s="3078">
        <f>IFERROR(SUM(F18,H18)/$C$18,"NA")</f>
        <v>0.65398270599066222</v>
      </c>
      <c r="E18" s="3078">
        <f>IFERROR(SUM(G18,I18)/$C$18,"NA")</f>
        <v>0.28039055034664961</v>
      </c>
      <c r="F18" s="3078">
        <f>SUM(F19:F21)</f>
        <v>330.84038713577593</v>
      </c>
      <c r="G18" s="3131">
        <f t="shared" ref="G18" si="2">SUM(G19:G21)</f>
        <v>141.84552187106817</v>
      </c>
      <c r="H18" s="3078" t="s">
        <v>2146</v>
      </c>
      <c r="I18" s="3128" t="s">
        <v>2146</v>
      </c>
    </row>
    <row r="19" spans="2:9" ht="18" customHeight="1" x14ac:dyDescent="0.2">
      <c r="B19" s="160" t="s">
        <v>341</v>
      </c>
      <c r="C19" s="3046"/>
      <c r="D19" s="3078">
        <f>IFERROR(SUM(F19,H19)/$C$18,"NA")</f>
        <v>0.65398270599066222</v>
      </c>
      <c r="E19" s="3078">
        <f>IFERROR(SUM(G19,I19)/$C$18,"NA")</f>
        <v>0.28039055034664961</v>
      </c>
      <c r="F19" s="3126">
        <v>330.84038713577593</v>
      </c>
      <c r="G19" s="3126">
        <v>141.84552187106817</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134.98463159685932</v>
      </c>
      <c r="J10" s="3145">
        <f>IF(SUM(J11:J16)=0,"NO",SUM(J11:J16))</f>
        <v>2.465809229571212</v>
      </c>
      <c r="K10" s="1913">
        <f>IF(SUM(K11:K16)=0,"NO",SUM(K11:K16))</f>
        <v>4.4281264012308238E-3</v>
      </c>
      <c r="L10" s="3146" t="s">
        <v>2146</v>
      </c>
    </row>
    <row r="11" spans="2:12" ht="18" customHeight="1" x14ac:dyDescent="0.2">
      <c r="B11" s="1252" t="s">
        <v>363</v>
      </c>
      <c r="C11" s="2165" t="s">
        <v>2159</v>
      </c>
      <c r="D11" s="2165" t="s">
        <v>2275</v>
      </c>
      <c r="E11" s="691">
        <v>2005</v>
      </c>
      <c r="F11" s="1913">
        <f>I11*1000000/$E11</f>
        <v>3200</v>
      </c>
      <c r="G11" s="1913">
        <f>J11*1000000/$E11</f>
        <v>0.33</v>
      </c>
      <c r="H11" s="1913">
        <f>K11*1000000/$E11</f>
        <v>0.21999999999999997</v>
      </c>
      <c r="I11" s="3141">
        <v>6.4160000000000004</v>
      </c>
      <c r="J11" s="691">
        <v>6.6164999999999996E-4</v>
      </c>
      <c r="K11" s="3142">
        <v>4.4109999999999999E-4</v>
      </c>
      <c r="L11" s="3093" t="s">
        <v>2146</v>
      </c>
    </row>
    <row r="12" spans="2:12" ht="18" customHeight="1" x14ac:dyDescent="0.2">
      <c r="B12" s="1252" t="s">
        <v>364</v>
      </c>
      <c r="C12" s="2165" t="s">
        <v>2160</v>
      </c>
      <c r="D12" s="2165" t="s">
        <v>2161</v>
      </c>
      <c r="E12" s="691">
        <v>572.01499999999999</v>
      </c>
      <c r="F12" s="1913" t="s">
        <v>2147</v>
      </c>
      <c r="G12" s="1913">
        <f>J12*1000000/$E12</f>
        <v>2031.1355471447432</v>
      </c>
      <c r="H12" s="3096"/>
      <c r="I12" s="3147" t="s">
        <v>2147</v>
      </c>
      <c r="J12" s="691">
        <v>1.1618400000000002</v>
      </c>
      <c r="K12" s="3046"/>
      <c r="L12" s="3093" t="s">
        <v>2146</v>
      </c>
    </row>
    <row r="13" spans="2:12" ht="18" customHeight="1" x14ac:dyDescent="0.2">
      <c r="B13" s="1252" t="s">
        <v>365</v>
      </c>
      <c r="C13" s="2165" t="s">
        <v>2162</v>
      </c>
      <c r="D13" s="2165" t="s">
        <v>2161</v>
      </c>
      <c r="E13" s="691">
        <v>499.52414099999999</v>
      </c>
      <c r="F13" s="1913" t="s">
        <v>2147</v>
      </c>
      <c r="G13" s="1913">
        <f>J13*1000000/$E13</f>
        <v>25.688418220011474</v>
      </c>
      <c r="H13" s="3096"/>
      <c r="I13" s="3147" t="s">
        <v>2147</v>
      </c>
      <c r="J13" s="691">
        <v>1.2831985044999982E-2</v>
      </c>
      <c r="K13" s="3046"/>
      <c r="L13" s="3093" t="s">
        <v>2146</v>
      </c>
    </row>
    <row r="14" spans="2:12" ht="18" customHeight="1" x14ac:dyDescent="0.2">
      <c r="B14" s="1252" t="s">
        <v>366</v>
      </c>
      <c r="C14" s="2165" t="s">
        <v>2163</v>
      </c>
      <c r="D14" s="2165" t="s">
        <v>2161</v>
      </c>
      <c r="E14" s="691">
        <v>851.08692868621188</v>
      </c>
      <c r="F14" s="1913">
        <f>I14*1000000/$E14</f>
        <v>151064.04206597962</v>
      </c>
      <c r="G14" s="1913">
        <f>J14*1000000/$E14</f>
        <v>1399.572779616007</v>
      </c>
      <c r="H14" s="1913">
        <f>K14*1000000/$E14</f>
        <v>4.6846288749674887</v>
      </c>
      <c r="I14" s="3147">
        <v>128.56863159685932</v>
      </c>
      <c r="J14" s="691">
        <v>1.1911580984762118</v>
      </c>
      <c r="K14" s="3142">
        <v>3.987026401230824E-3</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9.9317496050000009E-2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3299</v>
      </c>
      <c r="F18" s="1913" t="s">
        <v>2147</v>
      </c>
      <c r="G18" s="1913">
        <f>J18*1000000/$E18</f>
        <v>30.105333752652324</v>
      </c>
      <c r="H18" s="3148"/>
      <c r="I18" s="3150" t="s">
        <v>2147</v>
      </c>
      <c r="J18" s="2190">
        <v>9.9317496050000009E-2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109.88422940542152</v>
      </c>
      <c r="J21" s="3155">
        <f>IF(SUM(J22:J27)=0,"NO",SUM(J22:J27))</f>
        <v>185.11085008333873</v>
      </c>
      <c r="K21" s="3067">
        <f>IF(SUM(K22:K27)=0,"NO",SUM(K22:K27))</f>
        <v>2.845383633E-3</v>
      </c>
      <c r="L21" s="3068" t="str">
        <f>IF(SUM(L22:L27)=0,"NO",SUM(L22:L27))</f>
        <v>NO</v>
      </c>
    </row>
    <row r="22" spans="2:12" ht="18" customHeight="1" x14ac:dyDescent="0.2">
      <c r="B22" s="1469" t="s">
        <v>371</v>
      </c>
      <c r="C22" s="2165" t="s">
        <v>2164</v>
      </c>
      <c r="D22" s="2165" t="s">
        <v>2147</v>
      </c>
      <c r="E22" s="691">
        <v>1401.0770378227162</v>
      </c>
      <c r="F22" s="1913">
        <f>I22*1000000/$E22</f>
        <v>68961.56000346267</v>
      </c>
      <c r="G22" s="1913">
        <f>J22*1000000/$E22</f>
        <v>2859.4072034487681</v>
      </c>
      <c r="H22" s="1913">
        <f>K22*1000000/$E22</f>
        <v>2.0308545184794027</v>
      </c>
      <c r="I22" s="3141">
        <v>96.620458213284977</v>
      </c>
      <c r="J22" s="692">
        <v>4.0062497745369363</v>
      </c>
      <c r="K22" s="4141">
        <v>2.845383633E-3</v>
      </c>
      <c r="L22" s="3156" t="s">
        <v>2146</v>
      </c>
    </row>
    <row r="23" spans="2:12" ht="18" customHeight="1" x14ac:dyDescent="0.2">
      <c r="B23" s="1252" t="s">
        <v>372</v>
      </c>
      <c r="C23" s="2165" t="s">
        <v>2165</v>
      </c>
      <c r="D23" s="2165" t="s">
        <v>2161</v>
      </c>
      <c r="E23" s="691">
        <v>7423.4072208431298</v>
      </c>
      <c r="F23" s="1913">
        <f>I23*1000000/$E23</f>
        <v>89.929636809523672</v>
      </c>
      <c r="G23" s="1913">
        <f>J23*1000000/$E23</f>
        <v>5471.3380549175135</v>
      </c>
      <c r="H23" s="3096"/>
      <c r="I23" s="3147">
        <v>0.66758431525961814</v>
      </c>
      <c r="J23" s="691">
        <v>40.615970424548479</v>
      </c>
      <c r="K23" s="3046"/>
      <c r="L23" s="3156" t="s">
        <v>2146</v>
      </c>
    </row>
    <row r="24" spans="2:12" ht="18" customHeight="1" x14ac:dyDescent="0.2">
      <c r="B24" s="1252" t="s">
        <v>373</v>
      </c>
      <c r="C24" s="2165" t="s">
        <v>2165</v>
      </c>
      <c r="D24" s="2165" t="s">
        <v>2161</v>
      </c>
      <c r="E24" s="691">
        <v>7423.4072208431298</v>
      </c>
      <c r="F24" s="1913">
        <f t="shared" ref="F24:F26" si="0">I24*1000000/$E24</f>
        <v>1225.9909234799127</v>
      </c>
      <c r="G24" s="1913">
        <f t="shared" ref="G24:G26" si="1">J24*1000000/$E24</f>
        <v>6807.0371421926329</v>
      </c>
      <c r="H24" s="1879"/>
      <c r="I24" s="691">
        <v>9.1010298740489208</v>
      </c>
      <c r="J24" s="691">
        <v>50.531408673900174</v>
      </c>
      <c r="K24" s="1914"/>
      <c r="L24" s="3093" t="str">
        <f>IF(Table1.C!E21="NO","NO",-Table1.C!E21)</f>
        <v>NO</v>
      </c>
    </row>
    <row r="25" spans="2:12" ht="18" customHeight="1" x14ac:dyDescent="0.2">
      <c r="B25" s="1252" t="s">
        <v>374</v>
      </c>
      <c r="C25" s="2165" t="s">
        <v>2276</v>
      </c>
      <c r="D25" s="2165" t="s">
        <v>2171</v>
      </c>
      <c r="E25" s="691">
        <v>30921.71</v>
      </c>
      <c r="F25" s="1913">
        <f t="shared" si="0"/>
        <v>20</v>
      </c>
      <c r="G25" s="1913">
        <f t="shared" si="1"/>
        <v>414.28571428571422</v>
      </c>
      <c r="H25" s="3096"/>
      <c r="I25" s="3147">
        <v>0.61843419999999993</v>
      </c>
      <c r="J25" s="691">
        <v>12.810422714285712</v>
      </c>
      <c r="K25" s="3046"/>
      <c r="L25" s="3093" t="s">
        <v>2146</v>
      </c>
    </row>
    <row r="26" spans="2:12" ht="18" customHeight="1" x14ac:dyDescent="0.2">
      <c r="B26" s="1252" t="s">
        <v>375</v>
      </c>
      <c r="C26" s="2165" t="s">
        <v>2166</v>
      </c>
      <c r="D26" s="2165" t="s">
        <v>2161</v>
      </c>
      <c r="E26" s="691">
        <v>339.43504100000001</v>
      </c>
      <c r="F26" s="1913">
        <f t="shared" si="0"/>
        <v>6783.1830008381485</v>
      </c>
      <c r="G26" s="1913">
        <f t="shared" si="1"/>
        <v>120729.72748856533</v>
      </c>
      <c r="H26" s="3096"/>
      <c r="I26" s="3147">
        <v>2.3024499999999999</v>
      </c>
      <c r="J26" s="691">
        <v>40.979900000000001</v>
      </c>
      <c r="K26" s="3046"/>
      <c r="L26" s="3093" t="s">
        <v>2146</v>
      </c>
    </row>
    <row r="27" spans="2:12" ht="18" customHeight="1" x14ac:dyDescent="0.2">
      <c r="B27" s="2414" t="s">
        <v>376</v>
      </c>
      <c r="C27" s="621"/>
      <c r="D27" s="621"/>
      <c r="E27" s="628"/>
      <c r="F27" s="628"/>
      <c r="G27" s="628"/>
      <c r="H27" s="3148"/>
      <c r="I27" s="1913">
        <f>IF(SUM(I29:I31)=0,"NO",SUM(I29:I31))</f>
        <v>0.5742728028280184</v>
      </c>
      <c r="J27" s="1913">
        <f>IF(SUM(J29:J31)=0,"NO",SUM(J29:J31))</f>
        <v>36.166898496067439</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0.5742728028280184</v>
      </c>
      <c r="J29" s="3150">
        <v>14.777031551117435</v>
      </c>
      <c r="K29" s="3132"/>
      <c r="L29" s="3102" t="s">
        <v>2146</v>
      </c>
    </row>
    <row r="30" spans="2:12" ht="18" customHeight="1" x14ac:dyDescent="0.2">
      <c r="B30" s="2415" t="s">
        <v>378</v>
      </c>
      <c r="C30" s="2165" t="s">
        <v>2156</v>
      </c>
      <c r="D30" s="2165" t="s">
        <v>2155</v>
      </c>
      <c r="E30" s="691">
        <v>18492</v>
      </c>
      <c r="F30" s="1913" t="s">
        <v>2147</v>
      </c>
      <c r="G30" s="1913">
        <f t="shared" ref="G30" si="2">J30*1000000/$E30</f>
        <v>18.811753458252216</v>
      </c>
      <c r="H30" s="3148"/>
      <c r="I30" s="3150" t="s">
        <v>2147</v>
      </c>
      <c r="J30" s="3150">
        <v>0.34786694494999998</v>
      </c>
      <c r="K30" s="3132"/>
      <c r="L30" s="3102" t="s">
        <v>2146</v>
      </c>
    </row>
    <row r="31" spans="2:12" ht="18" customHeight="1" x14ac:dyDescent="0.2">
      <c r="B31" s="1242" t="s">
        <v>379</v>
      </c>
      <c r="C31" s="621"/>
      <c r="D31" s="621"/>
      <c r="E31" s="628"/>
      <c r="F31" s="628"/>
      <c r="G31" s="628"/>
      <c r="H31" s="3148"/>
      <c r="I31" s="1913" t="s">
        <v>2147</v>
      </c>
      <c r="J31" s="1913">
        <f>IF(SUM(J32:J34)=0,"NO",SUM(J32:J34))</f>
        <v>21.042000000000002</v>
      </c>
      <c r="K31" s="3132"/>
      <c r="L31" s="3149" t="str">
        <f>IF(SUM(L32:L34)=0,"NO",SUM(L32:L34))</f>
        <v>NO</v>
      </c>
    </row>
    <row r="32" spans="2:12" ht="18" customHeight="1" x14ac:dyDescent="0.2">
      <c r="B32" s="2592" t="s">
        <v>2173</v>
      </c>
      <c r="C32" s="310" t="s">
        <v>2172</v>
      </c>
      <c r="D32" s="310" t="s">
        <v>2172</v>
      </c>
      <c r="E32" s="2190">
        <v>8</v>
      </c>
      <c r="F32" s="3095" t="s">
        <v>2147</v>
      </c>
      <c r="G32" s="3095">
        <f t="shared" ref="G32:G33" si="3">J32*1000000/$E32</f>
        <v>1109000</v>
      </c>
      <c r="H32" s="3148"/>
      <c r="I32" s="3150" t="s">
        <v>2147</v>
      </c>
      <c r="J32" s="3150">
        <v>8.8719999999999999</v>
      </c>
      <c r="K32" s="3132"/>
      <c r="L32" s="3102" t="s">
        <v>2146</v>
      </c>
    </row>
    <row r="33" spans="2:12" ht="18" customHeight="1" x14ac:dyDescent="0.2">
      <c r="B33" s="2592" t="s">
        <v>2174</v>
      </c>
      <c r="C33" s="277" t="s">
        <v>2172</v>
      </c>
      <c r="D33" s="277" t="s">
        <v>2172</v>
      </c>
      <c r="E33" s="691">
        <v>10</v>
      </c>
      <c r="F33" s="1913" t="s">
        <v>2147</v>
      </c>
      <c r="G33" s="1913">
        <f t="shared" si="3"/>
        <v>921000</v>
      </c>
      <c r="H33" s="3096"/>
      <c r="I33" s="3147" t="s">
        <v>2147</v>
      </c>
      <c r="J33" s="3147">
        <v>9.2100000000000009</v>
      </c>
      <c r="K33" s="3046"/>
      <c r="L33" s="3093" t="s">
        <v>2146</v>
      </c>
    </row>
    <row r="34" spans="2:12" ht="18" customHeight="1" thickBot="1" x14ac:dyDescent="0.25">
      <c r="B34" s="2590" t="s">
        <v>2175</v>
      </c>
      <c r="C34" s="2591" t="s">
        <v>2172</v>
      </c>
      <c r="D34" s="2591" t="s">
        <v>2172</v>
      </c>
      <c r="E34" s="2912">
        <v>8</v>
      </c>
      <c r="F34" s="3157" t="s">
        <v>2147</v>
      </c>
      <c r="G34" s="3157">
        <f t="shared" ref="G34" si="4">J34*1000000/$E34</f>
        <v>370000</v>
      </c>
      <c r="H34" s="3158"/>
      <c r="I34" s="3159" t="s">
        <v>2147</v>
      </c>
      <c r="J34" s="3159">
        <v>2.96</v>
      </c>
      <c r="K34" s="3160"/>
      <c r="L34" s="3161" t="s">
        <v>2146</v>
      </c>
    </row>
    <row r="35" spans="2:12" ht="18" customHeight="1" x14ac:dyDescent="0.2">
      <c r="B35" s="1255" t="s">
        <v>380</v>
      </c>
      <c r="C35" s="2167"/>
      <c r="D35" s="2167"/>
      <c r="E35" s="3216"/>
      <c r="F35" s="3216"/>
      <c r="G35" s="3216"/>
      <c r="H35" s="3216"/>
      <c r="I35" s="3155">
        <f>IF(SUM(I36,I40)=0,"NO",SUM(I36,I40))</f>
        <v>14319.26172946941</v>
      </c>
      <c r="J35" s="3067">
        <f>IF(SUM(J36,J40)=0,"NO",SUM(J36,J40))</f>
        <v>86.396210736313378</v>
      </c>
      <c r="K35" s="3067">
        <f>IF(SUM(K36,K40)=0,"NO",SUM(K36,K40))</f>
        <v>0.24427446305247805</v>
      </c>
      <c r="L35" s="3068" t="str">
        <f>IF(SUM(L36,L40)=0,"NO",SUM(L36,L40))</f>
        <v>NO</v>
      </c>
    </row>
    <row r="36" spans="2:12" ht="18" customHeight="1" x14ac:dyDescent="0.2">
      <c r="B36" s="1468" t="s">
        <v>381</v>
      </c>
      <c r="C36" s="2170"/>
      <c r="D36" s="2170"/>
      <c r="E36" s="3025"/>
      <c r="F36" s="3025"/>
      <c r="G36" s="3025"/>
      <c r="H36" s="3025"/>
      <c r="I36" s="3162">
        <f>IF(SUM(I37:I39)=0,"NO",SUM(I37:I39))</f>
        <v>7377.9873008979794</v>
      </c>
      <c r="J36" s="1913">
        <f>IF(SUM(J37:J39)=0,"NO",SUM(J37:J39))</f>
        <v>69.119699065562187</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7995.4222208431302</v>
      </c>
      <c r="F39" s="1913">
        <f t="shared" ref="F39" si="5">SUM(I39,L39)*1000000/$E39</f>
        <v>922776.44595984311</v>
      </c>
      <c r="G39" s="1913">
        <f t="shared" ref="G39" si="6">J39*1000000/$E39</f>
        <v>8644.9091938353449</v>
      </c>
      <c r="H39" s="1913">
        <f t="shared" ref="H39" si="7">K39*1000000/$E39</f>
        <v>0</v>
      </c>
      <c r="I39" s="691">
        <v>7377.9873008979794</v>
      </c>
      <c r="J39" s="691">
        <v>69.119699065562187</v>
      </c>
      <c r="K39" s="3132"/>
      <c r="L39" s="3093" t="s">
        <v>2146</v>
      </c>
    </row>
    <row r="40" spans="2:12" ht="18" customHeight="1" x14ac:dyDescent="0.2">
      <c r="B40" s="1468" t="s">
        <v>385</v>
      </c>
      <c r="C40" s="2170"/>
      <c r="D40" s="2170"/>
      <c r="E40" s="3025"/>
      <c r="F40" s="3025"/>
      <c r="G40" s="3025"/>
      <c r="H40" s="3025"/>
      <c r="I40" s="3162">
        <f>IF(SUM(I41:I43)=0,"NO",SUM(I41:I43))</f>
        <v>6941.2744285714307</v>
      </c>
      <c r="J40" s="3162">
        <f>IF(SUM(J41:J43)=0,"NO",SUM(J41:J43))</f>
        <v>17.276511670751187</v>
      </c>
      <c r="K40" s="1913">
        <f>IF(SUM(K41:K43)=0,"NO",SUM(K41:K43))</f>
        <v>0.24427446305247805</v>
      </c>
      <c r="L40" s="3065" t="str">
        <f>IF(SUM(L41:L43)=0,"NO",SUM(L41:L43))</f>
        <v>NO</v>
      </c>
    </row>
    <row r="41" spans="2:12" ht="18" customHeight="1" x14ac:dyDescent="0.2">
      <c r="B41" s="1470" t="s">
        <v>386</v>
      </c>
      <c r="C41" s="277" t="s">
        <v>2169</v>
      </c>
      <c r="D41" s="277" t="s">
        <v>2170</v>
      </c>
      <c r="E41" s="691">
        <v>22.777406249999999</v>
      </c>
      <c r="F41" s="1913">
        <f t="shared" ref="F41:F42" si="8">SUM(I41,L41)*1000000/$E41</f>
        <v>21669606.414094172</v>
      </c>
      <c r="G41" s="1913">
        <f t="shared" ref="G41:H42" si="9">J41*1000000/$E41</f>
        <v>260708.08380563531</v>
      </c>
      <c r="H41" s="1913">
        <f t="shared" si="9"/>
        <v>608.13798291265698</v>
      </c>
      <c r="I41" s="692">
        <v>493.57742857142864</v>
      </c>
      <c r="J41" s="692">
        <v>5.9382539375000007</v>
      </c>
      <c r="K41" s="692">
        <v>1.3851805892857144E-2</v>
      </c>
      <c r="L41" s="3156" t="s">
        <v>2146</v>
      </c>
    </row>
    <row r="42" spans="2:12" ht="18" customHeight="1" x14ac:dyDescent="0.2">
      <c r="B42" s="1470" t="s">
        <v>387</v>
      </c>
      <c r="C42" s="277" t="s">
        <v>2169</v>
      </c>
      <c r="D42" s="277" t="s">
        <v>2170</v>
      </c>
      <c r="E42" s="691">
        <v>137934.31761869401</v>
      </c>
      <c r="F42" s="1913">
        <f t="shared" si="8"/>
        <v>46744.69059849219</v>
      </c>
      <c r="G42" s="1913">
        <f t="shared" si="9"/>
        <v>82.200411971404364</v>
      </c>
      <c r="H42" s="1913">
        <f t="shared" si="9"/>
        <v>1.6705245013543468</v>
      </c>
      <c r="I42" s="691">
        <v>6447.6970000000019</v>
      </c>
      <c r="J42" s="691">
        <v>11.338257733251186</v>
      </c>
      <c r="K42" s="691">
        <v>0.2304226571596209</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38.47807627693858</v>
      </c>
      <c r="M9" s="3358">
        <f>100*C10/SUM(C10,'Table1.A(a)s3'!C16)</f>
        <v>61.52192372306142</v>
      </c>
    </row>
    <row r="10" spans="1:13" ht="18" customHeight="1" thickTop="1" thickBot="1" x14ac:dyDescent="0.25">
      <c r="B10" s="223" t="s">
        <v>430</v>
      </c>
      <c r="C10" s="3338">
        <f>IF(SUM(C11:C13)=0,"NO",SUM(C11:C13))</f>
        <v>207126.16569858498</v>
      </c>
      <c r="D10" s="3339"/>
      <c r="E10" s="3340"/>
      <c r="F10" s="3340"/>
      <c r="G10" s="3338">
        <f>IF(SUM(G11:G13)=0,"NO",SUM(G11:G13))</f>
        <v>14415.981132621524</v>
      </c>
      <c r="H10" s="3338">
        <f>IF(SUM(H11:H13)=0,"NO",SUM(H11:H13))</f>
        <v>3.3506509302325571E-2</v>
      </c>
      <c r="I10" s="1154">
        <f>IF(SUM(I11:I13)=0,"NO",SUM(I11:I13))</f>
        <v>7.160068123659262E-2</v>
      </c>
      <c r="J10" s="4"/>
      <c r="K10" s="68" t="s">
        <v>431</v>
      </c>
      <c r="L10" s="3359">
        <f>100-M10</f>
        <v>42.448309774161665</v>
      </c>
      <c r="M10" s="3360">
        <f>100*C14/SUM(C14,'Table1.A(a)s3'!C88)</f>
        <v>57.551690225838335</v>
      </c>
    </row>
    <row r="11" spans="1:13" ht="18" customHeight="1" x14ac:dyDescent="0.2">
      <c r="B11" s="1258" t="s">
        <v>178</v>
      </c>
      <c r="C11" s="3341">
        <v>207126.16569858498</v>
      </c>
      <c r="D11" s="116">
        <f>IF(G11="NO","NA",G11*1000/$C11)</f>
        <v>69.600000000000051</v>
      </c>
      <c r="E11" s="116">
        <f t="shared" ref="E11:F13" si="0">IF(H11="NO","NA",H11*1000000/$C11)</f>
        <v>0.16176859736343044</v>
      </c>
      <c r="F11" s="116">
        <f t="shared" si="0"/>
        <v>0.34568631633333891</v>
      </c>
      <c r="G11" s="3062">
        <v>14415.981132621524</v>
      </c>
      <c r="H11" s="3062">
        <v>3.3506509302325571E-2</v>
      </c>
      <c r="I11" s="3063">
        <v>7.160068123659262E-2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34180.284951603986</v>
      </c>
      <c r="D14" s="3348"/>
      <c r="E14" s="3349"/>
      <c r="F14" s="3350"/>
      <c r="G14" s="3347">
        <f>IF(SUM(G15:G18,G20:G22)=0,"NO",SUM(G15:G18,G20:G22))</f>
        <v>2506.5514289171228</v>
      </c>
      <c r="H14" s="3347">
        <f>IF(SUM(H15:H18,H20:H22)=0,"NO",SUM(H15:H18,H20:H22))</f>
        <v>0.2392619946612283</v>
      </c>
      <c r="I14" s="1155">
        <f>IF(SUM(I15:I18,I20:I22)=0,"NO",SUM(I15:I18,I20:I22))</f>
        <v>6.8360569903208088E-2</v>
      </c>
      <c r="J14" s="4"/>
      <c r="K14" s="1047"/>
      <c r="L14" s="1047"/>
      <c r="M14" s="1047"/>
    </row>
    <row r="15" spans="1:13" ht="18" customHeight="1" x14ac:dyDescent="0.2">
      <c r="B15" s="1260" t="s">
        <v>190</v>
      </c>
      <c r="C15" s="143">
        <v>31716.083999999999</v>
      </c>
      <c r="D15" s="116">
        <f>IF(G15="NO","NA",G15*1000/$C15)</f>
        <v>73.600000000000122</v>
      </c>
      <c r="E15" s="116">
        <f t="shared" ref="E15:F17" si="1">IF(H15="NO","NA",H15*1000000/$C15)</f>
        <v>7.0000000000000107</v>
      </c>
      <c r="F15" s="116">
        <f t="shared" si="1"/>
        <v>2.0000000000000031</v>
      </c>
      <c r="G15" s="3064">
        <v>2334.3037824000035</v>
      </c>
      <c r="H15" s="3064">
        <v>0.22201258800000034</v>
      </c>
      <c r="I15" s="135">
        <v>6.3432168000000094E-2</v>
      </c>
      <c r="J15" s="4"/>
      <c r="K15" s="1047"/>
      <c r="L15" s="1047"/>
      <c r="M15" s="1047"/>
    </row>
    <row r="16" spans="1:13" ht="18" customHeight="1" x14ac:dyDescent="0.2">
      <c r="B16" s="1260" t="s">
        <v>191</v>
      </c>
      <c r="C16" s="3351">
        <v>2464.2009516039902</v>
      </c>
      <c r="D16" s="116">
        <f>IF(G16="NO","NA",G16*1000/$C16)</f>
        <v>69.900000000000119</v>
      </c>
      <c r="E16" s="116">
        <f t="shared" si="1"/>
        <v>7.0000000000000115</v>
      </c>
      <c r="F16" s="116">
        <f t="shared" si="1"/>
        <v>2.0000000000000031</v>
      </c>
      <c r="G16" s="3064">
        <v>172.24764651711922</v>
      </c>
      <c r="H16" s="3064">
        <v>1.724940666122796E-2</v>
      </c>
      <c r="I16" s="135">
        <v>4.9284019032079891E-3</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19841.843270344536</v>
      </c>
      <c r="D10" s="2913">
        <f t="shared" ref="D10:N10" si="0">IF(SUM(D11,D16,D27,D35,D39,D45,D52,D57)=0,"NO",SUM(D11,D16,D27,D35,D39,D45,D52,D57))</f>
        <v>2.9530858210214426</v>
      </c>
      <c r="E10" s="2913">
        <f t="shared" si="0"/>
        <v>6.1606316530955461</v>
      </c>
      <c r="F10" s="2913">
        <f t="shared" si="0"/>
        <v>9891.6117285115197</v>
      </c>
      <c r="G10" s="2913">
        <f t="shared" si="0"/>
        <v>212.24369299342177</v>
      </c>
      <c r="H10" s="2913" t="str">
        <f t="shared" si="0"/>
        <v>NO</v>
      </c>
      <c r="I10" s="2913">
        <f t="shared" si="0"/>
        <v>6.3712894659198518E-3</v>
      </c>
      <c r="J10" s="2913" t="str">
        <f t="shared" si="0"/>
        <v>NO</v>
      </c>
      <c r="K10" s="2913">
        <f t="shared" si="0"/>
        <v>7.4038640463231848</v>
      </c>
      <c r="L10" s="2914">
        <f t="shared" si="0"/>
        <v>17.572557186831258</v>
      </c>
      <c r="M10" s="2915">
        <f t="shared" si="0"/>
        <v>244.977241284043</v>
      </c>
      <c r="N10" s="2916">
        <f t="shared" si="0"/>
        <v>1441.6179053776123</v>
      </c>
      <c r="O10" s="3020">
        <f t="shared" ref="O10:O58" si="1">IF(SUM(C10:J10)=0,"NO",SUM(C10,F10:H10)+28*SUM(D10)+265*SUM(E10)+23500*SUM(I10)+16100*SUM(J10))</f>
        <v>31810.677785357515</v>
      </c>
    </row>
    <row r="11" spans="1:15" ht="18" customHeight="1" x14ac:dyDescent="0.2">
      <c r="B11" s="1263" t="s">
        <v>444</v>
      </c>
      <c r="C11" s="2137">
        <f>IF(SUM(C12:C15)=0,"NO",SUM(C12:C15))</f>
        <v>5522.0794493082831</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5522.0794493082831</v>
      </c>
    </row>
    <row r="12" spans="1:15" ht="18" customHeight="1" x14ac:dyDescent="0.2">
      <c r="B12" s="1264" t="s">
        <v>445</v>
      </c>
      <c r="C12" s="2920">
        <f>'Table2(I).A-H'!H11</f>
        <v>2941.7854365777002</v>
      </c>
      <c r="D12" s="2136"/>
      <c r="E12" s="2136"/>
      <c r="F12" s="628"/>
      <c r="G12" s="628"/>
      <c r="H12" s="2135"/>
      <c r="I12" s="628"/>
      <c r="J12" s="2135"/>
      <c r="K12" s="2135"/>
      <c r="L12" s="2135"/>
      <c r="M12" s="2135"/>
      <c r="N12" s="2919" t="s">
        <v>2146</v>
      </c>
      <c r="O12" s="2934">
        <f t="shared" si="1"/>
        <v>2941.7854365777002</v>
      </c>
    </row>
    <row r="13" spans="1:15" ht="18" customHeight="1" x14ac:dyDescent="0.2">
      <c r="B13" s="1264" t="s">
        <v>446</v>
      </c>
      <c r="C13" s="1878">
        <f>'Table2(I).A-H'!H12</f>
        <v>1025.6944492443363</v>
      </c>
      <c r="D13" s="2108"/>
      <c r="E13" s="2108"/>
      <c r="F13" s="628"/>
      <c r="G13" s="628"/>
      <c r="H13" s="2135"/>
      <c r="I13" s="628"/>
      <c r="J13" s="2135"/>
      <c r="K13" s="628"/>
      <c r="L13" s="628"/>
      <c r="M13" s="628"/>
      <c r="N13" s="1838"/>
      <c r="O13" s="1880">
        <f t="shared" si="1"/>
        <v>1025.6944492443363</v>
      </c>
    </row>
    <row r="14" spans="1:15" ht="18" customHeight="1" x14ac:dyDescent="0.2">
      <c r="B14" s="1264" t="s">
        <v>447</v>
      </c>
      <c r="C14" s="1878">
        <f>'Table2(I).A-H'!H13</f>
        <v>81.483027606164995</v>
      </c>
      <c r="D14" s="2108"/>
      <c r="E14" s="2108"/>
      <c r="F14" s="628"/>
      <c r="G14" s="628"/>
      <c r="H14" s="2135"/>
      <c r="I14" s="628"/>
      <c r="J14" s="2135"/>
      <c r="K14" s="628"/>
      <c r="L14" s="628"/>
      <c r="M14" s="628"/>
      <c r="N14" s="1838"/>
      <c r="O14" s="1880">
        <f t="shared" si="1"/>
        <v>81.483027606164995</v>
      </c>
    </row>
    <row r="15" spans="1:15" ht="18" customHeight="1" thickBot="1" x14ac:dyDescent="0.25">
      <c r="B15" s="1264" t="s">
        <v>448</v>
      </c>
      <c r="C15" s="1878">
        <f>'Table2(I).A-H'!H14</f>
        <v>1473.1165358800822</v>
      </c>
      <c r="D15" s="1879"/>
      <c r="E15" s="1879"/>
      <c r="F15" s="3021"/>
      <c r="G15" s="3021"/>
      <c r="H15" s="3021"/>
      <c r="I15" s="3021"/>
      <c r="J15" s="3021"/>
      <c r="K15" s="2606" t="s">
        <v>2146</v>
      </c>
      <c r="L15" s="2606" t="s">
        <v>2146</v>
      </c>
      <c r="M15" s="2606" t="s">
        <v>2146</v>
      </c>
      <c r="N15" s="2607" t="s">
        <v>2146</v>
      </c>
      <c r="O15" s="1880">
        <f t="shared" si="1"/>
        <v>1473.1165358800822</v>
      </c>
    </row>
    <row r="16" spans="1:15" ht="18" customHeight="1" x14ac:dyDescent="0.2">
      <c r="B16" s="1265" t="s">
        <v>449</v>
      </c>
      <c r="C16" s="2137">
        <f>IF(SUM(C17:C26)=0,"NO",SUM(C17:C26))</f>
        <v>3267.9236320572513</v>
      </c>
      <c r="D16" s="2137">
        <f t="shared" ref="D16:N16" si="3">IF(SUM(D17:D26)=0,"NO",SUM(D17:D26))</f>
        <v>0.43359999999999999</v>
      </c>
      <c r="E16" s="2137">
        <f t="shared" si="3"/>
        <v>6.1034972207218603</v>
      </c>
      <c r="F16" s="2138" t="str">
        <f t="shared" si="3"/>
        <v>NO</v>
      </c>
      <c r="G16" s="2138" t="str">
        <f t="shared" si="3"/>
        <v>NO</v>
      </c>
      <c r="H16" s="2138" t="str">
        <f t="shared" si="3"/>
        <v>NO</v>
      </c>
      <c r="I16" s="2138" t="str">
        <f t="shared" si="3"/>
        <v>NO</v>
      </c>
      <c r="J16" s="2138" t="str">
        <f t="shared" si="3"/>
        <v>NO</v>
      </c>
      <c r="K16" s="2920" t="str">
        <f t="shared" si="3"/>
        <v>NO</v>
      </c>
      <c r="L16" s="2137" t="str">
        <f t="shared" si="3"/>
        <v>NO</v>
      </c>
      <c r="M16" s="2137">
        <f t="shared" si="3"/>
        <v>2.8425606806999988</v>
      </c>
      <c r="N16" s="2918" t="str">
        <f t="shared" si="3"/>
        <v>NO</v>
      </c>
      <c r="O16" s="2941">
        <f t="shared" si="1"/>
        <v>4897.4911955485441</v>
      </c>
    </row>
    <row r="17" spans="2:15" ht="18" customHeight="1" x14ac:dyDescent="0.2">
      <c r="B17" s="1266" t="s">
        <v>450</v>
      </c>
      <c r="C17" s="2920">
        <f>SUM('Table2(I).A-H'!H23,'Table2(I).A-H'!K23:L23)</f>
        <v>2416.7073964532556</v>
      </c>
      <c r="D17" s="2139" t="str">
        <f>'Table2(I).A-H'!I23</f>
        <v>NO</v>
      </c>
      <c r="E17" s="2139" t="str">
        <f>'Table2(I).A-H'!J23</f>
        <v>NO</v>
      </c>
      <c r="F17" s="2135"/>
      <c r="G17" s="2135"/>
      <c r="H17" s="2135"/>
      <c r="I17" s="2135"/>
      <c r="J17" s="2135"/>
      <c r="K17" s="692" t="s">
        <v>2146</v>
      </c>
      <c r="L17" s="692" t="s">
        <v>2146</v>
      </c>
      <c r="M17" s="692" t="s">
        <v>2146</v>
      </c>
      <c r="N17" s="692" t="s">
        <v>2146</v>
      </c>
      <c r="O17" s="2934">
        <f t="shared" si="1"/>
        <v>2416.7073964532556</v>
      </c>
    </row>
    <row r="18" spans="2:15" ht="18" customHeight="1" x14ac:dyDescent="0.2">
      <c r="B18" s="1264" t="s">
        <v>451</v>
      </c>
      <c r="C18" s="1910"/>
      <c r="D18" s="2136"/>
      <c r="E18" s="2139">
        <f>'Table2(I).A-H'!J24</f>
        <v>6.1034972207218603</v>
      </c>
      <c r="F18" s="628"/>
      <c r="G18" s="628"/>
      <c r="H18" s="2135"/>
      <c r="I18" s="628"/>
      <c r="J18" s="2135"/>
      <c r="K18" s="692" t="s">
        <v>2146</v>
      </c>
      <c r="L18" s="628"/>
      <c r="M18" s="628"/>
      <c r="N18" s="1838"/>
      <c r="O18" s="2934">
        <f t="shared" si="1"/>
        <v>1617.4267634912931</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831.97639668600004</v>
      </c>
      <c r="D22" s="1914"/>
      <c r="E22" s="628"/>
      <c r="F22" s="628"/>
      <c r="G22" s="628"/>
      <c r="H22" s="2135"/>
      <c r="I22" s="628"/>
      <c r="J22" s="2135"/>
      <c r="K22" s="1914"/>
      <c r="L22" s="1914"/>
      <c r="M22" s="1914"/>
      <c r="N22" s="2921"/>
      <c r="O22" s="1880">
        <f t="shared" si="1"/>
        <v>831.97639668600004</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t="str">
        <f>'Table2(I).A-H'!H35</f>
        <v>NO</v>
      </c>
      <c r="D24" s="1878">
        <f>'Table2(I).A-H'!I35</f>
        <v>0.43359999999999999</v>
      </c>
      <c r="E24" s="628"/>
      <c r="F24" s="628"/>
      <c r="G24" s="628"/>
      <c r="H24" s="2135"/>
      <c r="I24" s="628"/>
      <c r="J24" s="2135"/>
      <c r="K24" s="692" t="s">
        <v>2146</v>
      </c>
      <c r="L24" s="692" t="s">
        <v>2146</v>
      </c>
      <c r="M24" s="691">
        <v>2.8425606806999988</v>
      </c>
      <c r="N24" s="692" t="s">
        <v>2146</v>
      </c>
      <c r="O24" s="1880">
        <f t="shared" si="1"/>
        <v>12.140799999999999</v>
      </c>
    </row>
    <row r="25" spans="2:15" ht="18" customHeight="1" x14ac:dyDescent="0.2">
      <c r="B25" s="1264" t="s">
        <v>458</v>
      </c>
      <c r="C25" s="1914"/>
      <c r="D25" s="1914"/>
      <c r="E25" s="628"/>
      <c r="F25" s="2140" t="str">
        <f>'Table2(II)'!W40</f>
        <v>NO</v>
      </c>
      <c r="G25" s="2140" t="str">
        <f>'Table2(II)'!AH40</f>
        <v>NO</v>
      </c>
      <c r="H25" s="2139" t="str">
        <f>'Table2(II)'!AI40</f>
        <v>NO</v>
      </c>
      <c r="I25" s="2140" t="str">
        <f>'Table2(II)'!AJ40</f>
        <v>NO</v>
      </c>
      <c r="J25" s="2139" t="str">
        <f>'Table2(II)'!AK40</f>
        <v>NO</v>
      </c>
      <c r="K25" s="1914"/>
      <c r="L25" s="1914"/>
      <c r="M25" s="1914"/>
      <c r="N25" s="2921"/>
      <c r="O25" s="1880" t="str">
        <f t="shared" si="1"/>
        <v>NO</v>
      </c>
    </row>
    <row r="26" spans="2:15" ht="18" customHeight="1" thickBot="1" x14ac:dyDescent="0.25">
      <c r="B26" s="1264" t="s">
        <v>2110</v>
      </c>
      <c r="C26" s="1878">
        <f>'Table2(I).A-H'!H47</f>
        <v>19.239838917995797</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19.239838917995797</v>
      </c>
    </row>
    <row r="27" spans="2:15" ht="18" customHeight="1" x14ac:dyDescent="0.2">
      <c r="B27" s="1263" t="s">
        <v>459</v>
      </c>
      <c r="C27" s="2137">
        <f>IF(SUM(C28:C34)=0,"NO",SUM(C28:C34))</f>
        <v>10659.504142456713</v>
      </c>
      <c r="D27" s="2137">
        <f t="shared" ref="D27:N27" si="4">IF(SUM(D28:D34)=0,"NO",SUM(D28:D34))</f>
        <v>2.5194858210214424</v>
      </c>
      <c r="E27" s="2137">
        <f t="shared" si="4"/>
        <v>5.7134432373685706E-2</v>
      </c>
      <c r="F27" s="2138" t="str">
        <f t="shared" si="4"/>
        <v>NO</v>
      </c>
      <c r="G27" s="2138">
        <f t="shared" si="4"/>
        <v>212.24369299342177</v>
      </c>
      <c r="H27" s="2138" t="str">
        <f t="shared" si="4"/>
        <v>NO</v>
      </c>
      <c r="I27" s="2138" t="str">
        <f t="shared" si="4"/>
        <v>NO</v>
      </c>
      <c r="J27" s="2138" t="str">
        <f t="shared" si="4"/>
        <v>NO</v>
      </c>
      <c r="K27" s="2137">
        <f t="shared" si="4"/>
        <v>7.4038640463231848</v>
      </c>
      <c r="L27" s="2137">
        <f t="shared" si="4"/>
        <v>17.572557186831258</v>
      </c>
      <c r="M27" s="2917">
        <f t="shared" si="4"/>
        <v>6.9536261964107129E-2</v>
      </c>
      <c r="N27" s="2918">
        <f t="shared" si="4"/>
        <v>1441.6179053776123</v>
      </c>
      <c r="O27" s="2941">
        <f t="shared" si="1"/>
        <v>10957.434063017761</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2251.9732371955861</v>
      </c>
      <c r="D30" s="1879"/>
      <c r="E30" s="628"/>
      <c r="F30" s="628"/>
      <c r="G30" s="2140">
        <f>SUM('Table2(II)'!X41:Y41)</f>
        <v>212.24369299342177</v>
      </c>
      <c r="H30" s="2136"/>
      <c r="I30" s="2142" t="s">
        <v>2146</v>
      </c>
      <c r="J30" s="2135"/>
      <c r="K30" s="691" t="s">
        <v>2147</v>
      </c>
      <c r="L30" s="691" t="s">
        <v>2147</v>
      </c>
      <c r="M30" s="691" t="s">
        <v>2147</v>
      </c>
      <c r="N30" s="2911">
        <v>40.088605600000001</v>
      </c>
      <c r="O30" s="1880">
        <f t="shared" si="1"/>
        <v>2464.2169301890081</v>
      </c>
    </row>
    <row r="31" spans="2:15" ht="18" customHeight="1" x14ac:dyDescent="0.2">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8407.5309052611283</v>
      </c>
      <c r="D34" s="1881">
        <f>'Table2(I).A-H'!I67</f>
        <v>2.5194858210214424</v>
      </c>
      <c r="E34" s="1881">
        <f>'Table2(I).A-H'!J67</f>
        <v>5.7134432373685706E-2</v>
      </c>
      <c r="F34" s="2146" t="s">
        <v>2146</v>
      </c>
      <c r="G34" s="2146" t="s">
        <v>2146</v>
      </c>
      <c r="H34" s="2146" t="s">
        <v>2146</v>
      </c>
      <c r="I34" s="2146" t="s">
        <v>2146</v>
      </c>
      <c r="J34" s="2146" t="s">
        <v>2146</v>
      </c>
      <c r="K34" s="2606">
        <v>7.4038640463231848</v>
      </c>
      <c r="L34" s="2606">
        <v>17.572557186831258</v>
      </c>
      <c r="M34" s="2606">
        <v>6.9536261964107129E-2</v>
      </c>
      <c r="N34" s="2607">
        <v>1401.5292997776123</v>
      </c>
      <c r="O34" s="1882">
        <f t="shared" si="1"/>
        <v>8493.217132828755</v>
      </c>
    </row>
    <row r="35" spans="2:15" ht="18" customHeight="1" x14ac:dyDescent="0.2">
      <c r="B35" s="2470" t="s">
        <v>2014</v>
      </c>
      <c r="C35" s="2920">
        <f>IF(SUM(C36:C38)=0,"NO",SUM(C36:C38))</f>
        <v>173.43878034000002</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192.58852465921933</v>
      </c>
      <c r="N35" s="2048" t="str">
        <f t="shared" ref="N35" si="7">IF(SUM(N36:N38)=0,"NO",SUM(N36:N38))</f>
        <v>NO</v>
      </c>
      <c r="O35" s="2934">
        <f t="shared" si="1"/>
        <v>173.43878034000002</v>
      </c>
    </row>
    <row r="36" spans="2:15" ht="18" customHeight="1" x14ac:dyDescent="0.2">
      <c r="B36" s="1270" t="s">
        <v>466</v>
      </c>
      <c r="C36" s="1878">
        <f>'Table2(I).A-H'!H73</f>
        <v>173.43878034000002</v>
      </c>
      <c r="D36" s="2140" t="str">
        <f>'Table2(I).A-H'!I73</f>
        <v>NO</v>
      </c>
      <c r="E36" s="2140" t="str">
        <f>'Table2(I).A-H'!J73</f>
        <v>NO</v>
      </c>
      <c r="F36" s="628"/>
      <c r="G36" s="628"/>
      <c r="H36" s="2135"/>
      <c r="I36" s="628"/>
      <c r="J36" s="2135"/>
      <c r="K36" s="2147" t="s">
        <v>2147</v>
      </c>
      <c r="L36" s="2147" t="s">
        <v>2147</v>
      </c>
      <c r="M36" s="691" t="s">
        <v>2147</v>
      </c>
      <c r="N36" s="2141" t="s">
        <v>2147</v>
      </c>
      <c r="O36" s="1880">
        <f t="shared" si="1"/>
        <v>173.43878034000002</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192.58852465921933</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9891.6117285115197</v>
      </c>
      <c r="G45" s="2137" t="str">
        <f t="shared" ref="G45:J45" si="9">IF(SUM(G46:G51)=0,"NO",SUM(G46:G51))</f>
        <v>NO</v>
      </c>
      <c r="H45" s="2920" t="str">
        <f t="shared" si="9"/>
        <v>NO</v>
      </c>
      <c r="I45" s="2920" t="str">
        <f t="shared" si="9"/>
        <v>NO</v>
      </c>
      <c r="J45" s="2139" t="str">
        <f t="shared" si="9"/>
        <v>NO</v>
      </c>
      <c r="K45" s="1929"/>
      <c r="L45" s="1929"/>
      <c r="M45" s="1929"/>
      <c r="N45" s="2153"/>
      <c r="O45" s="2941">
        <f t="shared" si="1"/>
        <v>9891.6117285115197</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9405.8830441186128</v>
      </c>
      <c r="G46" s="1878" t="s">
        <v>2146</v>
      </c>
      <c r="H46" s="1878" t="s">
        <v>2146</v>
      </c>
      <c r="I46" s="1878" t="s">
        <v>2146</v>
      </c>
      <c r="J46" s="2139" t="str">
        <f t="shared" ref="J46" si="10">IF(SUM(J47:J52)=0,"NO",SUM(J47:J52))</f>
        <v>NO</v>
      </c>
      <c r="K46" s="628"/>
      <c r="L46" s="628"/>
      <c r="M46" s="628"/>
      <c r="N46" s="1838"/>
      <c r="O46" s="1880">
        <f t="shared" si="1"/>
        <v>9405.8830441186128</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64.719494899026472</v>
      </c>
      <c r="G47" s="1878" t="s">
        <v>2146</v>
      </c>
      <c r="H47" s="1878" t="s">
        <v>2146</v>
      </c>
      <c r="I47" s="1878" t="s">
        <v>2146</v>
      </c>
      <c r="J47" s="2139" t="str">
        <f t="shared" ref="J47" si="11">IF(SUM(J48:J53)=0,"NO",SUM(J48:J53))</f>
        <v>NO</v>
      </c>
      <c r="K47" s="628"/>
      <c r="L47" s="628"/>
      <c r="M47" s="628"/>
      <c r="N47" s="1838"/>
      <c r="O47" s="1880">
        <f t="shared" si="1"/>
        <v>64.719494899026472</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70.587813666893226</v>
      </c>
      <c r="G48" s="1878" t="s">
        <v>2146</v>
      </c>
      <c r="H48" s="1878" t="s">
        <v>2146</v>
      </c>
      <c r="I48" s="1878" t="s">
        <v>2146</v>
      </c>
      <c r="J48" s="2139" t="str">
        <f t="shared" ref="J48" si="12">IF(SUM(J49:J54)=0,"NO",SUM(J49:J54))</f>
        <v>NO</v>
      </c>
      <c r="K48" s="628"/>
      <c r="L48" s="628"/>
      <c r="M48" s="628"/>
      <c r="N48" s="1838"/>
      <c r="O48" s="1880">
        <f t="shared" si="1"/>
        <v>70.587813666893226</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119.3431459005911</v>
      </c>
      <c r="G49" s="1878" t="s">
        <v>2146</v>
      </c>
      <c r="H49" s="1878" t="s">
        <v>2146</v>
      </c>
      <c r="I49" s="1878" t="s">
        <v>2146</v>
      </c>
      <c r="J49" s="2139" t="str">
        <f t="shared" ref="J49" si="13">IF(SUM(J50:J55)=0,"NO",SUM(J50:J55))</f>
        <v>NO</v>
      </c>
      <c r="K49" s="628"/>
      <c r="L49" s="628"/>
      <c r="M49" s="628"/>
      <c r="N49" s="1838"/>
      <c r="O49" s="1880">
        <f t="shared" si="1"/>
        <v>119.3431459005911</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231.07822992639635</v>
      </c>
      <c r="G50" s="1878" t="s">
        <v>2146</v>
      </c>
      <c r="H50" s="1878" t="s">
        <v>2146</v>
      </c>
      <c r="I50" s="1878" t="s">
        <v>2146</v>
      </c>
      <c r="J50" s="2139" t="str">
        <f t="shared" ref="J50" si="14">IF(SUM(J51:J56)=0,"NO",SUM(J51:J56))</f>
        <v>NO</v>
      </c>
      <c r="K50" s="628"/>
      <c r="L50" s="628"/>
      <c r="M50" s="628"/>
      <c r="N50" s="1838"/>
      <c r="O50" s="1880">
        <f t="shared" si="1"/>
        <v>231.07822992639635</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6.3712894659198518E-3</v>
      </c>
      <c r="J52" s="2139" t="str">
        <f t="shared" si="16"/>
        <v>NO</v>
      </c>
      <c r="K52" s="2139" t="str">
        <f t="shared" si="16"/>
        <v>NO</v>
      </c>
      <c r="L52" s="2139" t="str">
        <f t="shared" si="16"/>
        <v>NO</v>
      </c>
      <c r="M52" s="2139" t="str">
        <f t="shared" si="16"/>
        <v>NO</v>
      </c>
      <c r="N52" s="2048" t="str">
        <f t="shared" si="16"/>
        <v>NO</v>
      </c>
      <c r="O52" s="2934">
        <f t="shared" si="1"/>
        <v>149.72530244911653</v>
      </c>
    </row>
    <row r="53" spans="2:15" ht="18" customHeight="1" x14ac:dyDescent="0.2">
      <c r="B53" s="1270" t="s">
        <v>481</v>
      </c>
      <c r="C53" s="2135"/>
      <c r="D53" s="2135"/>
      <c r="E53" s="2135"/>
      <c r="F53" s="2920" t="s">
        <v>2146</v>
      </c>
      <c r="G53" s="2920" t="s">
        <v>2146</v>
      </c>
      <c r="H53" s="2920" t="s">
        <v>2146</v>
      </c>
      <c r="I53" s="2920">
        <f>SUM('Table2(II).B-Hs2'!J163:M163)/1000</f>
        <v>5.5075027691658856E-3</v>
      </c>
      <c r="J53" s="2920" t="s">
        <v>2146</v>
      </c>
      <c r="K53" s="2135"/>
      <c r="L53" s="2135"/>
      <c r="M53" s="2135"/>
      <c r="N53" s="2149"/>
      <c r="O53" s="2934">
        <f t="shared" si="1"/>
        <v>129.42631507539832</v>
      </c>
    </row>
    <row r="54" spans="2:15" ht="18" customHeight="1" x14ac:dyDescent="0.2">
      <c r="B54" s="1270" t="s">
        <v>482</v>
      </c>
      <c r="C54" s="2135"/>
      <c r="D54" s="2135"/>
      <c r="E54" s="2135"/>
      <c r="F54" s="2135"/>
      <c r="G54" s="2920" t="s">
        <v>2146</v>
      </c>
      <c r="H54" s="3025"/>
      <c r="I54" s="2920">
        <f>SUM('Table2(II).B-Hs2'!J165:M165)/1000</f>
        <v>8.6378669675396666E-4</v>
      </c>
      <c r="J54" s="2135"/>
      <c r="K54" s="2135"/>
      <c r="L54" s="2135"/>
      <c r="M54" s="2135"/>
      <c r="N54" s="2149"/>
      <c r="O54" s="2934">
        <f t="shared" si="1"/>
        <v>20.298987373718216</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218.8972661822873</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49.476619682159566</v>
      </c>
      <c r="N57" s="2073" t="str">
        <f>N58</f>
        <v>NA</v>
      </c>
      <c r="O57" s="2941">
        <f t="shared" si="1"/>
        <v>218.8972661822873</v>
      </c>
    </row>
    <row r="58" spans="2:15" ht="18" customHeight="1" thickBot="1" x14ac:dyDescent="0.25">
      <c r="B58" s="2596" t="s">
        <v>2180</v>
      </c>
      <c r="C58" s="2500">
        <f>'Table2(I).A-H'!H97</f>
        <v>218.8972661822873</v>
      </c>
      <c r="D58" s="2500" t="str">
        <f>'Table2(I).A-H'!I97</f>
        <v>NO</v>
      </c>
      <c r="E58" s="2500" t="str">
        <f>'Table2(I).A-H'!J97</f>
        <v>NO</v>
      </c>
      <c r="F58" s="2500" t="s">
        <v>2146</v>
      </c>
      <c r="G58" s="2500" t="s">
        <v>2146</v>
      </c>
      <c r="H58" s="2500" t="s">
        <v>2146</v>
      </c>
      <c r="I58" s="2500" t="s">
        <v>2146</v>
      </c>
      <c r="J58" s="2500" t="s">
        <v>2146</v>
      </c>
      <c r="K58" s="2912" t="s">
        <v>2147</v>
      </c>
      <c r="L58" s="2912" t="s">
        <v>2147</v>
      </c>
      <c r="M58" s="2912">
        <v>49.476619682159566</v>
      </c>
      <c r="N58" s="2922" t="s">
        <v>2147</v>
      </c>
      <c r="O58" s="2925">
        <f t="shared" si="1"/>
        <v>218.8972661822873</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48.981913295241249</v>
      </c>
      <c r="D10" s="2044">
        <f t="shared" ref="D10:X10" si="0">IF(SUM(D11,D16,D20,D26,D33,D37)=0,"NO",SUM(D11,D16,D20,D26,D33,D37))</f>
        <v>377.86047399186106</v>
      </c>
      <c r="E10" s="2044" t="str">
        <f t="shared" si="0"/>
        <v>NO</v>
      </c>
      <c r="F10" s="2044" t="str">
        <f t="shared" si="0"/>
        <v>NO</v>
      </c>
      <c r="G10" s="2044">
        <f t="shared" si="0"/>
        <v>862.43154480549765</v>
      </c>
      <c r="H10" s="2044">
        <f t="shared" si="0"/>
        <v>4.5181825918911187</v>
      </c>
      <c r="I10" s="2044">
        <f t="shared" si="0"/>
        <v>2477.0853295022007</v>
      </c>
      <c r="J10" s="2044" t="str">
        <f t="shared" si="0"/>
        <v>NO</v>
      </c>
      <c r="K10" s="2044">
        <f t="shared" si="0"/>
        <v>577.28683526534314</v>
      </c>
      <c r="L10" s="2044" t="str">
        <f t="shared" si="0"/>
        <v>NO</v>
      </c>
      <c r="M10" s="2044">
        <f t="shared" si="0"/>
        <v>104.96124277551694</v>
      </c>
      <c r="N10" s="2044" t="str">
        <f t="shared" si="0"/>
        <v>NO</v>
      </c>
      <c r="O10" s="2044">
        <f t="shared" si="0"/>
        <v>31.488372832655088</v>
      </c>
      <c r="P10" s="2044" t="str">
        <f t="shared" si="0"/>
        <v>NO</v>
      </c>
      <c r="Q10" s="2044" t="str">
        <f t="shared" si="0"/>
        <v>NO</v>
      </c>
      <c r="R10" s="2044">
        <f t="shared" si="0"/>
        <v>5.2480621387758477</v>
      </c>
      <c r="S10" s="2044" t="str">
        <f t="shared" si="0"/>
        <v>NO</v>
      </c>
      <c r="T10" s="2044">
        <f t="shared" si="0"/>
        <v>96.214472544223852</v>
      </c>
      <c r="U10" s="2044">
        <f t="shared" si="0"/>
        <v>66.47545375782741</v>
      </c>
      <c r="V10" s="2045" t="str">
        <f t="shared" si="0"/>
        <v>NO</v>
      </c>
      <c r="W10" s="2046"/>
      <c r="X10" s="2044">
        <f t="shared" si="0"/>
        <v>26.471530079837621</v>
      </c>
      <c r="Y10" s="2044">
        <f t="shared" ref="Y10" si="1">IF(SUM(Y11,Y16,Y20,Y26,Y33,Y37)=0,"NO",SUM(Y11,Y16,Y20,Y26,Y33,Y37))</f>
        <v>3.3096800508196722</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6.371289465919852</v>
      </c>
      <c r="AK10" s="2048" t="str">
        <f t="shared" si="9"/>
        <v>NO</v>
      </c>
    </row>
    <row r="11" spans="2:37" ht="18" customHeight="1" x14ac:dyDescent="0.2">
      <c r="B11" s="1288" t="s">
        <v>595</v>
      </c>
      <c r="C11" s="2049" t="str">
        <f>IF(SUM(C12,C15)=0,"NO",SUM(C12,C15))</f>
        <v>NO</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t="str">
        <f>IF(SUM(C13:C14)=0,"NO",SUM(C13:C14))</f>
        <v>NO</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t="str">
        <f>'Table2(II).B-Hs1'!G13</f>
        <v>NO</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26.471530079837621</v>
      </c>
      <c r="Y16" s="2050">
        <f t="shared" ref="Y16" si="35">IF(SUM(Y17:Y19)=0,"NO",SUM(Y17:Y19))</f>
        <v>3.3096800508196722</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26.471530079837621</v>
      </c>
      <c r="Y17" s="2050">
        <f>'Table2(II).B-Hs1'!G26</f>
        <v>3.3096800508196722</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48.981913295241249</v>
      </c>
      <c r="D26" s="2069">
        <f t="shared" ref="D26:AK26" si="58">IF(SUM(D27:D32)=0,"NO",SUM(D27:D32))</f>
        <v>377.86047399186106</v>
      </c>
      <c r="E26" s="2069" t="str">
        <f t="shared" si="58"/>
        <v>NO</v>
      </c>
      <c r="F26" s="2069" t="str">
        <f t="shared" si="58"/>
        <v>NO</v>
      </c>
      <c r="G26" s="2069">
        <f t="shared" si="58"/>
        <v>862.43154480549765</v>
      </c>
      <c r="H26" s="2069">
        <f t="shared" si="58"/>
        <v>4.5181825918911187</v>
      </c>
      <c r="I26" s="2069">
        <f t="shared" si="58"/>
        <v>2477.0853295022007</v>
      </c>
      <c r="J26" s="2069" t="str">
        <f t="shared" si="58"/>
        <v>NO</v>
      </c>
      <c r="K26" s="2069">
        <f t="shared" si="58"/>
        <v>577.28683526534314</v>
      </c>
      <c r="L26" s="2069" t="str">
        <f t="shared" si="58"/>
        <v>NO</v>
      </c>
      <c r="M26" s="2069">
        <f t="shared" si="58"/>
        <v>104.96124277551694</v>
      </c>
      <c r="N26" s="2069" t="str">
        <f t="shared" si="58"/>
        <v>NO</v>
      </c>
      <c r="O26" s="2069">
        <f t="shared" si="58"/>
        <v>31.488372832655088</v>
      </c>
      <c r="P26" s="2069" t="str">
        <f t="shared" si="58"/>
        <v>NO</v>
      </c>
      <c r="Q26" s="2069" t="str">
        <f t="shared" si="58"/>
        <v>NO</v>
      </c>
      <c r="R26" s="2069">
        <f t="shared" si="58"/>
        <v>5.2480621387758477</v>
      </c>
      <c r="S26" s="2069" t="str">
        <f t="shared" si="58"/>
        <v>NO</v>
      </c>
      <c r="T26" s="2069">
        <f t="shared" si="58"/>
        <v>96.214472544223852</v>
      </c>
      <c r="U26" s="2069">
        <f t="shared" si="58"/>
        <v>66.47545375782741</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46.576651043047576</v>
      </c>
      <c r="D27" s="2044">
        <f>IF(SUM('Table2(II).B-Hs2'!J14:M14,'Table2(II).B-Hs2'!J27:M27,'Table2(II).B-Hs2'!J40:M40,'Table2(II).B-Hs2'!J53:M53,'Table2(II).B-Hs2'!J66:M66,'Table2(II).B-Hs2'!J79:M79)=0,"NO",SUM('Table2(II).B-Hs2'!J14:M14,'Table2(II).B-Hs2'!J27:M27,'Table2(II).B-Hs2'!J40:M40,'Table2(II).B-Hs2'!J53:M53,'Table2(II).B-Hs2'!J66:M66,'Table2(II).B-Hs2'!J79:M79))</f>
        <v>359.3055937606527</v>
      </c>
      <c r="E27" s="2044" t="s">
        <v>2146</v>
      </c>
      <c r="F27" s="2044" t="str">
        <f>IF(SUM('Table2(II).B-Hs2'!J15:M15,'Table2(II).B-Hs2'!J28:M28,'Table2(II).B-Hs2'!J41:M41,'Table2(II).B-Hs2'!J54:M54,'Table2(II).B-Hs2'!J67:M67,'Table2(II).B-Hs2'!J80:M80)=0,"NO",SUM('Table2(II).B-Hs2'!J15:M15,'Table2(II).B-Hs2'!J28:M28,'Table2(II).B-Hs2'!J41:M41,'Table2(II).B-Hs2'!J54:M54,'Table2(II).B-Hs2'!J67:M67,'Table2(II).B-Hs2'!J80:M80))</f>
        <v>NO</v>
      </c>
      <c r="G27" s="2044">
        <f>IF(SUM('Table2(II).B-Hs2'!J16:M16,'Table2(II).B-Hs2'!J29:M29,'Table2(II).B-Hs2'!J42:M42,'Table2(II).B-Hs2'!J55:M55,'Table2(II).B-Hs2'!J68:M68,'Table2(II).B-Hs2'!J81:M81)=0,"NO",SUM('Table2(II).B-Hs2'!J16:M16,'Table2(II).B-Hs2'!J29:M29,'Table2(II).B-Hs2'!J42:M42,'Table2(II).B-Hs2'!J55:M55,'Table2(II).B-Hs2'!J68:M68,'Table2(II).B-Hs2'!J81:M81))</f>
        <v>820.08174872223037</v>
      </c>
      <c r="H27" s="2044">
        <f>IF(SUM('Table2(II).B-Hs2'!J17:M17,'Table2(II).B-Hs2'!J30:M30,'Table2(II).B-Hs2'!J43:M43,'Table2(II).B-Hs2'!J56:M56,'Table2(II).B-Hs2'!J69:M69,'Table2(II).B-Hs2'!J82:M82)=0,"NO",SUM('Table2(II).B-Hs2'!J17:M17,'Table2(II).B-Hs2'!J30:M30,'Table2(II).B-Hs2'!J43:M43,'Table2(II).B-Hs2'!J56:M56,'Table2(II).B-Hs2'!J69:M69,'Table2(II).B-Hs2'!J82:M82))</f>
        <v>4.2963167376258848</v>
      </c>
      <c r="I27" s="2044">
        <f>IF(SUM('Table2(II).B-Hs2'!J18:M18,'Table2(II).B-Hs2'!J31:M31,'Table2(II).B-Hs2'!J44:M44,'Table2(II).B-Hs2'!J57:M57,'Table2(II).B-Hs2'!J70:M70,'Table2(II).B-Hs2'!J83:M83)=0,"NO",SUM('Table2(II).B-Hs2'!J18:M18,'Table2(II).B-Hs2'!J31:M31,'Table2(II).B-Hs2'!J44:M44,'Table2(II).B-Hs2'!J57:M57,'Table2(II).B-Hs2'!J70:M70,'Table2(II).B-Hs2'!J83:M83))</f>
        <v>2355.4477813198346</v>
      </c>
      <c r="J27" s="2044" t="s">
        <v>2146</v>
      </c>
      <c r="K27" s="2044">
        <f>IF(SUM('Table2(II).B-Hs2'!J19:M19,'Table2(II).B-Hs2'!J32:M32,'Table2(II).B-Hs2'!J45:M45,'Table2(II).B-Hs2'!J58:M58,'Table2(II).B-Hs2'!J71:M71,'Table2(II).B-Hs2'!J84:M84)=0,"NO",SUM('Table2(II).B-Hs2'!J19:M19,'Table2(II).B-Hs2'!J32:M32,'Table2(II).B-Hs2'!J45:M45,'Table2(II).B-Hs2'!J58:M58,'Table2(II).B-Hs2'!J71:M71,'Table2(II).B-Hs2'!J84:M84))</f>
        <v>548.93910157877497</v>
      </c>
      <c r="L27" s="2044" t="s">
        <v>2146</v>
      </c>
      <c r="M27" s="2044">
        <f>IF(SUM('Table2(II).B-Hs2'!J20:M20,'Table2(II).B-Hs2'!J33:M33,'Table2(II).B-Hs2'!J46:M46,'Table2(II).B-Hs2'!J59:M59,'Table2(II).B-Hs2'!J72:M72,'Table2(II).B-Hs2'!J85:M85)=0,"NO",SUM('Table2(II).B-Hs2'!J20:M20,'Table2(II).B-Hs2'!J33:M33,'Table2(II).B-Hs2'!J46:M46,'Table2(II).B-Hs2'!J59:M59,'Table2(II).B-Hs2'!J72:M72,'Table2(II).B-Hs2'!J85:M85))</f>
        <v>99.807109377959065</v>
      </c>
      <c r="N27" s="2044" t="s">
        <v>2146</v>
      </c>
      <c r="O27" s="2044">
        <f>IF(SUM('Table2(II).B-Hs2'!J21:M21,'Table2(II).B-Hs2'!J34:M34,'Table2(II).B-Hs2'!J47:M47,'Table2(II).B-Hs2'!J60:M60,'Table2(II).B-Hs2'!J73:M73,'Table2(II).B-Hs2'!J86:M86)=0,"NO",SUM('Table2(II).B-Hs2'!J21:M21,'Table2(II).B-Hs2'!J34:M34,'Table2(II).B-Hs2'!J47:M47,'Table2(II).B-Hs2'!J60:M60,'Table2(II).B-Hs2'!J73:M73,'Table2(II).B-Hs2'!J86:M86))</f>
        <v>29.942132813387726</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4.9903554688979543</v>
      </c>
      <c r="S27" s="2044" t="s">
        <v>2146</v>
      </c>
      <c r="T27" s="2044">
        <f>IF(SUM('Table2(II).B-Hs2'!J23:M23,'Table2(II).B-Hs2'!J36:M36,'Table2(II).B-Hs2'!J49:M49,'Table2(II).B-Hs2'!J62:M62,'Table2(II).B-Hs2'!J75:M75,'Table2(II).B-Hs2'!J88:M88)=0,"NO",SUM('Table2(II).B-Hs2'!J23:M23,'Table2(II).B-Hs2'!J36:M36,'Table2(II).B-Hs2'!J49:M49,'Table2(II).B-Hs2'!J62:M62,'Table2(II).B-Hs2'!J75:M75,'Table2(II).B-Hs2'!J88:M88))</f>
        <v>91.489850263129142</v>
      </c>
      <c r="U27" s="2044">
        <f>IF(SUM('Table2(II).B-Hs2'!J24:M24,'Table2(II).B-Hs2'!J37:M37,'Table2(II).B-Hs2'!J50:M50,'Table2(II).B-Hs2'!J63:M63,'Table2(II).B-Hs2'!J76:M76,'Table2(II).B-Hs2'!J89:M89)=0,"NO",SUM('Table2(II).B-Hs2'!J24:M24,'Table2(II).B-Hs2'!J37:M37,'Table2(II).B-Hs2'!J50:M50,'Table2(II).B-Hs2'!J63:M63,'Table2(II).B-Hs2'!J76:M76,'Table2(II).B-Hs2'!J89:M89))</f>
        <v>63.211169272707423</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f>IF(SUM('Table2(II).B-Hs2'!J92:M92,'Table2(II).B-Hs2'!J105:M105)=0,"NO",SUM('Table2(II).B-Hs2'!J92:M92,'Table2(II).B-Hs2'!J105:M105))</f>
        <v>0.32048211905836244</v>
      </c>
      <c r="D28" s="2044">
        <f>IF(SUM('Table2(II).B-Hs2'!J93:M93,'Table2(II).B-Hs2'!J106:M106)=0,"NO",SUM('Table2(II).B-Hs2'!J93:M93,'Table2(II).B-Hs2'!J106:M106))</f>
        <v>2.4722906327359389</v>
      </c>
      <c r="E28" s="2044" t="s">
        <v>2146</v>
      </c>
      <c r="F28" s="2044" t="str">
        <f>IF(SUM('Table2(II).B-Hs2'!J94:M94,'Table2(II).B-Hs2'!J107:M107)=0,"NO",SUM('Table2(II).B-Hs2'!J94:M94,'Table2(II).B-Hs2'!J107:M107))</f>
        <v>NO</v>
      </c>
      <c r="G28" s="2044">
        <f>IF(SUM('Table2(II).B-Hs2'!J95:M95,'Table2(II).B-Hs2'!J108:M108)=0,"NO",SUM('Table2(II).B-Hs2'!J95:M95,'Table2(II).B-Hs2'!J108:M108))</f>
        <v>5.6427744534204516</v>
      </c>
      <c r="H28" s="2044">
        <f>IF(SUM('Table2(II).B-Hs2'!J96:M96,'Table2(II).B-Hs2'!J109:M109)=0,"NO",SUM('Table2(II).B-Hs2'!J96:M96,'Table2(II).B-Hs2'!J109:M109))</f>
        <v>2.9561865470913481E-2</v>
      </c>
      <c r="I28" s="2044">
        <f>IF(SUM('Table2(II).B-Hs2'!J97:M97,'Table2(II).B-Hs2'!J110:M110)=0,"NO",SUM('Table2(II).B-Hs2'!J97:M97,'Table2(II).B-Hs2'!J110:M110))</f>
        <v>16.207238592380044</v>
      </c>
      <c r="J28" s="2044" t="s">
        <v>2146</v>
      </c>
      <c r="K28" s="2044">
        <f>IF(SUM('Table2(II).B-Hs2'!J98:M98,'Table2(II).B-Hs2'!J111:M111)=0,"NO",SUM('Table2(II).B-Hs2'!J98:M98,'Table2(II).B-Hs2'!J111:M111))</f>
        <v>3.7771106889021273</v>
      </c>
      <c r="L28" s="2044" t="s">
        <v>2146</v>
      </c>
      <c r="M28" s="2044">
        <f>IF(SUM('Table2(II).B-Hs2'!J99:M99,'Table2(II).B-Hs2'!J112:M112)=0,"NO",SUM('Table2(II).B-Hs2'!J99:M99,'Table2(II).B-Hs2'!J112:M112))</f>
        <v>0.68674739798220519</v>
      </c>
      <c r="N28" s="2044" t="s">
        <v>2146</v>
      </c>
      <c r="O28" s="2044">
        <f>IF(SUM('Table2(II).B-Hs2'!J100:M100,'Table2(II).B-Hs2'!J113:M113)=0,"NO",SUM('Table2(II).B-Hs2'!J100:M100,'Table2(II).B-Hs2'!J113:M113))</f>
        <v>0.20602421939466153</v>
      </c>
      <c r="P28" s="2044" t="s">
        <v>2146</v>
      </c>
      <c r="Q28" s="2044" t="s">
        <v>2146</v>
      </c>
      <c r="R28" s="2044">
        <f>IF(SUM('Table2(II).B-Hs2'!J101:M101,'Table2(II).B-Hs2'!J114:M114)=0,"NO",SUM('Table2(II).B-Hs2'!J101:M101,'Table2(II).B-Hs2'!J114:M114))</f>
        <v>3.4337369899110258E-2</v>
      </c>
      <c r="S28" s="2044" t="s">
        <v>2146</v>
      </c>
      <c r="T28" s="2044">
        <f>IF(SUM('Table2(II).B-Hs2'!J102:M102,'Table2(II).B-Hs2'!J115:M115)=0,"NO",SUM('Table2(II).B-Hs2'!J102:M102,'Table2(II).B-Hs2'!J115:M115))</f>
        <v>0.62951844815035485</v>
      </c>
      <c r="U28" s="2044">
        <f>IF(SUM('Table2(II).B-Hs2'!J103:M103,'Table2(II).B-Hs2'!J116:M116)=0,"NO",SUM('Table2(II).B-Hs2'!J103:M103,'Table2(II).B-Hs2'!J116:M116))</f>
        <v>0.43494001872206328</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f>IF(SUM('Table2(II).B-Hs2'!J118:M118)=0,"NO",SUM('Table2(II).B-Hs2'!J118:M118))</f>
        <v>0.34954123388875613</v>
      </c>
      <c r="D29" s="2044">
        <f>IF(SUM('Table2(II).B-Hs2'!J119:M119)=0,"NO",SUM('Table2(II).B-Hs2'!J119:M119))</f>
        <v>2.6964609471418335</v>
      </c>
      <c r="E29" s="2044" t="s">
        <v>2146</v>
      </c>
      <c r="F29" s="2044" t="str">
        <f>IF(SUM('Table2(II).B-Hs2'!J120:M120)=0,"NO",SUM('Table2(II).B-Hs2'!J120:M120))</f>
        <v>NO</v>
      </c>
      <c r="G29" s="2044">
        <f>IF(SUM('Table2(II).B-Hs2'!J121:M121)=0,"NO",SUM('Table2(II).B-Hs2'!J121:M121))</f>
        <v>6.1544224395413138</v>
      </c>
      <c r="H29" s="2044">
        <f>IF(SUM('Table2(II).B-Hs2'!J122:M122)=0,"NO",SUM('Table2(II).B-Hs2'!J122:M122))</f>
        <v>3.2242332156056333E-2</v>
      </c>
      <c r="I29" s="2044">
        <f>IF(SUM('Table2(II).B-Hs2'!J123:M123)=0,"NO",SUM('Table2(II).B-Hs2'!J123:M123))</f>
        <v>17.676799542374244</v>
      </c>
      <c r="J29" s="2044" t="s">
        <v>2146</v>
      </c>
      <c r="K29" s="2044">
        <f>IF(SUM('Table2(II).B-Hs2'!J124:M124)=0,"NO",SUM('Table2(II).B-Hs2'!J124:M124))</f>
        <v>4.1195931136889117</v>
      </c>
      <c r="L29" s="2044" t="s">
        <v>2146</v>
      </c>
      <c r="M29" s="2044">
        <f>IF(SUM('Table2(II).B-Hs2'!J125:M125)=0,"NO",SUM('Table2(II).B-Hs2'!J125:M125))</f>
        <v>0.74901692976162038</v>
      </c>
      <c r="N29" s="2044" t="s">
        <v>2146</v>
      </c>
      <c r="O29" s="2044">
        <f>IF(SUM('Table2(II).B-Hs2'!J126:M126)=0,"NO",SUM('Table2(II).B-Hs2'!J126:M126))</f>
        <v>0.22470507892848612</v>
      </c>
      <c r="P29" s="2044" t="s">
        <v>2146</v>
      </c>
      <c r="Q29" s="2044" t="s">
        <v>2146</v>
      </c>
      <c r="R29" s="2044">
        <f>IF(SUM('Table2(II).B-Hs2'!J127:M127)=0,"NO",SUM('Table2(II).B-Hs2'!J127:M127))</f>
        <v>3.7450846488081016E-2</v>
      </c>
      <c r="S29" s="2044" t="s">
        <v>2146</v>
      </c>
      <c r="T29" s="2044">
        <f>IF(SUM('Table2(II).B-Hs2'!J128:M128)=0,"NO",SUM('Table2(II).B-Hs2'!J128:M128))</f>
        <v>0.68659885228148532</v>
      </c>
      <c r="U29" s="2044">
        <f>IF(SUM('Table2(II).B-Hs2'!J129:M129)=0,"NO",SUM('Table2(II).B-Hs2'!J129:M129))</f>
        <v>0.47437738884902625</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f>IF(SUM('Table2(II).B-Hs2'!J132:M132)=0,"NO",SUM('Table2(II).B-Hs2'!J132:M132))</f>
        <v>0.59097099495268257</v>
      </c>
      <c r="D30" s="2044">
        <f>IF(SUM('Table2(II).B-Hs2'!J133:M133)=0,"NO",SUM('Table2(II).B-Hs2'!J133:M133))</f>
        <v>4.5589191039206947</v>
      </c>
      <c r="E30" s="2044" t="s">
        <v>2146</v>
      </c>
      <c r="F30" s="2044" t="str">
        <f>IF(SUM('Table2(II).B-Hs2'!J134:M134)=0,"NO",SUM('Table2(II).B-Hs2'!J134:M134))</f>
        <v>NO</v>
      </c>
      <c r="G30" s="2044">
        <f>IF(SUM('Table2(II).B-Hs2'!J135:M135)=0,"NO",SUM('Table2(II).B-Hs2'!J135:M135))</f>
        <v>10.405310732559734</v>
      </c>
      <c r="H30" s="2044">
        <f>IF(SUM('Table2(II).B-Hs2'!J136:M136)=0,"NO",SUM('Table2(II).B-Hs2'!J136:M136))</f>
        <v>5.451226140582785E-2</v>
      </c>
      <c r="I30" s="2044">
        <f>IF(SUM('Table2(II).B-Hs2'!J137:M137)=0,"NO",SUM('Table2(II).B-Hs2'!J137:M137))</f>
        <v>29.886247459035673</v>
      </c>
      <c r="J30" s="2044" t="s">
        <v>2146</v>
      </c>
      <c r="K30" s="2044">
        <f>IF(SUM('Table2(II).B-Hs2'!J138:M138)=0,"NO",SUM('Table2(II).B-Hs2'!J138:M138))</f>
        <v>6.9650152976566169</v>
      </c>
      <c r="L30" s="2044" t="s">
        <v>2146</v>
      </c>
      <c r="M30" s="2044">
        <f>IF(SUM('Table2(II).B-Hs2'!J139:M139)=0,"NO",SUM('Table2(II).B-Hs2'!J139:M139))</f>
        <v>1.2663664177557485</v>
      </c>
      <c r="N30" s="2044" t="s">
        <v>2146</v>
      </c>
      <c r="O30" s="2044">
        <f>IF(SUM('Table2(II).B-Hs2'!J140:M140)=0,"NO",SUM('Table2(II).B-Hs2'!J140:M140))</f>
        <v>0.37990992532672457</v>
      </c>
      <c r="P30" s="2044" t="s">
        <v>2146</v>
      </c>
      <c r="Q30" s="2044" t="s">
        <v>2146</v>
      </c>
      <c r="R30" s="2044">
        <f>IF(SUM('Table2(II).B-Hs2'!J141:M141)=0,"NO",SUM('Table2(II).B-Hs2'!J141:M141))</f>
        <v>6.3318320887787438E-2</v>
      </c>
      <c r="S30" s="2044" t="s">
        <v>2146</v>
      </c>
      <c r="T30" s="2044">
        <f>IF(SUM('Table2(II).B-Hs2'!J142:M142)=0,"NO",SUM('Table2(II).B-Hs2'!J142:M142))</f>
        <v>1.1608358829427696</v>
      </c>
      <c r="U30" s="2044">
        <f>IF(SUM('Table2(II).B-Hs2'!J143:M143)=0,"NO",SUM('Table2(II).B-Hs2'!J143:M143))</f>
        <v>0.80203206457864074</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f>IF(SUM('Table2(II).B-Hs2'!J147:M147)=0,"NO",SUM('Table2(II).B-Hs2'!J147:M147))</f>
        <v>1.1442679042938724</v>
      </c>
      <c r="D31" s="2044">
        <f>IF(SUM('Table2(II).B-Hs2'!J148:M148)=0,"NO",SUM('Table2(II).B-Hs2'!J148:M148))</f>
        <v>8.8272095474098755</v>
      </c>
      <c r="E31" s="2044" t="s">
        <v>2146</v>
      </c>
      <c r="F31" s="2044" t="str">
        <f>IF(SUM('Table2(II).B-Hs2'!J149:M149)=0,"NO",SUM('Table2(II).B-Hs2'!J149:M149))</f>
        <v>NO</v>
      </c>
      <c r="G31" s="2044">
        <f>IF(SUM('Table2(II).B-Hs2'!J150:M150)=0,"NO",SUM('Table2(II).B-Hs2'!J150:M150))</f>
        <v>20.147288457745681</v>
      </c>
      <c r="H31" s="2044">
        <f>IF(SUM('Table2(II).B-Hs2'!J151:M151)=0,"NO",SUM('Table2(II).B-Hs2'!J151:M151))</f>
        <v>0.10554939523243556</v>
      </c>
      <c r="I31" s="2044">
        <f>IF(SUM('Table2(II).B-Hs2'!J152:M152)=0,"NO",SUM('Table2(II).B-Hs2'!J152:M152))</f>
        <v>57.867262588575848</v>
      </c>
      <c r="J31" s="2044" t="s">
        <v>2146</v>
      </c>
      <c r="K31" s="2044">
        <f>IF(SUM('Table2(II).B-Hs2'!J153:M153)=0,"NO",SUM('Table2(II).B-Hs2'!J153:M153))</f>
        <v>13.486014586320637</v>
      </c>
      <c r="L31" s="2044" t="s">
        <v>2146</v>
      </c>
      <c r="M31" s="2044">
        <f>IF(SUM('Table2(II).B-Hs2'!J154:M154)=0,"NO",SUM('Table2(II).B-Hs2'!J154:M154))</f>
        <v>2.4520026520582983</v>
      </c>
      <c r="N31" s="2044" t="s">
        <v>2146</v>
      </c>
      <c r="O31" s="2044">
        <f>IF(SUM('Table2(II).B-Hs2'!J155:M155)=0,"NO",SUM('Table2(II).B-Hs2'!J155:M155))</f>
        <v>0.73560079561748959</v>
      </c>
      <c r="P31" s="2044" t="s">
        <v>2146</v>
      </c>
      <c r="Q31" s="2044" t="s">
        <v>2146</v>
      </c>
      <c r="R31" s="2044">
        <f>IF(SUM('Table2(II).B-Hs2'!J156:M156)=0,"NO",SUM('Table2(II).B-Hs2'!J156:M156))</f>
        <v>0.12260013260291493</v>
      </c>
      <c r="S31" s="2044" t="s">
        <v>2146</v>
      </c>
      <c r="T31" s="2044">
        <f>IF(SUM('Table2(II).B-Hs2'!J157:M157)=0,"NO",SUM('Table2(II).B-Hs2'!J157:M157))</f>
        <v>2.2476690977201073</v>
      </c>
      <c r="U31" s="2044">
        <f>IF(SUM('Table2(II).B-Hs2'!J158:M158)=0,"NO",SUM('Table2(II).B-Hs2'!J158:M158))</f>
        <v>1.5529350129702553</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6.371289465919852</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5.5075027691658853</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0.86378669675396669</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607.37572486099145</v>
      </c>
      <c r="D39" s="4196">
        <f t="shared" ref="D39:AK39" si="72">IF(SUM(D40:D45)=0,"NO",SUM(D40:D45))</f>
        <v>255.81154089248992</v>
      </c>
      <c r="E39" s="4196" t="str">
        <f t="shared" si="72"/>
        <v>NO</v>
      </c>
      <c r="F39" s="4196" t="str">
        <f t="shared" si="72"/>
        <v>NO</v>
      </c>
      <c r="G39" s="4196">
        <f t="shared" si="72"/>
        <v>2733.9079970334274</v>
      </c>
      <c r="H39" s="4196">
        <f t="shared" si="72"/>
        <v>5.0603645029180537</v>
      </c>
      <c r="I39" s="4196">
        <f t="shared" si="72"/>
        <v>3220.2109283528607</v>
      </c>
      <c r="J39" s="4196" t="str">
        <f t="shared" si="72"/>
        <v>NO</v>
      </c>
      <c r="K39" s="4196">
        <f t="shared" si="72"/>
        <v>2770.9768092736472</v>
      </c>
      <c r="L39" s="4196" t="str">
        <f t="shared" si="72"/>
        <v>NO</v>
      </c>
      <c r="M39" s="4196">
        <f t="shared" si="72"/>
        <v>14.484651503021338</v>
      </c>
      <c r="N39" s="4196" t="str">
        <f t="shared" si="72"/>
        <v>NO</v>
      </c>
      <c r="O39" s="4196">
        <f t="shared" si="72"/>
        <v>105.48604898939455</v>
      </c>
      <c r="P39" s="4196" t="str">
        <f t="shared" si="72"/>
        <v>NO</v>
      </c>
      <c r="Q39" s="4196" t="str">
        <f t="shared" si="72"/>
        <v>NO</v>
      </c>
      <c r="R39" s="4196">
        <f t="shared" si="72"/>
        <v>42.299380838533331</v>
      </c>
      <c r="S39" s="4196" t="str">
        <f t="shared" si="72"/>
        <v>NO</v>
      </c>
      <c r="T39" s="4196">
        <f t="shared" si="72"/>
        <v>82.552017442944063</v>
      </c>
      <c r="U39" s="4196">
        <f t="shared" si="72"/>
        <v>53.446264821293241</v>
      </c>
      <c r="V39" s="4196" t="str">
        <f t="shared" si="72"/>
        <v>NO</v>
      </c>
      <c r="W39" s="4196">
        <f t="shared" si="72"/>
        <v>9891.6117285115215</v>
      </c>
      <c r="X39" s="4196">
        <f t="shared" si="72"/>
        <v>175.5062444293234</v>
      </c>
      <c r="Y39" s="4196">
        <f t="shared" si="72"/>
        <v>36.737448564098365</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212.24369299342177</v>
      </c>
      <c r="AI39" s="4197" t="str">
        <f t="shared" si="72"/>
        <v>NO</v>
      </c>
      <c r="AJ39" s="4197">
        <f t="shared" si="72"/>
        <v>149.72530244911653</v>
      </c>
      <c r="AK39" s="2918" t="str">
        <f t="shared" si="72"/>
        <v>NO</v>
      </c>
    </row>
    <row r="40" spans="2:37" ht="18" customHeight="1" x14ac:dyDescent="0.2">
      <c r="B40" s="1292" t="s">
        <v>595</v>
      </c>
      <c r="C40" s="4198" t="str">
        <f>IF(SUM(C11)=0,"NO",C11*12400/1000)</f>
        <v>NO</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t="str">
        <f>IF(SUM(C40:V40)=0,"NO",SUM(C40:V40))</f>
        <v>NO</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175.5062444293234</v>
      </c>
      <c r="Y41" s="4199">
        <f>IF(SUM(Y16)=0,"NO",Y16*11100/1000)</f>
        <v>36.737448564098365</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212.24369299342177</v>
      </c>
      <c r="AI41" s="4200" t="str">
        <f>IF(SUM(AI16)=0,"NO",AI16*1/1000)</f>
        <v>NO</v>
      </c>
      <c r="AJ41" s="4200" t="str">
        <f>IF(SUM(AJ16)=0,"NO",AJ16*23500/1000)</f>
        <v>NO</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607.37572486099145</v>
      </c>
      <c r="D43" s="4199">
        <f>IF(SUM(D26)=0,"NO",D26*677/1000)</f>
        <v>255.81154089248992</v>
      </c>
      <c r="E43" s="4199" t="str">
        <f>IF(SUM(E26)=0,"NO",E26*116/1000)</f>
        <v>NO</v>
      </c>
      <c r="F43" s="4199" t="str">
        <f>IF(SUM(F26)=0,"NO",F26*1650/1000)</f>
        <v>NO</v>
      </c>
      <c r="G43" s="4199">
        <f>IF(SUM(G26)=0,"NO",G26*3170/1000)</f>
        <v>2733.9079970334274</v>
      </c>
      <c r="H43" s="4199">
        <f>IF(SUM(H26)=0,"NO",H26*1120/1000)</f>
        <v>5.0603645029180537</v>
      </c>
      <c r="I43" s="4199">
        <f>IF(SUM(I26)=0,"NO",I26*1300/1000)</f>
        <v>3220.2109283528607</v>
      </c>
      <c r="J43" s="4199" t="str">
        <f>IF(SUM(J26)=0,"NO",J26*328/1000)</f>
        <v>NO</v>
      </c>
      <c r="K43" s="4199">
        <f>IF(SUM(K26)=0,"NO",K26*4800/1000)</f>
        <v>2770.9768092736472</v>
      </c>
      <c r="L43" s="4199" t="str">
        <f>IF(SUM(L26)=0,"NO",L26*16/1000)</f>
        <v>NO</v>
      </c>
      <c r="M43" s="4199">
        <f>IF(SUM(M26)=0,"NO",M26*138/1000)</f>
        <v>14.484651503021338</v>
      </c>
      <c r="N43" s="4199" t="str">
        <f>IF(SUM(N26)=0,"NO",N26*4/1000)</f>
        <v>NO</v>
      </c>
      <c r="O43" s="4199">
        <f>IF(SUM(O26)=0,"NO",O26*3350/1000)</f>
        <v>105.48604898939455</v>
      </c>
      <c r="P43" s="4199" t="str">
        <f>IF(SUM(P26)=0,"NO",P26*1210/1000)</f>
        <v>NO</v>
      </c>
      <c r="Q43" s="4199" t="str">
        <f>IF(SUM(Q26)=0,"NO",Q26*1330/1000)</f>
        <v>NO</v>
      </c>
      <c r="R43" s="4199">
        <f>IF(SUM(R26)=0,"NO",R26*8060/1000)</f>
        <v>42.299380838533331</v>
      </c>
      <c r="S43" s="4199" t="str">
        <f>IF(SUM(S26)=0,"NO",S26*716/1000)</f>
        <v>NO</v>
      </c>
      <c r="T43" s="4199">
        <f>IF(SUM(T26)=0,"NO",T26*858/1000)</f>
        <v>82.552017442944063</v>
      </c>
      <c r="U43" s="4199">
        <f>IF(SUM(U26)=0,"NO",U26*804/1000)</f>
        <v>53.446264821293241</v>
      </c>
      <c r="V43" s="4199" t="str">
        <f>IF(SUM(V26)=0,"NO",V26*1/1000)</f>
        <v>NO</v>
      </c>
      <c r="W43" s="4199">
        <f t="shared" si="73"/>
        <v>9891.6117285115215</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149.72530244911653</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5522.0794493082831</v>
      </c>
      <c r="I10" s="628"/>
      <c r="J10" s="628"/>
      <c r="K10" s="3192" t="str">
        <f>IF(SUM(K11:K14)=0,"NO",SUM(K11:K14))</f>
        <v>NO</v>
      </c>
      <c r="L10" s="3192" t="str">
        <f>IF(SUM(L11:L14)=0,"NO",SUM(L11:L14))</f>
        <v>NO</v>
      </c>
      <c r="M10" s="628"/>
      <c r="N10" s="1838"/>
    </row>
    <row r="11" spans="2:14" ht="18" customHeight="1" x14ac:dyDescent="0.2">
      <c r="B11" s="287" t="s">
        <v>491</v>
      </c>
      <c r="C11" s="2099" t="s">
        <v>2181</v>
      </c>
      <c r="D11" s="691">
        <v>5443.4930000000004</v>
      </c>
      <c r="E11" s="1913">
        <f>IF(SUM($D11)=0,"NA",H11/$D11)</f>
        <v>0.54042237889856748</v>
      </c>
      <c r="F11" s="628"/>
      <c r="G11" s="628"/>
      <c r="H11" s="3180">
        <v>2941.7854365777002</v>
      </c>
      <c r="I11" s="628"/>
      <c r="J11" s="628"/>
      <c r="K11" s="3180" t="s">
        <v>2146</v>
      </c>
      <c r="L11" s="691" t="s">
        <v>2146</v>
      </c>
      <c r="M11" s="628"/>
      <c r="N11" s="1838"/>
    </row>
    <row r="12" spans="2:14" ht="18" customHeight="1" x14ac:dyDescent="0.2">
      <c r="B12" s="287" t="s">
        <v>492</v>
      </c>
      <c r="C12" s="2100" t="s">
        <v>2182</v>
      </c>
      <c r="D12" s="691">
        <v>1508.6120749699999</v>
      </c>
      <c r="E12" s="1913">
        <f>IF(SUM($D12)=0,"NA",H12/$D12)</f>
        <v>0.67989277446604901</v>
      </c>
      <c r="F12" s="628"/>
      <c r="G12" s="628"/>
      <c r="H12" s="3180">
        <v>1025.6944492443363</v>
      </c>
      <c r="I12" s="628"/>
      <c r="J12" s="628"/>
      <c r="K12" s="3180" t="s">
        <v>2146</v>
      </c>
      <c r="L12" s="691" t="s">
        <v>2146</v>
      </c>
      <c r="M12" s="628"/>
      <c r="N12" s="1838"/>
    </row>
    <row r="13" spans="2:14" ht="18" customHeight="1" x14ac:dyDescent="0.2">
      <c r="B13" s="287" t="s">
        <v>493</v>
      </c>
      <c r="C13" s="2100" t="s">
        <v>2267</v>
      </c>
      <c r="D13" s="691">
        <v>191.54337800000002</v>
      </c>
      <c r="E13" s="1913">
        <f>IF(SUM($D13)=0,"NA",H13/$D13)</f>
        <v>0.42540247779364626</v>
      </c>
      <c r="F13" s="628"/>
      <c r="G13" s="628"/>
      <c r="H13" s="3180">
        <v>81.483027606164995</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1473.1165358800822</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231.52757185815506</v>
      </c>
      <c r="I15" s="628"/>
      <c r="J15" s="628"/>
      <c r="K15" s="3180" t="s">
        <v>2146</v>
      </c>
      <c r="L15" s="691" t="s">
        <v>2146</v>
      </c>
      <c r="M15" s="628"/>
      <c r="N15" s="1838"/>
    </row>
    <row r="16" spans="2:14" ht="18" customHeight="1" x14ac:dyDescent="0.2">
      <c r="B16" s="160" t="s">
        <v>496</v>
      </c>
      <c r="C16" s="484" t="s">
        <v>2316</v>
      </c>
      <c r="D16" s="2905">
        <v>319.72888585000004</v>
      </c>
      <c r="E16" s="1913">
        <f>IF(SUM($D16)=0,"NA",H16/$D16)</f>
        <v>0.41491999999999996</v>
      </c>
      <c r="F16" s="628"/>
      <c r="G16" s="628"/>
      <c r="H16" s="3180">
        <v>132.661909316882</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1108.9270547050453</v>
      </c>
      <c r="I18" s="628"/>
      <c r="J18" s="628"/>
      <c r="K18" s="3181" t="str">
        <f>K19</f>
        <v>NO</v>
      </c>
      <c r="L18" s="3193" t="str">
        <f>L19</f>
        <v>NO</v>
      </c>
      <c r="M18" s="628"/>
      <c r="N18" s="1838"/>
    </row>
    <row r="19" spans="2:14" ht="18" customHeight="1" x14ac:dyDescent="0.2">
      <c r="B19" s="3182" t="s">
        <v>2265</v>
      </c>
      <c r="C19" s="484" t="s">
        <v>2267</v>
      </c>
      <c r="D19" s="2905">
        <v>1394.555085</v>
      </c>
      <c r="E19" s="1913">
        <f>IF(SUM($D19)=0,"NA",H19/$D19)</f>
        <v>0.41565593865978417</v>
      </c>
      <c r="F19" s="628"/>
      <c r="G19" s="628"/>
      <c r="H19" s="3180">
        <v>579.65510286845006</v>
      </c>
      <c r="I19" s="628"/>
      <c r="J19" s="628"/>
      <c r="K19" s="3180" t="s">
        <v>2146</v>
      </c>
      <c r="L19" s="3180" t="s">
        <v>2146</v>
      </c>
      <c r="M19" s="628"/>
      <c r="N19" s="1838"/>
    </row>
    <row r="20" spans="2:14" ht="18" customHeight="1" x14ac:dyDescent="0.2">
      <c r="B20" s="3183" t="s">
        <v>2264</v>
      </c>
      <c r="C20" s="484" t="s">
        <v>2267</v>
      </c>
      <c r="D20" s="2905">
        <v>359.51939237566012</v>
      </c>
      <c r="E20" s="1913">
        <f>IF(SUM($D20)=0,"NA",H20/$D20)</f>
        <v>0.51312626234584391</v>
      </c>
      <c r="F20" s="628"/>
      <c r="G20" s="628"/>
      <c r="H20" s="3180">
        <v>184.47884205057136</v>
      </c>
      <c r="I20" s="628"/>
      <c r="J20" s="628"/>
      <c r="K20" s="3180" t="s">
        <v>2146</v>
      </c>
      <c r="L20" s="3180" t="s">
        <v>2146</v>
      </c>
      <c r="M20" s="2135"/>
      <c r="N20" s="2149"/>
    </row>
    <row r="21" spans="2:14" ht="18" customHeight="1" thickBot="1" x14ac:dyDescent="0.25">
      <c r="B21" s="3183" t="s">
        <v>2266</v>
      </c>
      <c r="C21" s="484" t="s">
        <v>2267</v>
      </c>
      <c r="D21" s="2905">
        <v>783.21630602404753</v>
      </c>
      <c r="E21" s="1913">
        <f>IF(SUM($D21)=0,"NA",H21/$D21)</f>
        <v>0.44022718517742099</v>
      </c>
      <c r="F21" s="628"/>
      <c r="G21" s="628"/>
      <c r="H21" s="3180">
        <v>344.79310978602399</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3567.9429220572515</v>
      </c>
      <c r="I22" s="3067">
        <f>IF(SUM(I23:I26,I30,I33:I35,I47)=0,"IE",SUM(I23:I26,I30,I33:I35,I47))</f>
        <v>0.43359999999999999</v>
      </c>
      <c r="J22" s="3067">
        <f>IF(SUM(J23:J26,J30,J33:J35,J47)=0,"IE",SUM(J23:J26,J30,J33:J35,J47))</f>
        <v>6.1034972207218603</v>
      </c>
      <c r="K22" s="3067">
        <f>IF(SUM(K23:K26,K30,K33:K35,K47)=0,"NO",SUM(K23:K26,K30,K33:K35,K47))</f>
        <v>-300.01929000000001</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1939.46048</v>
      </c>
      <c r="E23" s="1913">
        <f>IF(SUM($D23)=0,"NA",H23/$D23)</f>
        <v>1.4007641374849029</v>
      </c>
      <c r="F23" s="1913" t="str">
        <f>IFERROR(IF(SUM($D23)=0,"NA",I23/$D23),"NA")</f>
        <v>NA</v>
      </c>
      <c r="G23" s="1913" t="str">
        <f>IFERROR(IF(SUM($D23)=0,"NA",J23/$D23),"NA")</f>
        <v>NA</v>
      </c>
      <c r="H23" s="691">
        <v>2716.7266864532558</v>
      </c>
      <c r="I23" s="691" t="s">
        <v>2146</v>
      </c>
      <c r="J23" s="691" t="s">
        <v>2146</v>
      </c>
      <c r="K23" s="3180">
        <v>-300.01929000000001</v>
      </c>
      <c r="L23" s="691" t="s">
        <v>2146</v>
      </c>
      <c r="M23" s="691" t="s">
        <v>2146</v>
      </c>
      <c r="N23" s="2911" t="s">
        <v>2146</v>
      </c>
    </row>
    <row r="24" spans="2:14" ht="18" customHeight="1" x14ac:dyDescent="0.2">
      <c r="B24" s="287" t="s">
        <v>500</v>
      </c>
      <c r="C24" s="484" t="s">
        <v>220</v>
      </c>
      <c r="D24" s="691">
        <v>1708.6801203099999</v>
      </c>
      <c r="E24" s="2108"/>
      <c r="F24" s="2108"/>
      <c r="G24" s="1913">
        <f>IF(SUM($D24)=0,"NA",J24/$D24)</f>
        <v>3.5720537438069591E-3</v>
      </c>
      <c r="H24" s="2108"/>
      <c r="I24" s="2108"/>
      <c r="J24" s="691">
        <v>6.1034972207218603</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831.97639668600004</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t="str">
        <f>H46</f>
        <v>NO</v>
      </c>
      <c r="I35" s="3196">
        <f>I46</f>
        <v>0.43359999999999999</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NO</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NO</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t="str">
        <f>IF(SUM(H44:H45)=0,"NO",SUM(H44:H45))</f>
        <v>NO</v>
      </c>
      <c r="I42" s="3198">
        <f>IF(SUM(I44:I45)=0,"NO",SUM(I44:I45))</f>
        <v>0.43359999999999999</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t="str">
        <f>H46</f>
        <v>NO</v>
      </c>
      <c r="I45" s="3198">
        <f>I46</f>
        <v>0.43359999999999999</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t="s">
        <v>2146</v>
      </c>
      <c r="I46" s="691">
        <v>0.43359999999999999</v>
      </c>
      <c r="J46" s="628"/>
      <c r="K46" s="691" t="s">
        <v>2146</v>
      </c>
      <c r="L46" s="691" t="s">
        <v>2146</v>
      </c>
      <c r="M46" s="691" t="s">
        <v>2146</v>
      </c>
      <c r="N46" s="1838"/>
    </row>
    <row r="47" spans="2:16" ht="18" customHeight="1" x14ac:dyDescent="0.2">
      <c r="B47" s="287" t="s">
        <v>520</v>
      </c>
      <c r="C47" s="2104"/>
      <c r="D47" s="628"/>
      <c r="E47" s="628"/>
      <c r="F47" s="628"/>
      <c r="G47" s="628"/>
      <c r="H47" s="3198">
        <f>H50</f>
        <v>19.239838917995797</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19.239838917995797</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19.239838917995797</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10659.504142456713</v>
      </c>
      <c r="I52" s="3192">
        <f>IF(SUM(I53,I62:I67)=0,"IE",SUM(I53,I62:I67))</f>
        <v>2.5194858210214424</v>
      </c>
      <c r="J52" s="1909">
        <f>J67</f>
        <v>5.7134432373685706E-2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1569.64</v>
      </c>
      <c r="E63" s="4130">
        <f>IF(SUM($D63)=0,"NA",H63/$D63)</f>
        <v>1.4347068354499031</v>
      </c>
      <c r="F63" s="1892"/>
      <c r="G63" s="2107"/>
      <c r="H63" s="691">
        <v>2251.9732371955861</v>
      </c>
      <c r="I63" s="1879"/>
      <c r="J63" s="2108"/>
      <c r="K63" s="3180" t="s">
        <v>2146</v>
      </c>
      <c r="L63" s="691" t="s">
        <v>2146</v>
      </c>
      <c r="M63" s="3119"/>
      <c r="N63" s="2109"/>
    </row>
    <row r="64" spans="2:14" s="83" customFormat="1" ht="18" customHeight="1" x14ac:dyDescent="0.2">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8407.5309052611283</v>
      </c>
      <c r="I67" s="3199">
        <f t="shared" ref="I67:N67" si="8">IF(SUM(I69:I70)=0,I70,SUM(I69:I70))</f>
        <v>2.5194858210214424</v>
      </c>
      <c r="J67" s="3199">
        <f t="shared" si="8"/>
        <v>5.7134432373685706E-2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8407.5309052611283</v>
      </c>
      <c r="I70" s="3095">
        <f t="shared" si="9"/>
        <v>2.5194858210214424</v>
      </c>
      <c r="J70" s="3095">
        <f t="shared" si="9"/>
        <v>5.7134432373685706E-2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8407.5309052611283</v>
      </c>
      <c r="I71" s="3123">
        <v>2.5194858210214424</v>
      </c>
      <c r="J71" s="3123">
        <v>5.7134432373685706E-2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173.43878034000002</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316.90721649484539</v>
      </c>
      <c r="E73" s="4130">
        <f t="shared" ref="E73:G74" si="11">IF(SUM($D73)=0,"NA",H73/$D73)</f>
        <v>0.5472856764144437</v>
      </c>
      <c r="F73" s="276" t="s">
        <v>2147</v>
      </c>
      <c r="G73" s="276" t="s">
        <v>2147</v>
      </c>
      <c r="H73" s="3122">
        <v>173.43878034000002</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248.3124</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218.8972661822873</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218.8972661822873</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t="str">
        <f t="shared" ref="G10:H12" si="0">G11</f>
        <v>NO</v>
      </c>
      <c r="H10" s="2612" t="str">
        <f t="shared" si="0"/>
        <v>NO</v>
      </c>
    </row>
    <row r="11" spans="2:8" ht="18" customHeight="1" x14ac:dyDescent="0.2">
      <c r="B11" s="169" t="s">
        <v>596</v>
      </c>
      <c r="C11" s="2507"/>
      <c r="D11" s="1825"/>
      <c r="E11" s="1826"/>
      <c r="F11" s="4322"/>
      <c r="G11" s="1913" t="str">
        <f t="shared" si="0"/>
        <v>NO</v>
      </c>
      <c r="H11" s="2611" t="str">
        <f t="shared" si="0"/>
        <v>NO</v>
      </c>
    </row>
    <row r="12" spans="2:8" ht="18" customHeight="1" x14ac:dyDescent="0.2">
      <c r="B12" s="1169" t="s">
        <v>597</v>
      </c>
      <c r="C12" s="2507"/>
      <c r="D12" s="1825"/>
      <c r="E12" s="1826"/>
      <c r="F12" s="4322"/>
      <c r="G12" s="1913" t="str">
        <f t="shared" si="0"/>
        <v>NO</v>
      </c>
      <c r="H12" s="2611" t="str">
        <f t="shared" si="0"/>
        <v>NO</v>
      </c>
    </row>
    <row r="13" spans="2:8" ht="18" customHeight="1" x14ac:dyDescent="0.2">
      <c r="B13" s="1170" t="s">
        <v>622</v>
      </c>
      <c r="C13" s="2620" t="s">
        <v>559</v>
      </c>
      <c r="D13" s="73" t="s">
        <v>624</v>
      </c>
      <c r="E13" s="2608" t="s">
        <v>2146</v>
      </c>
      <c r="F13" s="4323" t="str">
        <f>IF(SUM(E13)=0,"NA",SUM(G13)*1000/E13)</f>
        <v>NA</v>
      </c>
      <c r="G13" s="691" t="s">
        <v>2146</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29.781210130657293</v>
      </c>
      <c r="H22" s="2611" t="str">
        <f>H23</f>
        <v>NO</v>
      </c>
    </row>
    <row r="23" spans="2:8" ht="18" customHeight="1" x14ac:dyDescent="0.2">
      <c r="B23" s="169" t="s">
        <v>636</v>
      </c>
      <c r="C23" s="2507"/>
      <c r="D23" s="76"/>
      <c r="E23" s="76"/>
      <c r="F23" s="4322"/>
      <c r="G23" s="3188">
        <f>IF(SUM(G24,G27)=0,"NO",SUM(G24,G27))</f>
        <v>29.781210130657293</v>
      </c>
      <c r="H23" s="2611" t="str">
        <f>H24</f>
        <v>NO</v>
      </c>
    </row>
    <row r="24" spans="2:8" ht="18" customHeight="1" x14ac:dyDescent="0.2">
      <c r="B24" s="171" t="s">
        <v>637</v>
      </c>
      <c r="C24" s="2507"/>
      <c r="D24" s="76"/>
      <c r="E24" s="76"/>
      <c r="F24" s="4322"/>
      <c r="G24" s="3188">
        <f>IF(SUM(G25:G26)=0,"NO",SUM(G25:G26))</f>
        <v>29.781210130657293</v>
      </c>
      <c r="H24" s="2611" t="str">
        <f>H25</f>
        <v>NO</v>
      </c>
    </row>
    <row r="25" spans="2:8" ht="18" customHeight="1" x14ac:dyDescent="0.25">
      <c r="B25" s="2609" t="s">
        <v>1741</v>
      </c>
      <c r="C25" s="2620" t="s">
        <v>1741</v>
      </c>
      <c r="D25" s="73" t="s">
        <v>638</v>
      </c>
      <c r="E25" s="691">
        <v>1569640</v>
      </c>
      <c r="F25" s="4320">
        <f t="shared" ref="F25:F28" si="2">IF(SUM(E25)=0,"NA",G25*1000/E25)</f>
        <v>1.6864714252846271E-2</v>
      </c>
      <c r="G25" s="691">
        <v>26.471530079837621</v>
      </c>
      <c r="H25" s="2610" t="s">
        <v>2146</v>
      </c>
    </row>
    <row r="26" spans="2:8" ht="18" customHeight="1" x14ac:dyDescent="0.25">
      <c r="B26" s="2609" t="s">
        <v>1742</v>
      </c>
      <c r="C26" s="2620" t="s">
        <v>1742</v>
      </c>
      <c r="D26" s="73" t="s">
        <v>638</v>
      </c>
      <c r="E26" s="691">
        <v>1569640</v>
      </c>
      <c r="F26" s="4320">
        <f t="shared" si="2"/>
        <v>2.1085599569453327E-3</v>
      </c>
      <c r="G26" s="691">
        <v>3.3096800508196722</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t="s">
        <v>2146</v>
      </c>
      <c r="F28" s="4320" t="str">
        <f t="shared" si="2"/>
        <v>NA</v>
      </c>
      <c r="G28" s="691" t="s">
        <v>2146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44.457814111559173</v>
      </c>
      <c r="K10" s="3224">
        <f>IF(SUM(K11,K90,K117,K130,K146,K159)=0,"NO",SUM(K11,K90,K117,K130,K146,K159))</f>
        <v>3313.1874204389273</v>
      </c>
      <c r="L10" s="3225">
        <f>IF(SUM(L11,L90,L117,L130,L146,L159)=0,"NO",SUM(L11,L90,L117,L130,L146,L159))</f>
        <v>1756.4229525681183</v>
      </c>
      <c r="M10" s="3498">
        <f>IF(SUM(M11,M90,M117,M130,M146,M159)=0,"NO",SUM(M11,M90,M117,M130,M146,M159))</f>
        <v>-461.51630361757066</v>
      </c>
    </row>
    <row r="11" spans="1:13" ht="18" customHeight="1" x14ac:dyDescent="0.2">
      <c r="B11" s="147" t="s">
        <v>667</v>
      </c>
      <c r="C11" s="2508"/>
      <c r="D11" s="2108"/>
      <c r="E11" s="2108"/>
      <c r="F11" s="2108"/>
      <c r="G11" s="2108"/>
      <c r="H11" s="2108"/>
      <c r="I11" s="2108"/>
      <c r="J11" s="3103">
        <f>IF(SUM(J12,J25,J38,J51,J64,J77)=0,"NO",SUM(J12,J25,J38,J51,J64,J77))</f>
        <v>22.970118982775588</v>
      </c>
      <c r="K11" s="3103">
        <f t="shared" ref="K11:M11" si="0">IF(SUM(K12,K25,K38,K51,K64,K77)=0,"NO",SUM(K12,K25,K38,K51,K64,K77))</f>
        <v>3147.7227141627254</v>
      </c>
      <c r="L11" s="3103">
        <f t="shared" si="0"/>
        <v>1698.3103730835182</v>
      </c>
      <c r="M11" s="3226">
        <f t="shared" si="0"/>
        <v>-444.91539587077131</v>
      </c>
    </row>
    <row r="12" spans="1:13" ht="18" customHeight="1" x14ac:dyDescent="0.2">
      <c r="B12" s="104" t="s">
        <v>668</v>
      </c>
      <c r="C12" s="2508"/>
      <c r="D12" s="2108"/>
      <c r="E12" s="2108"/>
      <c r="F12" s="2108"/>
      <c r="G12" s="2108"/>
      <c r="H12" s="2108"/>
      <c r="I12" s="2108"/>
      <c r="J12" s="3103">
        <f>IF(SUM(J13:J24)=0,"NO",SUM(J13:J24))</f>
        <v>17.918923442103281</v>
      </c>
      <c r="K12" s="3103">
        <f>IF(SUM(K13:K24)=0,"NO",SUM(K13:K24))</f>
        <v>1954.1862771237309</v>
      </c>
      <c r="L12" s="3103">
        <f>IF(SUM(L13:L24)=0,"NO",SUM(L13:L24))</f>
        <v>653.59301028488687</v>
      </c>
      <c r="M12" s="3226">
        <f>IF(SUM(M13:M24)=0,"NO",SUM(M13:M24))</f>
        <v>-175.75721117729759</v>
      </c>
    </row>
    <row r="13" spans="1:13" ht="18" customHeight="1" x14ac:dyDescent="0.2">
      <c r="B13" s="2616" t="s">
        <v>559</v>
      </c>
      <c r="C13" s="2618" t="s">
        <v>559</v>
      </c>
      <c r="D13" s="3227">
        <v>10.779990684838033</v>
      </c>
      <c r="E13" s="3227">
        <v>154.7911574381057</v>
      </c>
      <c r="F13" s="3227">
        <v>8.7546597142122344</v>
      </c>
      <c r="G13" s="3103">
        <f>IF(SUM(D13)=0,"NA",J13/D13)</f>
        <v>1.7500000000000002E-2</v>
      </c>
      <c r="H13" s="3103">
        <f>IF(SUM(E13)=0,"NA",K13/E13)</f>
        <v>0.13291204245716456</v>
      </c>
      <c r="I13" s="3103">
        <f>IF(SUM(F13)=0,"NA",(SUM(L13:M13))/F13)</f>
        <v>0.57462422872637431</v>
      </c>
      <c r="J13" s="3227">
        <v>0.18864983698466559</v>
      </c>
      <c r="K13" s="3227">
        <v>20.573608889407151</v>
      </c>
      <c r="L13" s="3227">
        <v>6.8926496501266499</v>
      </c>
      <c r="M13" s="3497">
        <v>-1.8620100640855841</v>
      </c>
    </row>
    <row r="14" spans="1:13" ht="18" customHeight="1" x14ac:dyDescent="0.2">
      <c r="B14" s="2616" t="s">
        <v>560</v>
      </c>
      <c r="C14" s="2618" t="s">
        <v>560</v>
      </c>
      <c r="D14" s="3227">
        <v>83.159928140179119</v>
      </c>
      <c r="E14" s="3227">
        <v>1194.1032145225299</v>
      </c>
      <c r="F14" s="3227">
        <v>67.535946366780109</v>
      </c>
      <c r="G14" s="3103">
        <f t="shared" ref="G14:G24" si="1">IF(SUM(D14)=0,"NA",J14/D14)</f>
        <v>1.7500000000000002E-2</v>
      </c>
      <c r="H14" s="3103">
        <f t="shared" ref="H14:H24" si="2">IF(SUM(E14)=0,"NA",K14/E14)</f>
        <v>0.13291204245716456</v>
      </c>
      <c r="I14" s="3103">
        <f t="shared" ref="I14:I78" si="3">IF(SUM(F14)=0,"NA",(SUM(L14:M14))/F14)</f>
        <v>0.57462422872637486</v>
      </c>
      <c r="J14" s="3227">
        <v>1.4552987424531347</v>
      </c>
      <c r="K14" s="3227">
        <v>158.71069714685518</v>
      </c>
      <c r="L14" s="3227">
        <v>53.171868729548493</v>
      </c>
      <c r="M14" s="3497">
        <v>-14.364077637231652</v>
      </c>
    </row>
    <row r="15" spans="1:13" ht="18" customHeight="1" x14ac:dyDescent="0.2">
      <c r="B15" s="2616" t="s">
        <v>562</v>
      </c>
      <c r="C15" s="2618" t="s">
        <v>562</v>
      </c>
      <c r="D15" s="3227" t="s">
        <v>2146</v>
      </c>
      <c r="E15" s="3227" t="s">
        <v>2146</v>
      </c>
      <c r="F15" s="3227" t="s">
        <v>2146</v>
      </c>
      <c r="G15" s="3103" t="str">
        <f t="shared" ref="G15" si="4">IF(SUM(D15)=0,"NA",J15/D15)</f>
        <v>NA</v>
      </c>
      <c r="H15" s="3103" t="str">
        <f t="shared" ref="H15" si="5">IF(SUM(E15)=0,"NA",K15/E15)</f>
        <v>NA</v>
      </c>
      <c r="I15" s="3103" t="str">
        <f t="shared" si="3"/>
        <v>NA</v>
      </c>
      <c r="J15" s="3227" t="s">
        <v>2146</v>
      </c>
      <c r="K15" s="3227" t="s">
        <v>2146</v>
      </c>
      <c r="L15" s="3227" t="s">
        <v>2146</v>
      </c>
      <c r="M15" s="3497" t="s">
        <v>2146</v>
      </c>
    </row>
    <row r="16" spans="1:13" ht="18" customHeight="1" x14ac:dyDescent="0.2">
      <c r="B16" s="2616" t="s">
        <v>563</v>
      </c>
      <c r="C16" s="2618" t="s">
        <v>563</v>
      </c>
      <c r="D16" s="3227">
        <v>189.80483598661249</v>
      </c>
      <c r="E16" s="3227">
        <v>2725.4300220352188</v>
      </c>
      <c r="F16" s="3227">
        <v>154.14454425380828</v>
      </c>
      <c r="G16" s="3103">
        <f t="shared" si="1"/>
        <v>1.7500000000000005E-2</v>
      </c>
      <c r="H16" s="3103">
        <f t="shared" si="2"/>
        <v>0.13291204245716456</v>
      </c>
      <c r="I16" s="3103">
        <f t="shared" si="3"/>
        <v>0.57462422872637486</v>
      </c>
      <c r="J16" s="3227">
        <v>3.3215846297657192</v>
      </c>
      <c r="K16" s="3227">
        <v>362.24247080277593</v>
      </c>
      <c r="L16" s="3227">
        <v>121.35986705401575</v>
      </c>
      <c r="M16" s="3497">
        <v>-32.784677199792604</v>
      </c>
    </row>
    <row r="17" spans="2:13" ht="18" customHeight="1" x14ac:dyDescent="0.2">
      <c r="B17" s="2616" t="s">
        <v>564</v>
      </c>
      <c r="C17" s="2618" t="s">
        <v>564</v>
      </c>
      <c r="D17" s="3227">
        <v>0.99436634823563685</v>
      </c>
      <c r="E17" s="3227">
        <v>14.278223651657015</v>
      </c>
      <c r="F17" s="3227">
        <v>0.80754606052775646</v>
      </c>
      <c r="G17" s="3103">
        <f t="shared" si="1"/>
        <v>1.7500000000000002E-2</v>
      </c>
      <c r="H17" s="3103">
        <f t="shared" si="2"/>
        <v>0.13291204245716456</v>
      </c>
      <c r="I17" s="3103">
        <f t="shared" si="3"/>
        <v>0.57462422872637431</v>
      </c>
      <c r="J17" s="3227">
        <v>1.7401411094123645E-2</v>
      </c>
      <c r="K17" s="3227">
        <v>1.8977478682019286</v>
      </c>
      <c r="L17" s="3227">
        <v>0.63579079635977021</v>
      </c>
      <c r="M17" s="3497">
        <v>-0.17175526416798614</v>
      </c>
    </row>
    <row r="18" spans="2:13" ht="18" customHeight="1" x14ac:dyDescent="0.2">
      <c r="B18" s="2616" t="s">
        <v>565</v>
      </c>
      <c r="C18" s="2618" t="s">
        <v>565</v>
      </c>
      <c r="D18" s="3227">
        <v>545.15952891895199</v>
      </c>
      <c r="E18" s="3227">
        <v>7828.0099618699196</v>
      </c>
      <c r="F18" s="3227">
        <v>442.73564840444743</v>
      </c>
      <c r="G18" s="3103">
        <f t="shared" si="1"/>
        <v>1.7500000000000002E-2</v>
      </c>
      <c r="H18" s="3103">
        <f t="shared" si="2"/>
        <v>0.13291204245716456</v>
      </c>
      <c r="I18" s="3103">
        <f t="shared" si="3"/>
        <v>0.57462422872637486</v>
      </c>
      <c r="J18" s="3227">
        <v>9.5402917560816611</v>
      </c>
      <c r="K18" s="3227">
        <v>1040.4367924071619</v>
      </c>
      <c r="L18" s="3227">
        <v>348.57113944926232</v>
      </c>
      <c r="M18" s="3497">
        <v>-94.164508955185255</v>
      </c>
    </row>
    <row r="19" spans="2:13" ht="18" customHeight="1" x14ac:dyDescent="0.2">
      <c r="B19" s="2616" t="s">
        <v>567</v>
      </c>
      <c r="C19" s="2618" t="s">
        <v>567</v>
      </c>
      <c r="D19" s="3227">
        <v>127.04989021416252</v>
      </c>
      <c r="E19" s="3227">
        <v>1824.3243555205313</v>
      </c>
      <c r="F19" s="3227">
        <v>103.17991806035847</v>
      </c>
      <c r="G19" s="3103">
        <f t="shared" si="1"/>
        <v>1.7500000000000002E-2</v>
      </c>
      <c r="H19" s="3103">
        <f t="shared" si="2"/>
        <v>0.13291204245716456</v>
      </c>
      <c r="I19" s="3103">
        <f t="shared" si="3"/>
        <v>0.57462422872637464</v>
      </c>
      <c r="J19" s="3227">
        <v>2.2233730787478443</v>
      </c>
      <c r="K19" s="3227">
        <v>242.47467619658426</v>
      </c>
      <c r="L19" s="3227">
        <v>81.234799447921262</v>
      </c>
      <c r="M19" s="3497">
        <v>-21.945118612437238</v>
      </c>
    </row>
    <row r="20" spans="2:13" ht="18" customHeight="1" x14ac:dyDescent="0.2">
      <c r="B20" s="2616" t="s">
        <v>569</v>
      </c>
      <c r="C20" s="2618" t="s">
        <v>569</v>
      </c>
      <c r="D20" s="3227">
        <v>23.099980038938646</v>
      </c>
      <c r="E20" s="3227">
        <v>331.69533736736946</v>
      </c>
      <c r="F20" s="3227">
        <v>18.759985101883363</v>
      </c>
      <c r="G20" s="3103">
        <f t="shared" si="1"/>
        <v>1.7499999999999998E-2</v>
      </c>
      <c r="H20" s="3103">
        <f t="shared" si="2"/>
        <v>0.13291204245716454</v>
      </c>
      <c r="I20" s="3103">
        <f t="shared" si="3"/>
        <v>0.57462422872637431</v>
      </c>
      <c r="J20" s="3227">
        <v>0.40424965068142626</v>
      </c>
      <c r="K20" s="3227">
        <v>44.08630476301532</v>
      </c>
      <c r="L20" s="3227">
        <v>14.336238400022552</v>
      </c>
      <c r="M20" s="3497">
        <v>-3.5562964299345512</v>
      </c>
    </row>
    <row r="21" spans="2:13" ht="18" customHeight="1" x14ac:dyDescent="0.2">
      <c r="B21" s="2616" t="s">
        <v>571</v>
      </c>
      <c r="C21" s="2618" t="s">
        <v>571</v>
      </c>
      <c r="D21" s="3227">
        <v>6.9299940116815932</v>
      </c>
      <c r="E21" s="3227">
        <v>99.508601210210827</v>
      </c>
      <c r="F21" s="3227">
        <v>5.6279955305650091</v>
      </c>
      <c r="G21" s="3103">
        <f t="shared" si="1"/>
        <v>1.7500000000000002E-2</v>
      </c>
      <c r="H21" s="3103">
        <f t="shared" si="2"/>
        <v>0.13291204245716456</v>
      </c>
      <c r="I21" s="3103">
        <f t="shared" si="3"/>
        <v>0.57462422872637464</v>
      </c>
      <c r="J21" s="3227">
        <v>0.12127489520442788</v>
      </c>
      <c r="K21" s="3227">
        <v>13.2258914289046</v>
      </c>
      <c r="L21" s="3227">
        <v>4.4309890607957065</v>
      </c>
      <c r="M21" s="3497">
        <v>-1.1970064697693041</v>
      </c>
    </row>
    <row r="22" spans="2:13" ht="18" customHeight="1" x14ac:dyDescent="0.2">
      <c r="B22" s="2616" t="s">
        <v>574</v>
      </c>
      <c r="C22" s="2618" t="s">
        <v>574</v>
      </c>
      <c r="D22" s="3227">
        <v>1.1549990019469321</v>
      </c>
      <c r="E22" s="3227">
        <v>15.639145535894771</v>
      </c>
      <c r="F22" s="3227">
        <v>0.93799925509416804</v>
      </c>
      <c r="G22" s="3103">
        <f t="shared" si="1"/>
        <v>1.7500000000000002E-2</v>
      </c>
      <c r="H22" s="3103">
        <f t="shared" si="2"/>
        <v>0.1409485724838003</v>
      </c>
      <c r="I22" s="3103">
        <f t="shared" si="3"/>
        <v>0.5746242287263752</v>
      </c>
      <c r="J22" s="3227">
        <v>2.0212482534071312E-2</v>
      </c>
      <c r="K22" s="3227">
        <v>2.204315238150766</v>
      </c>
      <c r="L22" s="3227">
        <v>0.73849817679928487</v>
      </c>
      <c r="M22" s="3497">
        <v>-0.19950107829488403</v>
      </c>
    </row>
    <row r="23" spans="2:13" ht="18" customHeight="1" x14ac:dyDescent="0.2">
      <c r="B23" s="2616" t="s">
        <v>576</v>
      </c>
      <c r="C23" s="2618" t="s">
        <v>576</v>
      </c>
      <c r="D23" s="3227">
        <v>21.174981702360423</v>
      </c>
      <c r="E23" s="3227">
        <v>304.054059253422</v>
      </c>
      <c r="F23" s="3227">
        <v>17.196653010059748</v>
      </c>
      <c r="G23" s="3103">
        <f t="shared" si="1"/>
        <v>1.7500000000000002E-2</v>
      </c>
      <c r="H23" s="3103">
        <f t="shared" si="2"/>
        <v>0.13291204245716456</v>
      </c>
      <c r="I23" s="3103">
        <f t="shared" si="3"/>
        <v>0.57462422872637464</v>
      </c>
      <c r="J23" s="3227">
        <v>0.37056217979130746</v>
      </c>
      <c r="K23" s="3227">
        <v>40.412446032764052</v>
      </c>
      <c r="L23" s="3227">
        <v>13.141551866687344</v>
      </c>
      <c r="M23" s="3497">
        <v>-3.2599383941066717</v>
      </c>
    </row>
    <row r="24" spans="2:13" ht="18" customHeight="1" x14ac:dyDescent="0.2">
      <c r="B24" s="2616" t="s">
        <v>577</v>
      </c>
      <c r="C24" s="2618" t="s">
        <v>577</v>
      </c>
      <c r="D24" s="3227">
        <v>14.629987357994473</v>
      </c>
      <c r="E24" s="3227">
        <v>210.07371366600063</v>
      </c>
      <c r="F24" s="3227">
        <v>11.881323897859463</v>
      </c>
      <c r="G24" s="3103">
        <f t="shared" si="1"/>
        <v>1.7500000000000002E-2</v>
      </c>
      <c r="H24" s="3103">
        <f t="shared" si="2"/>
        <v>0.13291204245716456</v>
      </c>
      <c r="I24" s="3103">
        <f t="shared" si="3"/>
        <v>0.57462422872637431</v>
      </c>
      <c r="J24" s="3227">
        <v>0.25602477876490332</v>
      </c>
      <c r="K24" s="3227">
        <v>27.921326349909705</v>
      </c>
      <c r="L24" s="3227">
        <v>9.0796176533476149</v>
      </c>
      <c r="M24" s="3497">
        <v>-2.2523210722918821</v>
      </c>
    </row>
    <row r="25" spans="2:13" ht="18" customHeight="1" x14ac:dyDescent="0.2">
      <c r="B25" s="105" t="s">
        <v>669</v>
      </c>
      <c r="C25" s="2508"/>
      <c r="D25" s="2108"/>
      <c r="E25" s="2108"/>
      <c r="F25" s="2108"/>
      <c r="G25" s="2108"/>
      <c r="H25" s="2108"/>
      <c r="I25" s="2108"/>
      <c r="J25" s="3103" t="str">
        <f>IF(SUM(J26:J37)=0,"NO",SUM(J26:J37))</f>
        <v>NO</v>
      </c>
      <c r="K25" s="3103">
        <f>IF(SUM(K26:K37)=0,"NO",SUM(K26:K37))</f>
        <v>13.002226666030442</v>
      </c>
      <c r="L25" s="3103">
        <f>IF(SUM(L26:L37)=0,"NO",SUM(L26:L37))</f>
        <v>49.835780046856058</v>
      </c>
      <c r="M25" s="3226">
        <f>IF(SUM(M26:M37)=0,"NO",SUM(M26:M37))</f>
        <v>-10.979015892056363</v>
      </c>
    </row>
    <row r="26" spans="2:13" ht="18" customHeight="1" x14ac:dyDescent="0.2">
      <c r="B26" s="2616" t="s">
        <v>559</v>
      </c>
      <c r="C26" s="2618" t="s">
        <v>559</v>
      </c>
      <c r="D26" s="3227" t="s">
        <v>2146</v>
      </c>
      <c r="E26" s="3227">
        <v>7.4112713026001602</v>
      </c>
      <c r="F26" s="3227">
        <v>0.64025617259877587</v>
      </c>
      <c r="G26" s="3103" t="str">
        <f>IF(SUM(D26)=0,"NA",J26/D26)</f>
        <v>NA</v>
      </c>
      <c r="H26" s="3103">
        <f>IF(SUM(E26)=0,"NA",K26/E26)</f>
        <v>1.8470112529158471E-2</v>
      </c>
      <c r="I26" s="3103">
        <f t="shared" si="3"/>
        <v>0.63893602790068948</v>
      </c>
      <c r="J26" s="3227" t="s">
        <v>2146</v>
      </c>
      <c r="K26" s="3227">
        <v>0.13688701494314784</v>
      </c>
      <c r="L26" s="3227">
        <v>0.52466945417896793</v>
      </c>
      <c r="M26" s="3497">
        <v>-0.11558671841980782</v>
      </c>
    </row>
    <row r="27" spans="2:13" ht="18" customHeight="1" x14ac:dyDescent="0.2">
      <c r="B27" s="2616" t="s">
        <v>560</v>
      </c>
      <c r="C27" s="2618" t="s">
        <v>560</v>
      </c>
      <c r="D27" s="3227" t="s">
        <v>2146</v>
      </c>
      <c r="E27" s="3227">
        <v>57.172664334344113</v>
      </c>
      <c r="F27" s="3227">
        <v>4.939119045761986</v>
      </c>
      <c r="G27" s="3103" t="str">
        <f t="shared" ref="G27:G37" si="6">IF(SUM(D27)=0,"NA",J27/D27)</f>
        <v>NA</v>
      </c>
      <c r="H27" s="3103">
        <f t="shared" ref="H27:H37" si="7">IF(SUM(E27)=0,"NA",K27/E27)</f>
        <v>1.8470112529158467E-2</v>
      </c>
      <c r="I27" s="3103">
        <f t="shared" si="3"/>
        <v>0.6389360279006896</v>
      </c>
      <c r="J27" s="3227" t="s">
        <v>2146</v>
      </c>
      <c r="K27" s="3227">
        <v>1.0559855438471406</v>
      </c>
      <c r="L27" s="3227">
        <v>4.047450075094897</v>
      </c>
      <c r="M27" s="3497">
        <v>-0.89166897066708906</v>
      </c>
    </row>
    <row r="28" spans="2:13" ht="18" customHeight="1" x14ac:dyDescent="0.2">
      <c r="B28" s="2616" t="s">
        <v>562</v>
      </c>
      <c r="C28" s="2618" t="s">
        <v>562</v>
      </c>
      <c r="D28" s="3227" t="s">
        <v>2146</v>
      </c>
      <c r="E28" s="3227" t="s">
        <v>2146</v>
      </c>
      <c r="F28" s="3227" t="s">
        <v>2146</v>
      </c>
      <c r="G28" s="3103" t="str">
        <f t="shared" si="6"/>
        <v>NA</v>
      </c>
      <c r="H28" s="3103" t="str">
        <f t="shared" si="7"/>
        <v>NA</v>
      </c>
      <c r="I28" s="3103" t="str">
        <f t="shared" si="3"/>
        <v>NA</v>
      </c>
      <c r="J28" s="3227" t="s">
        <v>2146</v>
      </c>
      <c r="K28" s="3227" t="s">
        <v>2146</v>
      </c>
      <c r="L28" s="3227" t="s">
        <v>2146</v>
      </c>
      <c r="M28" s="3497" t="s">
        <v>2146</v>
      </c>
    </row>
    <row r="29" spans="2:13" ht="18" customHeight="1" x14ac:dyDescent="0.2">
      <c r="B29" s="2616" t="s">
        <v>563</v>
      </c>
      <c r="C29" s="2618" t="s">
        <v>563</v>
      </c>
      <c r="D29" s="3227" t="s">
        <v>2146</v>
      </c>
      <c r="E29" s="3227">
        <v>130.49131257792428</v>
      </c>
      <c r="F29" s="3227">
        <v>11.273081896114162</v>
      </c>
      <c r="G29" s="3103" t="str">
        <f t="shared" si="6"/>
        <v>NA</v>
      </c>
      <c r="H29" s="3103">
        <f t="shared" si="7"/>
        <v>1.8470112529158467E-2</v>
      </c>
      <c r="I29" s="3103">
        <f t="shared" si="3"/>
        <v>0.63893602790068948</v>
      </c>
      <c r="J29" s="3227" t="s">
        <v>2146</v>
      </c>
      <c r="K29" s="3227">
        <v>2.4101892273918533</v>
      </c>
      <c r="L29" s="3227">
        <v>9.2379300325082578</v>
      </c>
      <c r="M29" s="3497">
        <v>-2.0351518636059018</v>
      </c>
    </row>
    <row r="30" spans="2:13" ht="18" customHeight="1" x14ac:dyDescent="0.2">
      <c r="B30" s="2616" t="s">
        <v>564</v>
      </c>
      <c r="C30" s="2618" t="s">
        <v>564</v>
      </c>
      <c r="D30" s="3227" t="s">
        <v>2146</v>
      </c>
      <c r="E30" s="3227">
        <v>0.6836294201362586</v>
      </c>
      <c r="F30" s="3227">
        <v>5.9058417664294663E-2</v>
      </c>
      <c r="G30" s="3103" t="str">
        <f t="shared" si="6"/>
        <v>NA</v>
      </c>
      <c r="H30" s="3103">
        <f t="shared" si="7"/>
        <v>1.8470112529158471E-2</v>
      </c>
      <c r="I30" s="3103">
        <f t="shared" si="3"/>
        <v>0.6389360279006896</v>
      </c>
      <c r="J30" s="3227" t="s">
        <v>2146</v>
      </c>
      <c r="K30" s="3227">
        <v>1.262671231816005E-2</v>
      </c>
      <c r="L30" s="3227">
        <v>4.8396484230409501E-2</v>
      </c>
      <c r="M30" s="3497">
        <v>-1.0661933433885152E-2</v>
      </c>
    </row>
    <row r="31" spans="2:13" ht="18" customHeight="1" x14ac:dyDescent="0.2">
      <c r="B31" s="2616" t="s">
        <v>565</v>
      </c>
      <c r="C31" s="2618" t="s">
        <v>565</v>
      </c>
      <c r="D31" s="3227" t="s">
        <v>2146</v>
      </c>
      <c r="E31" s="3227">
        <v>374.79857730292252</v>
      </c>
      <c r="F31" s="3227">
        <v>32.378669299995245</v>
      </c>
      <c r="G31" s="3103" t="str">
        <f t="shared" si="6"/>
        <v>NA</v>
      </c>
      <c r="H31" s="3103">
        <f t="shared" si="7"/>
        <v>1.8470112529158467E-2</v>
      </c>
      <c r="I31" s="3103">
        <f t="shared" si="3"/>
        <v>0.63893602790068948</v>
      </c>
      <c r="J31" s="3227" t="s">
        <v>2146</v>
      </c>
      <c r="K31" s="3227">
        <v>6.9225718985534774</v>
      </c>
      <c r="L31" s="3227">
        <v>26.5332838256221</v>
      </c>
      <c r="M31" s="3497">
        <v>-5.8453854743731393</v>
      </c>
    </row>
    <row r="32" spans="2:13" ht="18" customHeight="1" x14ac:dyDescent="0.2">
      <c r="B32" s="2616" t="s">
        <v>567</v>
      </c>
      <c r="C32" s="2618" t="s">
        <v>567</v>
      </c>
      <c r="D32" s="3227" t="s">
        <v>2146</v>
      </c>
      <c r="E32" s="3227">
        <v>87.347126066359039</v>
      </c>
      <c r="F32" s="3227">
        <v>7.5458763199141448</v>
      </c>
      <c r="G32" s="3103" t="str">
        <f t="shared" si="6"/>
        <v>NA</v>
      </c>
      <c r="H32" s="3103">
        <f t="shared" si="7"/>
        <v>1.8470112529158467E-2</v>
      </c>
      <c r="I32" s="3103">
        <f t="shared" si="3"/>
        <v>0.63893602790068937</v>
      </c>
      <c r="J32" s="3227" t="s">
        <v>2146</v>
      </c>
      <c r="K32" s="3227">
        <v>1.6133112475442424</v>
      </c>
      <c r="L32" s="3227">
        <v>6.1836042813949792</v>
      </c>
      <c r="M32" s="3497">
        <v>-1.3622720385191633</v>
      </c>
    </row>
    <row r="33" spans="2:13" ht="18" customHeight="1" x14ac:dyDescent="0.2">
      <c r="B33" s="2616" t="s">
        <v>569</v>
      </c>
      <c r="C33" s="2618" t="s">
        <v>569</v>
      </c>
      <c r="D33" s="3227" t="s">
        <v>2146</v>
      </c>
      <c r="E33" s="3227">
        <v>15.881295648428919</v>
      </c>
      <c r="F33" s="3227">
        <v>1.3719775127116629</v>
      </c>
      <c r="G33" s="3103" t="str">
        <f t="shared" si="6"/>
        <v>NA</v>
      </c>
      <c r="H33" s="3103">
        <f t="shared" si="7"/>
        <v>1.8470112529158467E-2</v>
      </c>
      <c r="I33" s="3103">
        <f t="shared" si="3"/>
        <v>0.63893602790068937</v>
      </c>
      <c r="J33" s="3227" t="s">
        <v>2146</v>
      </c>
      <c r="K33" s="3227">
        <v>0.29332931773531684</v>
      </c>
      <c r="L33" s="3227">
        <v>1.12429168752636</v>
      </c>
      <c r="M33" s="3497">
        <v>-0.24768582518530249</v>
      </c>
    </row>
    <row r="34" spans="2:13" ht="18" customHeight="1" x14ac:dyDescent="0.2">
      <c r="B34" s="2616" t="s">
        <v>571</v>
      </c>
      <c r="C34" s="2618" t="s">
        <v>571</v>
      </c>
      <c r="D34" s="3227" t="s">
        <v>2146</v>
      </c>
      <c r="E34" s="3227">
        <v>4.7643886945286757</v>
      </c>
      <c r="F34" s="3227">
        <v>0.41159325381349882</v>
      </c>
      <c r="G34" s="3103" t="str">
        <f t="shared" si="6"/>
        <v>NA</v>
      </c>
      <c r="H34" s="3103">
        <f t="shared" si="7"/>
        <v>1.8470112529158467E-2</v>
      </c>
      <c r="I34" s="3103">
        <f t="shared" si="3"/>
        <v>0.63893602790068971</v>
      </c>
      <c r="J34" s="3227" t="s">
        <v>2146</v>
      </c>
      <c r="K34" s="3227">
        <v>8.7998795320595055E-2</v>
      </c>
      <c r="L34" s="3227">
        <v>0.33728750625790804</v>
      </c>
      <c r="M34" s="3497">
        <v>-7.4305747555590745E-2</v>
      </c>
    </row>
    <row r="35" spans="2:13" ht="18" customHeight="1" x14ac:dyDescent="0.2">
      <c r="B35" s="2616" t="s">
        <v>574</v>
      </c>
      <c r="C35" s="2618" t="s">
        <v>574</v>
      </c>
      <c r="D35" s="3227" t="s">
        <v>2146</v>
      </c>
      <c r="E35" s="3227">
        <v>0.79406478242144585</v>
      </c>
      <c r="F35" s="3227">
        <v>6.8598875635583131E-2</v>
      </c>
      <c r="G35" s="3103" t="str">
        <f t="shared" si="6"/>
        <v>NA</v>
      </c>
      <c r="H35" s="3103">
        <f t="shared" si="7"/>
        <v>1.8470112529158471E-2</v>
      </c>
      <c r="I35" s="3103">
        <f t="shared" si="3"/>
        <v>0.6389360279006896</v>
      </c>
      <c r="J35" s="3227" t="s">
        <v>2146</v>
      </c>
      <c r="K35" s="3227">
        <v>1.4666465886765843E-2</v>
      </c>
      <c r="L35" s="3227">
        <v>5.6214584376318003E-2</v>
      </c>
      <c r="M35" s="3497">
        <v>-1.2384291259265124E-2</v>
      </c>
    </row>
    <row r="36" spans="2:13" ht="18" customHeight="1" x14ac:dyDescent="0.2">
      <c r="B36" s="2616" t="s">
        <v>576</v>
      </c>
      <c r="C36" s="2618" t="s">
        <v>576</v>
      </c>
      <c r="D36" s="3227" t="s">
        <v>2146</v>
      </c>
      <c r="E36" s="3227">
        <v>14.557854344393174</v>
      </c>
      <c r="F36" s="3227">
        <v>1.2576460533190241</v>
      </c>
      <c r="G36" s="3103" t="str">
        <f t="shared" si="6"/>
        <v>NA</v>
      </c>
      <c r="H36" s="3103">
        <f t="shared" si="7"/>
        <v>1.8470112529158474E-2</v>
      </c>
      <c r="I36" s="3103">
        <f t="shared" si="3"/>
        <v>0.63893602790068948</v>
      </c>
      <c r="J36" s="3227" t="s">
        <v>2146</v>
      </c>
      <c r="K36" s="3227">
        <v>0.26888520792404047</v>
      </c>
      <c r="L36" s="3227">
        <v>1.0306007135658299</v>
      </c>
      <c r="M36" s="3497">
        <v>-0.22704533975319394</v>
      </c>
    </row>
    <row r="37" spans="2:13" ht="18" customHeight="1" x14ac:dyDescent="0.2">
      <c r="B37" s="2616" t="s">
        <v>577</v>
      </c>
      <c r="C37" s="2618" t="s">
        <v>577</v>
      </c>
      <c r="D37" s="3227" t="s">
        <v>2146</v>
      </c>
      <c r="E37" s="3227">
        <v>10.058153910671647</v>
      </c>
      <c r="F37" s="3227">
        <v>0.86891909138405299</v>
      </c>
      <c r="G37" s="3103" t="str">
        <f t="shared" si="6"/>
        <v>NA</v>
      </c>
      <c r="H37" s="3103">
        <f t="shared" si="7"/>
        <v>1.8470112529158471E-2</v>
      </c>
      <c r="I37" s="3103">
        <f t="shared" si="3"/>
        <v>0.6389360279006896</v>
      </c>
      <c r="J37" s="3227" t="s">
        <v>2146</v>
      </c>
      <c r="K37" s="3227">
        <v>0.18577523456570066</v>
      </c>
      <c r="L37" s="3227">
        <v>0.71205140210002793</v>
      </c>
      <c r="M37" s="3497">
        <v>-0.15686768928402489</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IE</v>
      </c>
      <c r="E39" s="3227" t="str">
        <f t="shared" ref="E39:F39" si="8">IF(E13="NO","NO","IE")</f>
        <v>IE</v>
      </c>
      <c r="F39" s="3227" t="str">
        <f t="shared" si="8"/>
        <v>IE</v>
      </c>
      <c r="G39" s="3103" t="str">
        <f>IF(SUM(D39)=0,"NA",J39/D39)</f>
        <v>NA</v>
      </c>
      <c r="H39" s="3103" t="str">
        <f>IF(SUM(E39)=0,"NA",K39/E39)</f>
        <v>NA</v>
      </c>
      <c r="I39" s="3103" t="str">
        <f t="shared" si="3"/>
        <v>NA</v>
      </c>
      <c r="J39" s="3227" t="str">
        <f>IF(J13="NO","NO","IE")</f>
        <v>IE</v>
      </c>
      <c r="K39" s="3227" t="str">
        <f t="shared" ref="K39:L39" si="9">IF(K13="NO","NO","IE")</f>
        <v>IE</v>
      </c>
      <c r="L39" s="3227" t="str">
        <f t="shared" si="9"/>
        <v>IE</v>
      </c>
      <c r="M39" s="3497" t="str">
        <f t="shared" ref="M39" si="10">IF(M13="NO","NO","IE")</f>
        <v>IE</v>
      </c>
    </row>
    <row r="40" spans="2:13" ht="18" customHeight="1" x14ac:dyDescent="0.2">
      <c r="B40" s="2616" t="s">
        <v>560</v>
      </c>
      <c r="C40" s="2618" t="s">
        <v>560</v>
      </c>
      <c r="D40" s="3227" t="str">
        <f t="shared" ref="D40:F50" si="11">IF(D14="NO","NO","IE")</f>
        <v>IE</v>
      </c>
      <c r="E40" s="3227" t="str">
        <f t="shared" si="11"/>
        <v>IE</v>
      </c>
      <c r="F40" s="3227" t="str">
        <f t="shared" si="11"/>
        <v>IE</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IE</v>
      </c>
    </row>
    <row r="41" spans="2:13" ht="18" customHeight="1" x14ac:dyDescent="0.2">
      <c r="B41" s="2616" t="s">
        <v>562</v>
      </c>
      <c r="C41" s="2618" t="s">
        <v>562</v>
      </c>
      <c r="D41" s="3227" t="str">
        <f t="shared" si="11"/>
        <v>NO</v>
      </c>
      <c r="E41" s="3227" t="str">
        <f t="shared" si="11"/>
        <v>NO</v>
      </c>
      <c r="F41" s="3227" t="str">
        <f t="shared" si="11"/>
        <v>NO</v>
      </c>
      <c r="G41" s="3103" t="str">
        <f t="shared" si="12"/>
        <v>NA</v>
      </c>
      <c r="H41" s="3103" t="str">
        <f t="shared" si="13"/>
        <v>NA</v>
      </c>
      <c r="I41" s="3103" t="str">
        <f t="shared" si="3"/>
        <v>NA</v>
      </c>
      <c r="J41" s="3227" t="str">
        <f t="shared" ref="J41:L41" si="16">IF(J15="NO","NO","IE")</f>
        <v>NO</v>
      </c>
      <c r="K41" s="3227" t="str">
        <f t="shared" si="16"/>
        <v>NO</v>
      </c>
      <c r="L41" s="3227" t="str">
        <f t="shared" si="16"/>
        <v>NO</v>
      </c>
      <c r="M41" s="3497" t="str">
        <f t="shared" ref="M41" si="17">IF(M15="NO","NO","IE")</f>
        <v>NO</v>
      </c>
    </row>
    <row r="42" spans="2:13" ht="18" customHeight="1" x14ac:dyDescent="0.2">
      <c r="B42" s="2616" t="s">
        <v>563</v>
      </c>
      <c r="C42" s="2618" t="s">
        <v>563</v>
      </c>
      <c r="D42" s="3227" t="str">
        <f t="shared" si="11"/>
        <v>IE</v>
      </c>
      <c r="E42" s="3227" t="str">
        <f t="shared" si="11"/>
        <v>IE</v>
      </c>
      <c r="F42" s="3227" t="str">
        <f t="shared" si="11"/>
        <v>IE</v>
      </c>
      <c r="G42" s="3103" t="str">
        <f t="shared" si="12"/>
        <v>NA</v>
      </c>
      <c r="H42" s="3103" t="str">
        <f t="shared" si="13"/>
        <v>NA</v>
      </c>
      <c r="I42" s="3103" t="str">
        <f t="shared" si="3"/>
        <v>NA</v>
      </c>
      <c r="J42" s="3227" t="str">
        <f t="shared" ref="J42:L42" si="18">IF(J16="NO","NO","IE")</f>
        <v>IE</v>
      </c>
      <c r="K42" s="3227" t="str">
        <f t="shared" si="18"/>
        <v>IE</v>
      </c>
      <c r="L42" s="3227" t="str">
        <f t="shared" si="18"/>
        <v>IE</v>
      </c>
      <c r="M42" s="3497" t="str">
        <f t="shared" ref="M42" si="19">IF(M16="NO","NO","IE")</f>
        <v>IE</v>
      </c>
    </row>
    <row r="43" spans="2:13" ht="18" customHeight="1" x14ac:dyDescent="0.2">
      <c r="B43" s="2616" t="s">
        <v>564</v>
      </c>
      <c r="C43" s="2618" t="s">
        <v>564</v>
      </c>
      <c r="D43" s="3227" t="str">
        <f t="shared" si="11"/>
        <v>IE</v>
      </c>
      <c r="E43" s="3227" t="str">
        <f t="shared" si="11"/>
        <v>IE</v>
      </c>
      <c r="F43" s="3227" t="str">
        <f t="shared" si="11"/>
        <v>IE</v>
      </c>
      <c r="G43" s="3103" t="str">
        <f t="shared" si="12"/>
        <v>NA</v>
      </c>
      <c r="H43" s="3103" t="str">
        <f t="shared" si="13"/>
        <v>NA</v>
      </c>
      <c r="I43" s="3103" t="str">
        <f t="shared" si="3"/>
        <v>NA</v>
      </c>
      <c r="J43" s="3227" t="str">
        <f t="shared" ref="J43:L43" si="20">IF(J17="NO","NO","IE")</f>
        <v>IE</v>
      </c>
      <c r="K43" s="3227" t="str">
        <f t="shared" si="20"/>
        <v>IE</v>
      </c>
      <c r="L43" s="3227" t="str">
        <f t="shared" si="20"/>
        <v>IE</v>
      </c>
      <c r="M43" s="3497" t="str">
        <f t="shared" ref="M43" si="21">IF(M17="NO","NO","IE")</f>
        <v>IE</v>
      </c>
    </row>
    <row r="44" spans="2:13" ht="18" customHeight="1" x14ac:dyDescent="0.2">
      <c r="B44" s="2616" t="s">
        <v>565</v>
      </c>
      <c r="C44" s="2618" t="s">
        <v>565</v>
      </c>
      <c r="D44" s="3227" t="str">
        <f t="shared" si="11"/>
        <v>IE</v>
      </c>
      <c r="E44" s="3227" t="str">
        <f t="shared" si="11"/>
        <v>IE</v>
      </c>
      <c r="F44" s="3227" t="str">
        <f t="shared" si="11"/>
        <v>IE</v>
      </c>
      <c r="G44" s="3103" t="str">
        <f t="shared" si="12"/>
        <v>NA</v>
      </c>
      <c r="H44" s="3103" t="str">
        <f t="shared" si="13"/>
        <v>NA</v>
      </c>
      <c r="I44" s="3103" t="str">
        <f t="shared" si="3"/>
        <v>NA</v>
      </c>
      <c r="J44" s="3227" t="str">
        <f t="shared" ref="J44:L44" si="22">IF(J18="NO","NO","IE")</f>
        <v>IE</v>
      </c>
      <c r="K44" s="3227" t="str">
        <f t="shared" si="22"/>
        <v>IE</v>
      </c>
      <c r="L44" s="3227" t="str">
        <f t="shared" si="22"/>
        <v>IE</v>
      </c>
      <c r="M44" s="3497" t="str">
        <f t="shared" ref="M44" si="23">IF(M18="NO","NO","IE")</f>
        <v>IE</v>
      </c>
    </row>
    <row r="45" spans="2:13" ht="18" customHeight="1" x14ac:dyDescent="0.2">
      <c r="B45" s="2616" t="s">
        <v>567</v>
      </c>
      <c r="C45" s="2618" t="s">
        <v>567</v>
      </c>
      <c r="D45" s="3227" t="str">
        <f t="shared" si="11"/>
        <v>IE</v>
      </c>
      <c r="E45" s="3227" t="str">
        <f t="shared" si="11"/>
        <v>IE</v>
      </c>
      <c r="F45" s="3227" t="str">
        <f t="shared" si="11"/>
        <v>IE</v>
      </c>
      <c r="G45" s="3103" t="str">
        <f t="shared" si="12"/>
        <v>NA</v>
      </c>
      <c r="H45" s="3103" t="str">
        <f t="shared" si="13"/>
        <v>NA</v>
      </c>
      <c r="I45" s="3103" t="str">
        <f t="shared" si="3"/>
        <v>NA</v>
      </c>
      <c r="J45" s="3227" t="str">
        <f t="shared" ref="J45:L45" si="24">IF(J19="NO","NO","IE")</f>
        <v>IE</v>
      </c>
      <c r="K45" s="3227" t="str">
        <f t="shared" si="24"/>
        <v>IE</v>
      </c>
      <c r="L45" s="3227" t="str">
        <f t="shared" si="24"/>
        <v>IE</v>
      </c>
      <c r="M45" s="3497" t="str">
        <f t="shared" ref="M45" si="25">IF(M19="NO","NO","IE")</f>
        <v>IE</v>
      </c>
    </row>
    <row r="46" spans="2:13" ht="18" customHeight="1" x14ac:dyDescent="0.2">
      <c r="B46" s="2616" t="s">
        <v>569</v>
      </c>
      <c r="C46" s="2618" t="s">
        <v>569</v>
      </c>
      <c r="D46" s="3227" t="str">
        <f t="shared" si="11"/>
        <v>IE</v>
      </c>
      <c r="E46" s="3227" t="str">
        <f t="shared" si="11"/>
        <v>IE</v>
      </c>
      <c r="F46" s="3227" t="str">
        <f t="shared" si="11"/>
        <v>IE</v>
      </c>
      <c r="G46" s="3103" t="str">
        <f t="shared" si="12"/>
        <v>NA</v>
      </c>
      <c r="H46" s="3103" t="str">
        <f t="shared" si="13"/>
        <v>NA</v>
      </c>
      <c r="I46" s="3103" t="str">
        <f t="shared" si="3"/>
        <v>NA</v>
      </c>
      <c r="J46" s="3227" t="str">
        <f t="shared" ref="J46:L46" si="26">IF(J20="NO","NO","IE")</f>
        <v>IE</v>
      </c>
      <c r="K46" s="3227" t="str">
        <f t="shared" si="26"/>
        <v>IE</v>
      </c>
      <c r="L46" s="3227" t="str">
        <f t="shared" si="26"/>
        <v>IE</v>
      </c>
      <c r="M46" s="3497" t="str">
        <f t="shared" ref="M46" si="27">IF(M20="NO","NO","IE")</f>
        <v>IE</v>
      </c>
    </row>
    <row r="47" spans="2:13" ht="18" customHeight="1" x14ac:dyDescent="0.2">
      <c r="B47" s="2616" t="s">
        <v>571</v>
      </c>
      <c r="C47" s="2618" t="s">
        <v>571</v>
      </c>
      <c r="D47" s="3227" t="str">
        <f t="shared" si="11"/>
        <v>IE</v>
      </c>
      <c r="E47" s="3227" t="str">
        <f t="shared" si="11"/>
        <v>IE</v>
      </c>
      <c r="F47" s="3227" t="str">
        <f t="shared" si="11"/>
        <v>IE</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IE</v>
      </c>
    </row>
    <row r="48" spans="2:13" ht="18" customHeight="1" x14ac:dyDescent="0.2">
      <c r="B48" s="2616" t="s">
        <v>574</v>
      </c>
      <c r="C48" s="2618" t="s">
        <v>574</v>
      </c>
      <c r="D48" s="3227" t="str">
        <f t="shared" si="11"/>
        <v>IE</v>
      </c>
      <c r="E48" s="3227" t="str">
        <f t="shared" si="11"/>
        <v>IE</v>
      </c>
      <c r="F48" s="3227" t="str">
        <f t="shared" si="11"/>
        <v>IE</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IE</v>
      </c>
    </row>
    <row r="49" spans="2:13" ht="18" customHeight="1" x14ac:dyDescent="0.2">
      <c r="B49" s="2616" t="s">
        <v>576</v>
      </c>
      <c r="C49" s="2618" t="s">
        <v>576</v>
      </c>
      <c r="D49" s="3227" t="str">
        <f t="shared" si="11"/>
        <v>IE</v>
      </c>
      <c r="E49" s="3227" t="str">
        <f t="shared" si="11"/>
        <v>IE</v>
      </c>
      <c r="F49" s="3227" t="str">
        <f t="shared" si="11"/>
        <v>IE</v>
      </c>
      <c r="G49" s="3103" t="str">
        <f t="shared" si="12"/>
        <v>NA</v>
      </c>
      <c r="H49" s="3103" t="str">
        <f t="shared" si="13"/>
        <v>NA</v>
      </c>
      <c r="I49" s="3103" t="str">
        <f t="shared" si="3"/>
        <v>NA</v>
      </c>
      <c r="J49" s="3227" t="str">
        <f t="shared" ref="J49:L49" si="32">IF(J23="NO","NO","IE")</f>
        <v>IE</v>
      </c>
      <c r="K49" s="3227" t="str">
        <f t="shared" si="32"/>
        <v>IE</v>
      </c>
      <c r="L49" s="3227" t="str">
        <f t="shared" si="32"/>
        <v>IE</v>
      </c>
      <c r="M49" s="3497" t="str">
        <f t="shared" ref="M49" si="33">IF(M23="NO","NO","IE")</f>
        <v>IE</v>
      </c>
    </row>
    <row r="50" spans="2:13" ht="18" customHeight="1" x14ac:dyDescent="0.2">
      <c r="B50" s="2616" t="s">
        <v>577</v>
      </c>
      <c r="C50" s="2618" t="s">
        <v>577</v>
      </c>
      <c r="D50" s="3227" t="str">
        <f t="shared" si="11"/>
        <v>IE</v>
      </c>
      <c r="E50" s="3227" t="str">
        <f t="shared" si="11"/>
        <v>IE</v>
      </c>
      <c r="F50" s="3227" t="str">
        <f t="shared" si="11"/>
        <v>IE</v>
      </c>
      <c r="G50" s="3103" t="str">
        <f t="shared" si="12"/>
        <v>NA</v>
      </c>
      <c r="H50" s="3103" t="str">
        <f t="shared" si="13"/>
        <v>NA</v>
      </c>
      <c r="I50" s="3103" t="str">
        <f t="shared" si="3"/>
        <v>NA</v>
      </c>
      <c r="J50" s="3227" t="str">
        <f t="shared" ref="J50:L50" si="34">IF(J24="NO","NO","IE")</f>
        <v>IE</v>
      </c>
      <c r="K50" s="3227" t="str">
        <f t="shared" si="34"/>
        <v>IE</v>
      </c>
      <c r="L50" s="3227" t="str">
        <f t="shared" si="34"/>
        <v>IE</v>
      </c>
      <c r="M50" s="3497" t="str">
        <f t="shared" ref="M50" si="35">IF(M24="NO","NO","IE")</f>
        <v>IE</v>
      </c>
    </row>
    <row r="51" spans="2:13" ht="18" customHeight="1" x14ac:dyDescent="0.2">
      <c r="B51" s="104" t="s">
        <v>671</v>
      </c>
      <c r="C51" s="2508"/>
      <c r="D51" s="2108"/>
      <c r="E51" s="2108"/>
      <c r="F51" s="2108"/>
      <c r="G51" s="2108"/>
      <c r="H51" s="2108"/>
      <c r="I51" s="2108"/>
      <c r="J51" s="3103">
        <f>IF(SUM(J52:J63)=0,"NO",SUM(J52:J63))</f>
        <v>4.320521361418435</v>
      </c>
      <c r="K51" s="3103">
        <f>IF(SUM(K52:K63)=0,"NO",SUM(K52:K63))</f>
        <v>136.44650297427899</v>
      </c>
      <c r="L51" s="3103">
        <f>IF(SUM(L52:L63)=0,"NO",SUM(L52:L63))</f>
        <v>77.167493533348377</v>
      </c>
      <c r="M51" s="3226">
        <f>IF(SUM(M52:M63)=0,"NO",SUM(M52:M63))</f>
        <v>-19.833681608520177</v>
      </c>
    </row>
    <row r="52" spans="2:13" ht="18" customHeight="1" x14ac:dyDescent="0.2">
      <c r="B52" s="2616" t="s">
        <v>559</v>
      </c>
      <c r="C52" s="2618" t="s">
        <v>559</v>
      </c>
      <c r="D52" s="3227">
        <v>0.89188837005778354</v>
      </c>
      <c r="E52" s="3227">
        <v>8.2467221953461056</v>
      </c>
      <c r="F52" s="3227">
        <v>1.0212251833632793</v>
      </c>
      <c r="G52" s="3103">
        <f>IF(SUM(D52)=0,"NA",J52/D52)</f>
        <v>5.1000000000000004E-2</v>
      </c>
      <c r="H52" s="3103">
        <f>IF(SUM(E52)=0,"NA",K52/E52)</f>
        <v>0.17419094085457212</v>
      </c>
      <c r="I52" s="3103">
        <f t="shared" si="3"/>
        <v>0.59106306538013531</v>
      </c>
      <c r="J52" s="3227">
        <v>4.5486306872946962E-2</v>
      </c>
      <c r="K52" s="3227">
        <v>1.4365042981736207</v>
      </c>
      <c r="L52" s="3227">
        <v>0.81241683534268505</v>
      </c>
      <c r="M52" s="3497">
        <v>-0.20880834802059445</v>
      </c>
    </row>
    <row r="53" spans="2:13" ht="18" customHeight="1" x14ac:dyDescent="0.2">
      <c r="B53" s="2616" t="s">
        <v>560</v>
      </c>
      <c r="C53" s="2618" t="s">
        <v>560</v>
      </c>
      <c r="D53" s="3227">
        <v>6.8802817118743311</v>
      </c>
      <c r="E53" s="3227">
        <v>63.617571221241398</v>
      </c>
      <c r="F53" s="3227">
        <v>7.8780228430881554</v>
      </c>
      <c r="G53" s="3103">
        <f t="shared" ref="G53:G63" si="36">IF(SUM(D53)=0,"NA",J53/D53)</f>
        <v>5.0999999999999997E-2</v>
      </c>
      <c r="H53" s="3103">
        <f t="shared" ref="H53:H63" si="37">IF(SUM(E53)=0,"NA",K53/E53)</f>
        <v>0.17419094085457212</v>
      </c>
      <c r="I53" s="3103">
        <f t="shared" si="3"/>
        <v>0.59106306538013542</v>
      </c>
      <c r="J53" s="3227">
        <v>0.35089436730559087</v>
      </c>
      <c r="K53" s="3227">
        <v>11.081604585910791</v>
      </c>
      <c r="L53" s="3227">
        <v>6.2672155869292858</v>
      </c>
      <c r="M53" s="3497">
        <v>-1.6108072561588718</v>
      </c>
    </row>
    <row r="54" spans="2:13" ht="18" customHeight="1" x14ac:dyDescent="0.2">
      <c r="B54" s="2616" t="s">
        <v>562</v>
      </c>
      <c r="C54" s="2618" t="s">
        <v>562</v>
      </c>
      <c r="D54" s="3227" t="s">
        <v>2146</v>
      </c>
      <c r="E54" s="3227" t="s">
        <v>2146</v>
      </c>
      <c r="F54" s="3227" t="s">
        <v>2146</v>
      </c>
      <c r="G54" s="3103" t="str">
        <f t="shared" si="36"/>
        <v>NA</v>
      </c>
      <c r="H54" s="3103" t="str">
        <f t="shared" si="37"/>
        <v>NA</v>
      </c>
      <c r="I54" s="3103" t="str">
        <f t="shared" si="3"/>
        <v>NA</v>
      </c>
      <c r="J54" s="3227" t="s">
        <v>2146</v>
      </c>
      <c r="K54" s="3227" t="s">
        <v>2146</v>
      </c>
      <c r="L54" s="3227" t="s">
        <v>2146</v>
      </c>
      <c r="M54" s="3497" t="s">
        <v>2146</v>
      </c>
    </row>
    <row r="55" spans="2:13" ht="18" customHeight="1" x14ac:dyDescent="0.2">
      <c r="B55" s="2616" t="s">
        <v>563</v>
      </c>
      <c r="C55" s="2618" t="s">
        <v>563</v>
      </c>
      <c r="D55" s="3227">
        <v>15.70360594423169</v>
      </c>
      <c r="E55" s="3227">
        <v>145.20121579662964</v>
      </c>
      <c r="F55" s="3227">
        <v>17.980857692789169</v>
      </c>
      <c r="G55" s="3103">
        <f t="shared" si="36"/>
        <v>5.0999999999999997E-2</v>
      </c>
      <c r="H55" s="3103">
        <f t="shared" si="37"/>
        <v>0.17419094085457215</v>
      </c>
      <c r="I55" s="3103">
        <f t="shared" si="3"/>
        <v>0.59106306538013498</v>
      </c>
      <c r="J55" s="3227">
        <v>0.80088390315581615</v>
      </c>
      <c r="K55" s="3227">
        <v>25.292736392842681</v>
      </c>
      <c r="L55" s="3227">
        <v>14.304339279426557</v>
      </c>
      <c r="M55" s="3497">
        <v>-3.6765184133626096</v>
      </c>
    </row>
    <row r="56" spans="2:13" ht="18" customHeight="1" x14ac:dyDescent="0.2">
      <c r="B56" s="2616" t="s">
        <v>564</v>
      </c>
      <c r="C56" s="2618" t="s">
        <v>564</v>
      </c>
      <c r="D56" s="3227">
        <v>8.2269438582684415E-2</v>
      </c>
      <c r="E56" s="3227">
        <v>0.76069296106477002</v>
      </c>
      <c r="F56" s="3227">
        <v>9.4199706288750837E-2</v>
      </c>
      <c r="G56" s="3103">
        <f t="shared" si="36"/>
        <v>5.0999999999999997E-2</v>
      </c>
      <c r="H56" s="3103">
        <f t="shared" si="37"/>
        <v>0.17419094085457218</v>
      </c>
      <c r="I56" s="3103">
        <f t="shared" si="3"/>
        <v>0.59106306538013476</v>
      </c>
      <c r="J56" s="3227">
        <v>4.1957413677169049E-3</v>
      </c>
      <c r="K56" s="3227">
        <v>0.13250582258932272</v>
      </c>
      <c r="L56" s="3227">
        <v>7.4938836722844127E-2</v>
      </c>
      <c r="M56" s="3497">
        <v>-1.9260869565906693E-2</v>
      </c>
    </row>
    <row r="57" spans="2:13" ht="18" customHeight="1" x14ac:dyDescent="0.2">
      <c r="B57" s="2616" t="s">
        <v>565</v>
      </c>
      <c r="C57" s="2618" t="s">
        <v>565</v>
      </c>
      <c r="D57" s="3227">
        <v>45.10406900006506</v>
      </c>
      <c r="E57" s="3227">
        <v>417.04852245036028</v>
      </c>
      <c r="F57" s="3227">
        <v>51.644816415800129</v>
      </c>
      <c r="G57" s="3103">
        <f t="shared" si="36"/>
        <v>5.1000000000000004E-2</v>
      </c>
      <c r="H57" s="3103">
        <f t="shared" si="37"/>
        <v>0.17419094085457215</v>
      </c>
      <c r="I57" s="3103">
        <f t="shared" si="3"/>
        <v>0.59106306538013531</v>
      </c>
      <c r="J57" s="3227">
        <v>2.3003075190033182</v>
      </c>
      <c r="K57" s="3227">
        <v>72.646074507637408</v>
      </c>
      <c r="L57" s="3227">
        <v>41.085079958758655</v>
      </c>
      <c r="M57" s="3497">
        <v>-10.559736457041494</v>
      </c>
    </row>
    <row r="58" spans="2:13" ht="18" customHeight="1" x14ac:dyDescent="0.2">
      <c r="B58" s="2616" t="s">
        <v>567</v>
      </c>
      <c r="C58" s="2618" t="s">
        <v>567</v>
      </c>
      <c r="D58" s="3227">
        <v>10.511541504252449</v>
      </c>
      <c r="E58" s="3227">
        <v>97.193511588007667</v>
      </c>
      <c r="F58" s="3227">
        <v>12.03586823249579</v>
      </c>
      <c r="G58" s="3103">
        <f t="shared" si="36"/>
        <v>5.1000000000000004E-2</v>
      </c>
      <c r="H58" s="3103">
        <f t="shared" si="37"/>
        <v>0.17419094085457212</v>
      </c>
      <c r="I58" s="3103">
        <f t="shared" si="3"/>
        <v>0.59106306538013553</v>
      </c>
      <c r="J58" s="3227">
        <v>0.53608861671687491</v>
      </c>
      <c r="K58" s="3227">
        <v>16.930229228474815</v>
      </c>
      <c r="L58" s="3227">
        <v>9.5749127022530764</v>
      </c>
      <c r="M58" s="3497">
        <v>-2.4609555302427202</v>
      </c>
    </row>
    <row r="59" spans="2:13" ht="18" customHeight="1" x14ac:dyDescent="0.2">
      <c r="B59" s="2616" t="s">
        <v>569</v>
      </c>
      <c r="C59" s="2618" t="s">
        <v>569</v>
      </c>
      <c r="D59" s="3227">
        <v>1.9111893644095364</v>
      </c>
      <c r="E59" s="3227">
        <v>17.671547561455942</v>
      </c>
      <c r="F59" s="3227">
        <v>2.1883396786355984</v>
      </c>
      <c r="G59" s="3103">
        <f t="shared" si="36"/>
        <v>5.1000000000000004E-2</v>
      </c>
      <c r="H59" s="3103">
        <f t="shared" si="37"/>
        <v>0.17419094085457212</v>
      </c>
      <c r="I59" s="3103">
        <f t="shared" si="3"/>
        <v>0.59106306538013564</v>
      </c>
      <c r="J59" s="3227">
        <v>9.7470657584886364E-2</v>
      </c>
      <c r="K59" s="3227">
        <v>3.0782234960863302</v>
      </c>
      <c r="L59" s="3227">
        <v>1.7408932185914687</v>
      </c>
      <c r="M59" s="3497">
        <v>-0.44744646004413108</v>
      </c>
    </row>
    <row r="60" spans="2:13" ht="18" customHeight="1" x14ac:dyDescent="0.2">
      <c r="B60" s="2616" t="s">
        <v>571</v>
      </c>
      <c r="C60" s="2618" t="s">
        <v>571</v>
      </c>
      <c r="D60" s="3227">
        <v>0.57335680932286093</v>
      </c>
      <c r="E60" s="3227">
        <v>5.3014642684367823</v>
      </c>
      <c r="F60" s="3227">
        <v>0.65650190359067961</v>
      </c>
      <c r="G60" s="3103">
        <f t="shared" si="36"/>
        <v>5.0999999999999997E-2</v>
      </c>
      <c r="H60" s="3103">
        <f t="shared" si="37"/>
        <v>0.17419094085457218</v>
      </c>
      <c r="I60" s="3103">
        <f t="shared" si="3"/>
        <v>0.59106306538013498</v>
      </c>
      <c r="J60" s="3227">
        <v>2.9241197275465904E-2</v>
      </c>
      <c r="K60" s="3227">
        <v>0.92346704882589925</v>
      </c>
      <c r="L60" s="3227">
        <v>0.52226796557744026</v>
      </c>
      <c r="M60" s="3497">
        <v>-0.13423393801323932</v>
      </c>
    </row>
    <row r="61" spans="2:13" ht="18" customHeight="1" x14ac:dyDescent="0.2">
      <c r="B61" s="2616" t="s">
        <v>574</v>
      </c>
      <c r="C61" s="2618" t="s">
        <v>574</v>
      </c>
      <c r="D61" s="3227">
        <v>9.5559468220476812E-2</v>
      </c>
      <c r="E61" s="3227">
        <v>0.8835773780727969</v>
      </c>
      <c r="F61" s="3227">
        <v>0.10941698393177993</v>
      </c>
      <c r="G61" s="3103">
        <f t="shared" si="36"/>
        <v>5.0999999999999997E-2</v>
      </c>
      <c r="H61" s="3103">
        <f t="shared" si="37"/>
        <v>0.17419094085457215</v>
      </c>
      <c r="I61" s="3103">
        <f t="shared" si="3"/>
        <v>0.59106306538013487</v>
      </c>
      <c r="J61" s="3227">
        <v>4.873532879244317E-3</v>
      </c>
      <c r="K61" s="3227">
        <v>0.15391117480431651</v>
      </c>
      <c r="L61" s="3227">
        <v>8.7044660929573359E-2</v>
      </c>
      <c r="M61" s="3497">
        <v>-2.237232300220655E-2</v>
      </c>
    </row>
    <row r="62" spans="2:13" ht="18" customHeight="1" x14ac:dyDescent="0.2">
      <c r="B62" s="2616" t="s">
        <v>576</v>
      </c>
      <c r="C62" s="2618" t="s">
        <v>576</v>
      </c>
      <c r="D62" s="3227">
        <v>1.751923584042075</v>
      </c>
      <c r="E62" s="3227">
        <v>16.198918598001281</v>
      </c>
      <c r="F62" s="3227">
        <v>2.0059780387492987</v>
      </c>
      <c r="G62" s="3103">
        <f t="shared" si="36"/>
        <v>5.099999999999999E-2</v>
      </c>
      <c r="H62" s="3103">
        <f t="shared" si="37"/>
        <v>0.17419094085457212</v>
      </c>
      <c r="I62" s="3103">
        <f t="shared" si="3"/>
        <v>0.59106306538013553</v>
      </c>
      <c r="J62" s="3227">
        <v>8.9348102786145814E-2</v>
      </c>
      <c r="K62" s="3227">
        <v>2.8217048714124697</v>
      </c>
      <c r="L62" s="3227">
        <v>1.5958187837088462</v>
      </c>
      <c r="M62" s="3497">
        <v>-0.41015925504045347</v>
      </c>
    </row>
    <row r="63" spans="2:13" ht="18" customHeight="1" x14ac:dyDescent="0.2">
      <c r="B63" s="2616" t="s">
        <v>577</v>
      </c>
      <c r="C63" s="2618" t="s">
        <v>577</v>
      </c>
      <c r="D63" s="3227">
        <v>1.2104199307927064</v>
      </c>
      <c r="E63" s="3227">
        <v>11.19198012225543</v>
      </c>
      <c r="F63" s="3227">
        <v>1.3859484631358792</v>
      </c>
      <c r="G63" s="3103">
        <f t="shared" si="36"/>
        <v>5.0999999999999997E-2</v>
      </c>
      <c r="H63" s="3103">
        <f t="shared" si="37"/>
        <v>0.17419094085457215</v>
      </c>
      <c r="I63" s="3103">
        <f t="shared" si="3"/>
        <v>0.59106306538013509</v>
      </c>
      <c r="J63" s="3227">
        <v>6.173141647042802E-2</v>
      </c>
      <c r="K63" s="3227">
        <v>1.9495415475213427</v>
      </c>
      <c r="L63" s="3227">
        <v>1.1025657051079296</v>
      </c>
      <c r="M63" s="3497">
        <v>-0.28338275802794965</v>
      </c>
    </row>
    <row r="64" spans="2:13" ht="18" customHeight="1" x14ac:dyDescent="0.2">
      <c r="B64" s="104" t="s">
        <v>672</v>
      </c>
      <c r="C64" s="2508"/>
      <c r="D64" s="2108"/>
      <c r="E64" s="2108"/>
      <c r="F64" s="2108"/>
      <c r="G64" s="2108"/>
      <c r="H64" s="2108"/>
      <c r="I64" s="2108"/>
      <c r="J64" s="3103">
        <f>IF(SUM(J65:J76)=0,"NO",SUM(J65:J76))</f>
        <v>0.17637666898464535</v>
      </c>
      <c r="K64" s="3103">
        <f>IF(SUM(K65:K76)=0,"NO",SUM(K65:K76))</f>
        <v>416.71681578797535</v>
      </c>
      <c r="L64" s="3103">
        <f>IF(SUM(L65:L76)=0,"NO",SUM(L65:L76))</f>
        <v>158.16900106971698</v>
      </c>
      <c r="M64" s="3226">
        <f>IF(SUM(M65:M76)=0,"NO",SUM(M65:M76))</f>
        <v>-58.173113026831416</v>
      </c>
    </row>
    <row r="65" spans="2:13" ht="18" customHeight="1" x14ac:dyDescent="0.2">
      <c r="B65" s="2616" t="s">
        <v>559</v>
      </c>
      <c r="C65" s="2618" t="s">
        <v>559</v>
      </c>
      <c r="D65" s="3227">
        <v>0.53053936382409783</v>
      </c>
      <c r="E65" s="3227">
        <v>53.397741836311937</v>
      </c>
      <c r="F65" s="3227">
        <v>2.4907155321154337</v>
      </c>
      <c r="G65" s="3103">
        <f>IF(SUM(D65)=0,"NA",J65/D65)</f>
        <v>3.5000000000000001E-3</v>
      </c>
      <c r="H65" s="3103">
        <f>IF(SUM(E65)=0,"NA",K65/E65)</f>
        <v>8.2160420793559175E-2</v>
      </c>
      <c r="I65" s="3103">
        <f t="shared" si="3"/>
        <v>0.42267107936316611</v>
      </c>
      <c r="J65" s="3227">
        <v>1.8568877733843425E-3</v>
      </c>
      <c r="K65" s="3227">
        <v>4.3871809386972282</v>
      </c>
      <c r="L65" s="3227">
        <v>1.6651980440811065</v>
      </c>
      <c r="M65" s="3497">
        <v>-0.61244462173527348</v>
      </c>
    </row>
    <row r="66" spans="2:13" ht="18" customHeight="1" x14ac:dyDescent="0.2">
      <c r="B66" s="2616" t="s">
        <v>560</v>
      </c>
      <c r="C66" s="2618" t="s">
        <v>560</v>
      </c>
      <c r="D66" s="3227">
        <v>4.0927322352144699</v>
      </c>
      <c r="E66" s="3227">
        <v>411.92543702297786</v>
      </c>
      <c r="F66" s="3227">
        <v>19.214091247747636</v>
      </c>
      <c r="G66" s="3103">
        <f t="shared" ref="G66:G76" si="38">IF(SUM(D66)=0,"NA",J66/D66)</f>
        <v>3.4999999999999996E-3</v>
      </c>
      <c r="H66" s="3103">
        <f t="shared" ref="H66:H76" si="39">IF(SUM(E66)=0,"NA",K66/E66)</f>
        <v>8.2160420793559175E-2</v>
      </c>
      <c r="I66" s="3103">
        <f t="shared" si="3"/>
        <v>0.42267107936316706</v>
      </c>
      <c r="J66" s="3227">
        <v>1.4324562823250644E-2</v>
      </c>
      <c r="K66" s="3227">
        <v>33.843967241378621</v>
      </c>
      <c r="L66" s="3227">
        <v>12.845813482911414</v>
      </c>
      <c r="M66" s="3497">
        <v>-4.7245727962435389</v>
      </c>
    </row>
    <row r="67" spans="2:13" ht="18" customHeight="1" x14ac:dyDescent="0.2">
      <c r="B67" s="2616" t="s">
        <v>562</v>
      </c>
      <c r="C67" s="2618" t="s">
        <v>562</v>
      </c>
      <c r="D67" s="3227" t="s">
        <v>2146</v>
      </c>
      <c r="E67" s="3227" t="s">
        <v>2146</v>
      </c>
      <c r="F67" s="3227" t="s">
        <v>2146</v>
      </c>
      <c r="G67" s="3103" t="str">
        <f t="shared" si="38"/>
        <v>NA</v>
      </c>
      <c r="H67" s="3103" t="str">
        <f t="shared" si="39"/>
        <v>NA</v>
      </c>
      <c r="I67" s="3103" t="str">
        <f t="shared" si="3"/>
        <v>NA</v>
      </c>
      <c r="J67" s="3227" t="s">
        <v>2146</v>
      </c>
      <c r="K67" s="3227" t="s">
        <v>2146</v>
      </c>
      <c r="L67" s="3227" t="s">
        <v>2146</v>
      </c>
      <c r="M67" s="3497" t="s">
        <v>2146</v>
      </c>
    </row>
    <row r="68" spans="2:13" ht="18" customHeight="1" x14ac:dyDescent="0.2">
      <c r="B68" s="2616" t="s">
        <v>563</v>
      </c>
      <c r="C68" s="2618" t="s">
        <v>563</v>
      </c>
      <c r="D68" s="3227">
        <v>9.3412823701885799</v>
      </c>
      <c r="E68" s="3227">
        <v>940.18166876077794</v>
      </c>
      <c r="F68" s="3227">
        <v>43.854384190461033</v>
      </c>
      <c r="G68" s="3103">
        <f t="shared" si="38"/>
        <v>3.5000000000000001E-3</v>
      </c>
      <c r="H68" s="3103">
        <f t="shared" si="39"/>
        <v>8.2160420793559188E-2</v>
      </c>
      <c r="I68" s="3103">
        <f t="shared" si="3"/>
        <v>0.42267107936316711</v>
      </c>
      <c r="J68" s="3227">
        <v>3.2694488295660032E-2</v>
      </c>
      <c r="K68" s="3227">
        <v>77.245721527776197</v>
      </c>
      <c r="L68" s="3227">
        <v>29.319379847570957</v>
      </c>
      <c r="M68" s="3497">
        <v>-10.783399946981781</v>
      </c>
    </row>
    <row r="69" spans="2:13" ht="18" customHeight="1" x14ac:dyDescent="0.2">
      <c r="B69" s="2616" t="s">
        <v>564</v>
      </c>
      <c r="C69" s="2618" t="s">
        <v>564</v>
      </c>
      <c r="D69" s="3227">
        <v>4.8937935590521571E-2</v>
      </c>
      <c r="E69" s="3227">
        <v>4.9255068122167458</v>
      </c>
      <c r="F69" s="3227">
        <v>0.22974822340494599</v>
      </c>
      <c r="G69" s="3103">
        <f t="shared" si="38"/>
        <v>3.5000000000000001E-3</v>
      </c>
      <c r="H69" s="3103">
        <f t="shared" si="39"/>
        <v>8.2160420793559188E-2</v>
      </c>
      <c r="I69" s="3103">
        <f t="shared" si="3"/>
        <v>0.42267107936316617</v>
      </c>
      <c r="J69" s="3227">
        <v>1.7128277456682551E-4</v>
      </c>
      <c r="K69" s="3227">
        <v>0.40468171231327016</v>
      </c>
      <c r="L69" s="3227">
        <v>0.1536009581632522</v>
      </c>
      <c r="M69" s="3497">
        <v>-5.6493028594913848E-2</v>
      </c>
    </row>
    <row r="70" spans="2:13" ht="18" customHeight="1" x14ac:dyDescent="0.2">
      <c r="B70" s="2616" t="s">
        <v>565</v>
      </c>
      <c r="C70" s="2618" t="s">
        <v>565</v>
      </c>
      <c r="D70" s="3227">
        <v>26.830133541961523</v>
      </c>
      <c r="E70" s="3227">
        <v>2700.4000871506323</v>
      </c>
      <c r="F70" s="3227">
        <v>125.95904262412338</v>
      </c>
      <c r="G70" s="3103">
        <f t="shared" si="38"/>
        <v>3.5000000000000005E-3</v>
      </c>
      <c r="H70" s="3103">
        <f t="shared" si="39"/>
        <v>8.2160420793559202E-2</v>
      </c>
      <c r="I70" s="3103">
        <f t="shared" si="3"/>
        <v>0.42267107936316689</v>
      </c>
      <c r="J70" s="3227">
        <v>9.3905467396865339E-2</v>
      </c>
      <c r="K70" s="3227">
        <v>221.86600747125988</v>
      </c>
      <c r="L70" s="3227">
        <v>84.211443943530355</v>
      </c>
      <c r="M70" s="3497">
        <v>-30.972199442040981</v>
      </c>
    </row>
    <row r="71" spans="2:13" ht="18" customHeight="1" x14ac:dyDescent="0.2">
      <c r="B71" s="2616" t="s">
        <v>567</v>
      </c>
      <c r="C71" s="2618" t="s">
        <v>567</v>
      </c>
      <c r="D71" s="3227">
        <v>6.252785359355439</v>
      </c>
      <c r="E71" s="3227">
        <v>629.33052878510489</v>
      </c>
      <c r="F71" s="3227">
        <v>29.354861628503329</v>
      </c>
      <c r="G71" s="3103">
        <f t="shared" si="38"/>
        <v>3.5000000000000001E-3</v>
      </c>
      <c r="H71" s="3103">
        <f t="shared" si="39"/>
        <v>8.2160420793559188E-2</v>
      </c>
      <c r="I71" s="3103">
        <f t="shared" si="3"/>
        <v>0.4226710793631665</v>
      </c>
      <c r="J71" s="3227">
        <v>2.1884748757744037E-2</v>
      </c>
      <c r="K71" s="3227">
        <v>51.706061063217334</v>
      </c>
      <c r="L71" s="3227">
        <v>19.625548376670196</v>
      </c>
      <c r="M71" s="3497">
        <v>-7.2180973275942941</v>
      </c>
    </row>
    <row r="72" spans="2:13" ht="18" customHeight="1" x14ac:dyDescent="0.2">
      <c r="B72" s="2616" t="s">
        <v>569</v>
      </c>
      <c r="C72" s="2618" t="s">
        <v>569</v>
      </c>
      <c r="D72" s="3227">
        <v>1.1368700653373527</v>
      </c>
      <c r="E72" s="3227">
        <v>114.42373250638273</v>
      </c>
      <c r="F72" s="3227">
        <v>5.3372475688187873</v>
      </c>
      <c r="G72" s="3103">
        <f t="shared" si="38"/>
        <v>3.5000000000000001E-3</v>
      </c>
      <c r="H72" s="3103">
        <f t="shared" si="39"/>
        <v>8.2160420793559188E-2</v>
      </c>
      <c r="I72" s="3103">
        <f t="shared" si="3"/>
        <v>0.42267107936316617</v>
      </c>
      <c r="J72" s="3227">
        <v>3.9790452286807346E-3</v>
      </c>
      <c r="K72" s="3227">
        <v>9.4011020114940624</v>
      </c>
      <c r="L72" s="3227">
        <v>3.5682815230309437</v>
      </c>
      <c r="M72" s="3497">
        <v>-1.3123813322898721</v>
      </c>
    </row>
    <row r="73" spans="2:13" ht="18" customHeight="1" x14ac:dyDescent="0.2">
      <c r="B73" s="2616" t="s">
        <v>571</v>
      </c>
      <c r="C73" s="2618" t="s">
        <v>571</v>
      </c>
      <c r="D73" s="3227">
        <v>0.34106101960120583</v>
      </c>
      <c r="E73" s="3227">
        <v>34.327119751914822</v>
      </c>
      <c r="F73" s="3227">
        <v>1.6011742706456364</v>
      </c>
      <c r="G73" s="3103">
        <f t="shared" si="38"/>
        <v>3.4999999999999996E-3</v>
      </c>
      <c r="H73" s="3103">
        <f t="shared" si="39"/>
        <v>8.2160420793559188E-2</v>
      </c>
      <c r="I73" s="3103">
        <f t="shared" si="3"/>
        <v>0.422671079363166</v>
      </c>
      <c r="J73" s="3227">
        <v>1.1937135686042202E-3</v>
      </c>
      <c r="K73" s="3227">
        <v>2.8203306034482187</v>
      </c>
      <c r="L73" s="3227">
        <v>1.0704844569092828</v>
      </c>
      <c r="M73" s="3497">
        <v>-0.39371439968696159</v>
      </c>
    </row>
    <row r="74" spans="2:13" ht="18" customHeight="1" x14ac:dyDescent="0.2">
      <c r="B74" s="2616" t="s">
        <v>574</v>
      </c>
      <c r="C74" s="2618" t="s">
        <v>574</v>
      </c>
      <c r="D74" s="3227">
        <v>5.6843503266867629E-2</v>
      </c>
      <c r="E74" s="3227">
        <v>5.7211866253191364</v>
      </c>
      <c r="F74" s="3227">
        <v>0.26686237844093935</v>
      </c>
      <c r="G74" s="3103">
        <f t="shared" si="38"/>
        <v>3.5000000000000001E-3</v>
      </c>
      <c r="H74" s="3103">
        <f t="shared" si="39"/>
        <v>8.2160420793559188E-2</v>
      </c>
      <c r="I74" s="3103">
        <f t="shared" si="3"/>
        <v>0.4226710793631665</v>
      </c>
      <c r="J74" s="3227">
        <v>1.9895226143403671E-4</v>
      </c>
      <c r="K74" s="3227">
        <v>0.47005510057470307</v>
      </c>
      <c r="L74" s="3227">
        <v>0.17841407615154725</v>
      </c>
      <c r="M74" s="3497">
        <v>-6.5619066614493599E-2</v>
      </c>
    </row>
    <row r="75" spans="2:13" ht="18" customHeight="1" x14ac:dyDescent="0.2">
      <c r="B75" s="2616" t="s">
        <v>576</v>
      </c>
      <c r="C75" s="2618" t="s">
        <v>576</v>
      </c>
      <c r="D75" s="3227">
        <v>1.0421308932259068</v>
      </c>
      <c r="E75" s="3227">
        <v>104.88842146418416</v>
      </c>
      <c r="F75" s="3227">
        <v>4.8924769380838882</v>
      </c>
      <c r="G75" s="3103">
        <f t="shared" si="38"/>
        <v>3.4999999999999996E-3</v>
      </c>
      <c r="H75" s="3103">
        <f t="shared" si="39"/>
        <v>8.2160420793559188E-2</v>
      </c>
      <c r="I75" s="3103">
        <f t="shared" si="3"/>
        <v>0.42267107936316639</v>
      </c>
      <c r="J75" s="3227">
        <v>3.6474581262906734E-3</v>
      </c>
      <c r="K75" s="3227">
        <v>8.6176768438695568</v>
      </c>
      <c r="L75" s="3227">
        <v>3.2709247294450323</v>
      </c>
      <c r="M75" s="3497">
        <v>-1.2030162212657161</v>
      </c>
    </row>
    <row r="76" spans="2:13" ht="18" customHeight="1" x14ac:dyDescent="0.2">
      <c r="B76" s="2616" t="s">
        <v>577</v>
      </c>
      <c r="C76" s="2618" t="s">
        <v>577</v>
      </c>
      <c r="D76" s="3227">
        <v>0.72001770804698995</v>
      </c>
      <c r="E76" s="3227">
        <v>72.468363920709066</v>
      </c>
      <c r="F76" s="3227">
        <v>3.3802567935852319</v>
      </c>
      <c r="G76" s="3103">
        <f t="shared" si="38"/>
        <v>3.5000000000000005E-3</v>
      </c>
      <c r="H76" s="3103">
        <f t="shared" si="39"/>
        <v>8.2160420793559175E-2</v>
      </c>
      <c r="I76" s="3103">
        <f t="shared" si="3"/>
        <v>0.42267107936316617</v>
      </c>
      <c r="J76" s="3227">
        <v>2.5200619781644653E-3</v>
      </c>
      <c r="K76" s="3227">
        <v>5.9540312739462387</v>
      </c>
      <c r="L76" s="3227">
        <v>2.2599116312529306</v>
      </c>
      <c r="M76" s="3497">
        <v>-0.83117484378358553</v>
      </c>
    </row>
    <row r="77" spans="2:13" ht="18" customHeight="1" x14ac:dyDescent="0.2">
      <c r="B77" s="104" t="s">
        <v>673</v>
      </c>
      <c r="C77" s="2508"/>
      <c r="D77" s="2108"/>
      <c r="E77" s="2108"/>
      <c r="F77" s="2108"/>
      <c r="G77" s="2108"/>
      <c r="H77" s="2108"/>
      <c r="I77" s="2108"/>
      <c r="J77" s="3103">
        <f>IF(SUM(J78:J89)=0,"NO",SUM(J78:J89))</f>
        <v>0.55429751026922458</v>
      </c>
      <c r="K77" s="3103">
        <f>IF(SUM(K78:K89)=0,"NO",SUM(K78:K89))</f>
        <v>627.37089161070924</v>
      </c>
      <c r="L77" s="3103">
        <f>IF(SUM(L78:L89)=0,"NO",SUM(L78:L89))</f>
        <v>759.54508814870997</v>
      </c>
      <c r="M77" s="3226">
        <f>IF(SUM(M78:M89)=0,"NO",SUM(M78:M89))</f>
        <v>-180.17237416606577</v>
      </c>
    </row>
    <row r="78" spans="2:13" ht="18" customHeight="1" x14ac:dyDescent="0.2">
      <c r="B78" s="2616" t="s">
        <v>559</v>
      </c>
      <c r="C78" s="2618" t="s">
        <v>559</v>
      </c>
      <c r="D78" s="3227">
        <v>0.28889141426058551</v>
      </c>
      <c r="E78" s="3227">
        <v>186.45229579134781</v>
      </c>
      <c r="F78" s="3227">
        <v>8.0777212323583125</v>
      </c>
      <c r="G78" s="3103">
        <f>IF(SUM(D78)=0,"NA",J78/D78)</f>
        <v>2.0200067152256466E-2</v>
      </c>
      <c r="H78" s="3103">
        <f>IF(SUM(E78)=0,"NA",K78/E78)</f>
        <v>3.5424289609874406E-2</v>
      </c>
      <c r="I78" s="3103">
        <f t="shared" si="3"/>
        <v>0.75511604235443808</v>
      </c>
      <c r="J78" s="3227">
        <v>5.8356259677741686E-3</v>
      </c>
      <c r="K78" s="3227">
        <v>6.6049401245386719</v>
      </c>
      <c r="L78" s="3227">
        <v>7.0621955124822655</v>
      </c>
      <c r="M78" s="3497">
        <v>-0.96257862426144236</v>
      </c>
    </row>
    <row r="79" spans="2:13" ht="18" customHeight="1" x14ac:dyDescent="0.2">
      <c r="B79" s="2616" t="s">
        <v>560</v>
      </c>
      <c r="C79" s="2618" t="s">
        <v>560</v>
      </c>
      <c r="D79" s="3227">
        <v>2.2285909100102317</v>
      </c>
      <c r="E79" s="3227">
        <v>1438.3462818189689</v>
      </c>
      <c r="F79" s="3227">
        <v>62.313849506764143</v>
      </c>
      <c r="G79" s="3103">
        <f t="shared" ref="G79:G89" si="40">IF(SUM(D79)=0,"NA",J79/D79)</f>
        <v>2.0200067152256463E-2</v>
      </c>
      <c r="H79" s="3103">
        <f t="shared" ref="H79:H89" si="41">IF(SUM(E79)=0,"NA",K79/E79)</f>
        <v>3.5424289609874406E-2</v>
      </c>
      <c r="I79" s="3103">
        <f t="shared" ref="I79:I89" si="42">IF(SUM(F79)=0,"NA",(SUM(L79:M79))/F79)</f>
        <v>0.75511604235443797</v>
      </c>
      <c r="J79" s="3227">
        <v>4.5017686037115021E-2</v>
      </c>
      <c r="K79" s="3227">
        <v>50.952395246441185</v>
      </c>
      <c r="L79" s="3227">
        <v>129.99139818887835</v>
      </c>
      <c r="M79" s="3497">
        <v>-82.937210765460563</v>
      </c>
    </row>
    <row r="80" spans="2:13" ht="18" customHeight="1" x14ac:dyDescent="0.2">
      <c r="B80" s="2616" t="s">
        <v>562</v>
      </c>
      <c r="C80" s="2618" t="s">
        <v>562</v>
      </c>
      <c r="D80" s="3227" t="s">
        <v>2146</v>
      </c>
      <c r="E80" s="3227" t="s">
        <v>2146</v>
      </c>
      <c r="F80" s="3227" t="s">
        <v>2146</v>
      </c>
      <c r="G80" s="3103" t="str">
        <f t="shared" si="40"/>
        <v>NA</v>
      </c>
      <c r="H80" s="3103" t="str">
        <f t="shared" si="41"/>
        <v>NA</v>
      </c>
      <c r="I80" s="3103" t="str">
        <f t="shared" si="42"/>
        <v>NA</v>
      </c>
      <c r="J80" s="3227" t="s">
        <v>2146</v>
      </c>
      <c r="K80" s="3227" t="s">
        <v>2146</v>
      </c>
      <c r="L80" s="3227" t="s">
        <v>2146</v>
      </c>
      <c r="M80" s="3497" t="s">
        <v>2146</v>
      </c>
    </row>
    <row r="81" spans="2:13" ht="18" customHeight="1" x14ac:dyDescent="0.2">
      <c r="B81" s="2616" t="s">
        <v>563</v>
      </c>
      <c r="C81" s="2618" t="s">
        <v>563</v>
      </c>
      <c r="D81" s="3227">
        <v>5.0865524010881664</v>
      </c>
      <c r="E81" s="3227">
        <v>3282.8922080405173</v>
      </c>
      <c r="F81" s="3227">
        <v>142.22559169830888</v>
      </c>
      <c r="G81" s="3103">
        <f t="shared" si="40"/>
        <v>2.0200067152256466E-2</v>
      </c>
      <c r="H81" s="3103">
        <f t="shared" si="41"/>
        <v>3.5424289609874399E-2</v>
      </c>
      <c r="I81" s="3103">
        <f t="shared" si="42"/>
        <v>0.75511604235443752</v>
      </c>
      <c r="J81" s="3227">
        <v>0.10274870007545234</v>
      </c>
      <c r="K81" s="3227">
        <v>116.29412433562733</v>
      </c>
      <c r="L81" s="3227">
        <v>124.34508527334839</v>
      </c>
      <c r="M81" s="3497">
        <v>-16.948259348603251</v>
      </c>
    </row>
    <row r="82" spans="2:13" ht="18" customHeight="1" x14ac:dyDescent="0.2">
      <c r="B82" s="2616" t="s">
        <v>564</v>
      </c>
      <c r="C82" s="2618" t="s">
        <v>564</v>
      </c>
      <c r="D82" s="3227">
        <v>2.6647880228594382E-2</v>
      </c>
      <c r="E82" s="3227">
        <v>17.198705815855625</v>
      </c>
      <c r="F82" s="3227">
        <v>0.74510399857606979</v>
      </c>
      <c r="G82" s="3103">
        <f t="shared" si="40"/>
        <v>2.0200067152256463E-2</v>
      </c>
      <c r="H82" s="3103">
        <f t="shared" si="41"/>
        <v>3.5424289609874406E-2</v>
      </c>
      <c r="I82" s="3103">
        <f t="shared" si="42"/>
        <v>0.75511604235443763</v>
      </c>
      <c r="J82" s="3227">
        <v>5.3828897008289384E-4</v>
      </c>
      <c r="K82" s="3227">
        <v>0.60925193573590097</v>
      </c>
      <c r="L82" s="3227">
        <v>1.1147435970079591</v>
      </c>
      <c r="M82" s="3497">
        <v>-0.55210361446073075</v>
      </c>
    </row>
    <row r="83" spans="2:13" ht="18" customHeight="1" x14ac:dyDescent="0.2">
      <c r="B83" s="2616" t="s">
        <v>565</v>
      </c>
      <c r="C83" s="2618" t="s">
        <v>565</v>
      </c>
      <c r="D83" s="3227">
        <v>14.609651521178183</v>
      </c>
      <c r="E83" s="3227">
        <v>9429.1589585910187</v>
      </c>
      <c r="F83" s="3227">
        <v>408.50190232212043</v>
      </c>
      <c r="G83" s="3103">
        <f t="shared" si="40"/>
        <v>2.0200067152256466E-2</v>
      </c>
      <c r="H83" s="3103">
        <f t="shared" si="41"/>
        <v>3.5424289609874413E-2</v>
      </c>
      <c r="I83" s="3103">
        <f t="shared" si="42"/>
        <v>0.75511604235443741</v>
      </c>
      <c r="J83" s="3227">
        <v>0.29511594179886513</v>
      </c>
      <c r="K83" s="3227">
        <v>334.02125772667006</v>
      </c>
      <c r="L83" s="3227">
        <v>362.24531591696007</v>
      </c>
      <c r="M83" s="3497">
        <v>-53.778976141221527</v>
      </c>
    </row>
    <row r="84" spans="2:13" ht="18" customHeight="1" x14ac:dyDescent="0.2">
      <c r="B84" s="2616" t="s">
        <v>567</v>
      </c>
      <c r="C84" s="2618" t="s">
        <v>567</v>
      </c>
      <c r="D84" s="3227">
        <v>3.4047916680711863</v>
      </c>
      <c r="E84" s="3227">
        <v>2197.4734861123134</v>
      </c>
      <c r="F84" s="3227">
        <v>95.201714524222965</v>
      </c>
      <c r="G84" s="3103">
        <f t="shared" si="40"/>
        <v>2.0200067152256466E-2</v>
      </c>
      <c r="H84" s="3103">
        <f t="shared" si="41"/>
        <v>3.5424289609874406E-2</v>
      </c>
      <c r="I84" s="3103">
        <f t="shared" si="42"/>
        <v>0.75511604235443774</v>
      </c>
      <c r="J84" s="3227">
        <v>6.877702033448127E-2</v>
      </c>
      <c r="K84" s="3227">
        <v>77.843937182062916</v>
      </c>
      <c r="L84" s="3227">
        <v>87.313001428290249</v>
      </c>
      <c r="M84" s="3497">
        <v>-15.424659531402011</v>
      </c>
    </row>
    <row r="85" spans="2:13" ht="18" customHeight="1" x14ac:dyDescent="0.2">
      <c r="B85" s="2616" t="s">
        <v>569</v>
      </c>
      <c r="C85" s="2618" t="s">
        <v>569</v>
      </c>
      <c r="D85" s="3227" t="s">
        <v>2146</v>
      </c>
      <c r="E85" s="3227">
        <v>333.12491738854379</v>
      </c>
      <c r="F85" s="3227">
        <v>16.846089065137338</v>
      </c>
      <c r="G85" s="3103" t="str">
        <f t="shared" si="40"/>
        <v>NA</v>
      </c>
      <c r="H85" s="3103">
        <f t="shared" si="41"/>
        <v>4.2486894210628574E-2</v>
      </c>
      <c r="I85" s="3103">
        <f t="shared" si="42"/>
        <v>0.77588380110523214</v>
      </c>
      <c r="J85" s="3227">
        <v>1.2504912788087505E-2</v>
      </c>
      <c r="K85" s="3227">
        <v>14.153443124011442</v>
      </c>
      <c r="L85" s="3227">
        <v>15.557980209170882</v>
      </c>
      <c r="M85" s="3497">
        <v>-2.4873725915548386</v>
      </c>
    </row>
    <row r="86" spans="2:13" ht="18" customHeight="1" x14ac:dyDescent="0.2">
      <c r="B86" s="2616" t="s">
        <v>571</v>
      </c>
      <c r="C86" s="2618" t="s">
        <v>571</v>
      </c>
      <c r="D86" s="3227">
        <v>0.18571590916751929</v>
      </c>
      <c r="E86" s="3227">
        <v>119.86219015158076</v>
      </c>
      <c r="F86" s="3227">
        <v>5.1928207922303438</v>
      </c>
      <c r="G86" s="3103">
        <f t="shared" si="40"/>
        <v>2.0200067152256466E-2</v>
      </c>
      <c r="H86" s="3103">
        <f t="shared" si="41"/>
        <v>3.5424289609874406E-2</v>
      </c>
      <c r="I86" s="3103">
        <f t="shared" si="42"/>
        <v>0.75511604235443741</v>
      </c>
      <c r="J86" s="3227">
        <v>3.751473836426252E-3</v>
      </c>
      <c r="K86" s="3227">
        <v>4.2460329372034327</v>
      </c>
      <c r="L86" s="3227">
        <v>4.5497501567914789</v>
      </c>
      <c r="M86" s="3497">
        <v>-0.62856787150666693</v>
      </c>
    </row>
    <row r="87" spans="2:13" ht="18" customHeight="1" x14ac:dyDescent="0.2">
      <c r="B87" s="2616" t="s">
        <v>574</v>
      </c>
      <c r="C87" s="2618" t="s">
        <v>574</v>
      </c>
      <c r="D87" s="3227">
        <v>3.0952651527919879E-2</v>
      </c>
      <c r="E87" s="3227">
        <v>19.977031691930122</v>
      </c>
      <c r="F87" s="3227">
        <v>0.86547013203839074</v>
      </c>
      <c r="G87" s="3103">
        <f t="shared" si="40"/>
        <v>2.0200067152256466E-2</v>
      </c>
      <c r="H87" s="3103">
        <f t="shared" si="41"/>
        <v>3.5424289609874419E-2</v>
      </c>
      <c r="I87" s="3103">
        <f t="shared" si="42"/>
        <v>0.75511604235443741</v>
      </c>
      <c r="J87" s="3227">
        <v>6.2524563940437523E-4</v>
      </c>
      <c r="K87" s="3227">
        <v>0.70767215620057222</v>
      </c>
      <c r="L87" s="3227">
        <v>3.6156079823745495</v>
      </c>
      <c r="M87" s="3497">
        <v>-2.9620776014937475</v>
      </c>
    </row>
    <row r="88" spans="2:13" ht="18" customHeight="1" x14ac:dyDescent="0.2">
      <c r="B88" s="2616" t="s">
        <v>576</v>
      </c>
      <c r="C88" s="2618" t="s">
        <v>576</v>
      </c>
      <c r="D88" s="3227" t="s">
        <v>2146</v>
      </c>
      <c r="E88" s="3227">
        <v>305.36450760616515</v>
      </c>
      <c r="F88" s="3227">
        <v>15.442248309709226</v>
      </c>
      <c r="G88" s="3103" t="str">
        <f t="shared" si="40"/>
        <v>NA</v>
      </c>
      <c r="H88" s="3103">
        <f t="shared" si="41"/>
        <v>4.2486894210628567E-2</v>
      </c>
      <c r="I88" s="3103">
        <f t="shared" si="42"/>
        <v>0.77588380110523225</v>
      </c>
      <c r="J88" s="3227">
        <v>1.1462836722413548E-2</v>
      </c>
      <c r="K88" s="3227">
        <v>12.973989530343822</v>
      </c>
      <c r="L88" s="3227">
        <v>14.165601687894226</v>
      </c>
      <c r="M88" s="3497">
        <v>-2.1842113717461835</v>
      </c>
    </row>
    <row r="89" spans="2:13" ht="18" customHeight="1" x14ac:dyDescent="0.2">
      <c r="B89" s="2616" t="s">
        <v>577</v>
      </c>
      <c r="C89" s="2618" t="s">
        <v>577</v>
      </c>
      <c r="D89" s="3227" t="s">
        <v>2146</v>
      </c>
      <c r="E89" s="3227">
        <v>210.97911434607775</v>
      </c>
      <c r="F89" s="3227">
        <v>10.669189741253646</v>
      </c>
      <c r="G89" s="3103" t="str">
        <f t="shared" si="40"/>
        <v>NA</v>
      </c>
      <c r="H89" s="3103">
        <f t="shared" si="41"/>
        <v>4.2486894210628567E-2</v>
      </c>
      <c r="I89" s="3103">
        <f t="shared" si="42"/>
        <v>0.77588380110523214</v>
      </c>
      <c r="J89" s="3227">
        <v>7.9197780991220861E-3</v>
      </c>
      <c r="K89" s="3227">
        <v>8.9638473118739128</v>
      </c>
      <c r="L89" s="3227">
        <v>9.5844081955116422</v>
      </c>
      <c r="M89" s="3497">
        <v>-1.3063567043548145</v>
      </c>
    </row>
    <row r="90" spans="2:13" ht="18" customHeight="1" x14ac:dyDescent="0.2">
      <c r="B90" s="88" t="s">
        <v>475</v>
      </c>
      <c r="C90" s="2508" t="s">
        <v>623</v>
      </c>
      <c r="D90" s="2108"/>
      <c r="E90" s="2108"/>
      <c r="F90" s="2108"/>
      <c r="G90" s="2108"/>
      <c r="H90" s="2108"/>
      <c r="I90" s="2108"/>
      <c r="J90" s="3103">
        <f>IF(SUM(J91,J104)=0,"NO",SUM(J91,J104))</f>
        <v>21.366163392570684</v>
      </c>
      <c r="K90" s="3103">
        <f t="shared" ref="K90:M90" si="43">IF(SUM(K91,K104)=0,"NO",SUM(K91,K104))</f>
        <v>4.7938143046731199</v>
      </c>
      <c r="L90" s="3103">
        <f t="shared" si="43"/>
        <v>4.2810481088724268</v>
      </c>
      <c r="M90" s="3226" t="str">
        <f t="shared" si="43"/>
        <v>NO</v>
      </c>
    </row>
    <row r="91" spans="2:13" ht="18" customHeight="1" x14ac:dyDescent="0.2">
      <c r="B91" s="104" t="s">
        <v>674</v>
      </c>
      <c r="C91" s="2508"/>
      <c r="D91" s="2108"/>
      <c r="E91" s="2108"/>
      <c r="F91" s="2108"/>
      <c r="G91" s="2108"/>
      <c r="H91" s="2108"/>
      <c r="I91" s="2108"/>
      <c r="J91" s="3103">
        <f>IF(SUM(J92:J103)=0,"NO",SUM(J92:J103))</f>
        <v>21.366163392570684</v>
      </c>
      <c r="K91" s="3103">
        <f>IF(SUM(K92:K103)=0,"NO",SUM(K92:K103))</f>
        <v>4.7938143046731199</v>
      </c>
      <c r="L91" s="3103">
        <f>IF(SUM(L92:L103)=0,"NO",SUM(L92:L103))</f>
        <v>4.2810481088724268</v>
      </c>
      <c r="M91" s="3226" t="str">
        <f>IF(SUM(M92:M103)=0,"NO",SUM(M92:M103))</f>
        <v>NO</v>
      </c>
    </row>
    <row r="92" spans="2:13" ht="18" customHeight="1" x14ac:dyDescent="0.2">
      <c r="B92" s="2616" t="s">
        <v>559</v>
      </c>
      <c r="C92" s="2618" t="s">
        <v>559</v>
      </c>
      <c r="D92" s="3227">
        <v>0.3749037764479925</v>
      </c>
      <c r="E92" s="3227">
        <v>2.1151336437901178</v>
      </c>
      <c r="F92" s="3227">
        <v>4.5070733767669784E-2</v>
      </c>
      <c r="G92" s="3103">
        <f>IF(SUM(D92)=0,"NA",J92/D92)</f>
        <v>0.6</v>
      </c>
      <c r="H92" s="3103">
        <f>IF(SUM(E92)=0,"NA",K92/E92)</f>
        <v>2.3860960072225622E-2</v>
      </c>
      <c r="I92" s="3103">
        <f t="shared" ref="I92:I103" si="44">IF(SUM(F92)=0,"NA",(SUM(L92:M92))/F92)</f>
        <v>1.0000000000000013</v>
      </c>
      <c r="J92" s="3227">
        <v>0.22494226586879548</v>
      </c>
      <c r="K92" s="3227">
        <v>5.0469119421897093E-2</v>
      </c>
      <c r="L92" s="3227">
        <v>4.5070733767669846E-2</v>
      </c>
      <c r="M92" s="3497" t="s">
        <v>2146</v>
      </c>
    </row>
    <row r="93" spans="2:13" ht="18" customHeight="1" x14ac:dyDescent="0.2">
      <c r="B93" s="2616" t="s">
        <v>560</v>
      </c>
      <c r="C93" s="2618" t="s">
        <v>560</v>
      </c>
      <c r="D93" s="3227">
        <v>2.8921148468845139</v>
      </c>
      <c r="E93" s="3227">
        <v>16.316745252095199</v>
      </c>
      <c r="F93" s="3227">
        <v>0.34768851763630987</v>
      </c>
      <c r="G93" s="3103">
        <f t="shared" ref="G93:G103" si="45">IF(SUM(D93)=0,"NA",J93/D93)</f>
        <v>0.6</v>
      </c>
      <c r="H93" s="3103">
        <f t="shared" ref="H93:H103" si="46">IF(SUM(E93)=0,"NA",K93/E93)</f>
        <v>2.3860960072225618E-2</v>
      </c>
      <c r="I93" s="3103">
        <f t="shared" si="44"/>
        <v>1.0000000000000004</v>
      </c>
      <c r="J93" s="3227">
        <v>1.7352689081307084</v>
      </c>
      <c r="K93" s="3227">
        <v>0.38933320696892049</v>
      </c>
      <c r="L93" s="3227">
        <v>0.34768851763631003</v>
      </c>
      <c r="M93" s="3497" t="s">
        <v>2146</v>
      </c>
    </row>
    <row r="94" spans="2:13" ht="18" customHeight="1" x14ac:dyDescent="0.2">
      <c r="B94" s="2616" t="s">
        <v>562</v>
      </c>
      <c r="C94" s="2618" t="s">
        <v>562</v>
      </c>
      <c r="D94" s="3227" t="s">
        <v>2146</v>
      </c>
      <c r="E94" s="3227" t="s">
        <v>2146</v>
      </c>
      <c r="F94" s="3227" t="s">
        <v>2146</v>
      </c>
      <c r="G94" s="3103" t="str">
        <f t="shared" si="45"/>
        <v>NA</v>
      </c>
      <c r="H94" s="3103" t="str">
        <f t="shared" si="46"/>
        <v>NA</v>
      </c>
      <c r="I94" s="3103" t="str">
        <f t="shared" si="44"/>
        <v>NA</v>
      </c>
      <c r="J94" s="3227" t="s">
        <v>2146</v>
      </c>
      <c r="K94" s="3227" t="s">
        <v>2146</v>
      </c>
      <c r="L94" s="3227" t="s">
        <v>2146</v>
      </c>
      <c r="M94" s="3497" t="s">
        <v>2146</v>
      </c>
    </row>
    <row r="95" spans="2:13" ht="18" customHeight="1" x14ac:dyDescent="0.2">
      <c r="B95" s="2616" t="s">
        <v>563</v>
      </c>
      <c r="C95" s="2618" t="s">
        <v>563</v>
      </c>
      <c r="D95" s="3227">
        <v>6.6009843496021539</v>
      </c>
      <c r="E95" s="3227">
        <v>37.241460228161721</v>
      </c>
      <c r="F95" s="3227">
        <v>0.79356684812361444</v>
      </c>
      <c r="G95" s="3103">
        <f t="shared" si="45"/>
        <v>0.6</v>
      </c>
      <c r="H95" s="3103">
        <f t="shared" si="46"/>
        <v>2.3860960072225625E-2</v>
      </c>
      <c r="I95" s="3103">
        <f t="shared" si="44"/>
        <v>0.99999999999999856</v>
      </c>
      <c r="J95" s="3227">
        <v>3.9605906097612924</v>
      </c>
      <c r="K95" s="3227">
        <v>0.88861699553554541</v>
      </c>
      <c r="L95" s="3227">
        <v>0.79356684812361333</v>
      </c>
      <c r="M95" s="3497" t="s">
        <v>2146</v>
      </c>
    </row>
    <row r="96" spans="2:13" ht="18" customHeight="1" x14ac:dyDescent="0.2">
      <c r="B96" s="2616" t="s">
        <v>564</v>
      </c>
      <c r="C96" s="2618" t="s">
        <v>564</v>
      </c>
      <c r="D96" s="3227">
        <v>3.458182015413689E-2</v>
      </c>
      <c r="E96" s="3227">
        <v>0.19510385295268151</v>
      </c>
      <c r="F96" s="3227">
        <v>4.1574081331900315E-3</v>
      </c>
      <c r="G96" s="3103">
        <f t="shared" si="45"/>
        <v>0.6</v>
      </c>
      <c r="H96" s="3103">
        <f t="shared" si="46"/>
        <v>2.3860960072225622E-2</v>
      </c>
      <c r="I96" s="3103">
        <f t="shared" si="44"/>
        <v>1.0000000000000013</v>
      </c>
      <c r="J96" s="3227">
        <v>2.0749092092482133E-2</v>
      </c>
      <c r="K96" s="3227">
        <v>4.6553652452413124E-3</v>
      </c>
      <c r="L96" s="3227">
        <v>4.1574081331900367E-3</v>
      </c>
      <c r="M96" s="3497" t="s">
        <v>2146</v>
      </c>
    </row>
    <row r="97" spans="2:13" ht="18" customHeight="1" x14ac:dyDescent="0.2">
      <c r="B97" s="2616" t="s">
        <v>565</v>
      </c>
      <c r="C97" s="2618" t="s">
        <v>565</v>
      </c>
      <c r="D97" s="3227">
        <v>18.959419551798479</v>
      </c>
      <c r="E97" s="3227">
        <v>106.96532998595741</v>
      </c>
      <c r="F97" s="3227">
        <v>2.2792913933935868</v>
      </c>
      <c r="G97" s="3103">
        <f t="shared" si="45"/>
        <v>0.60000000000000009</v>
      </c>
      <c r="H97" s="3103">
        <f t="shared" si="46"/>
        <v>2.3860960072225618E-2</v>
      </c>
      <c r="I97" s="3103">
        <f t="shared" si="44"/>
        <v>1.0000000000000009</v>
      </c>
      <c r="J97" s="3227">
        <v>11.375651731079088</v>
      </c>
      <c r="K97" s="3227">
        <v>2.5522954679073675</v>
      </c>
      <c r="L97" s="3227">
        <v>2.2792913933935885</v>
      </c>
      <c r="M97" s="3497" t="s">
        <v>2146</v>
      </c>
    </row>
    <row r="98" spans="2:13" ht="18" customHeight="1" x14ac:dyDescent="0.2">
      <c r="B98" s="2616" t="s">
        <v>567</v>
      </c>
      <c r="C98" s="2618" t="s">
        <v>567</v>
      </c>
      <c r="D98" s="3227">
        <v>4.4185087938513403</v>
      </c>
      <c r="E98" s="3227">
        <v>24.928360801812104</v>
      </c>
      <c r="F98" s="3227">
        <v>0.53119079083325105</v>
      </c>
      <c r="G98" s="3103">
        <f t="shared" si="45"/>
        <v>0.59999999999999987</v>
      </c>
      <c r="H98" s="3103">
        <f t="shared" si="46"/>
        <v>2.3860960072225622E-2</v>
      </c>
      <c r="I98" s="3103">
        <f t="shared" si="44"/>
        <v>0.999999999999999</v>
      </c>
      <c r="J98" s="3227">
        <v>2.6511052763108038</v>
      </c>
      <c r="K98" s="3227">
        <v>0.59481462175807287</v>
      </c>
      <c r="L98" s="3227">
        <v>0.53119079083325049</v>
      </c>
      <c r="M98" s="3497" t="s">
        <v>2146</v>
      </c>
    </row>
    <row r="99" spans="2:13" ht="18" customHeight="1" x14ac:dyDescent="0.2">
      <c r="B99" s="2616" t="s">
        <v>569</v>
      </c>
      <c r="C99" s="2618" t="s">
        <v>569</v>
      </c>
      <c r="D99" s="3227">
        <v>0.80336523524569836</v>
      </c>
      <c r="E99" s="3227">
        <v>4.53242923669311</v>
      </c>
      <c r="F99" s="3227">
        <v>9.6580143787863837E-2</v>
      </c>
      <c r="G99" s="3103">
        <f t="shared" si="45"/>
        <v>0.59999999999999987</v>
      </c>
      <c r="H99" s="3103">
        <f t="shared" si="46"/>
        <v>2.3860960072225625E-2</v>
      </c>
      <c r="I99" s="3103">
        <f t="shared" si="44"/>
        <v>1</v>
      </c>
      <c r="J99" s="3227">
        <v>0.48201914114741895</v>
      </c>
      <c r="K99" s="3227">
        <v>0.10814811304692236</v>
      </c>
      <c r="L99" s="3227">
        <v>9.6580143787863837E-2</v>
      </c>
      <c r="M99" s="3497" t="s">
        <v>2146</v>
      </c>
    </row>
    <row r="100" spans="2:13" ht="18" customHeight="1" x14ac:dyDescent="0.2">
      <c r="B100" s="2616" t="s">
        <v>571</v>
      </c>
      <c r="C100" s="2618" t="s">
        <v>571</v>
      </c>
      <c r="D100" s="3227">
        <v>0.24100957057370948</v>
      </c>
      <c r="E100" s="3227">
        <v>1.3597287710079331</v>
      </c>
      <c r="F100" s="3227">
        <v>2.8974043136359151E-2</v>
      </c>
      <c r="G100" s="3103">
        <f t="shared" si="45"/>
        <v>0.6</v>
      </c>
      <c r="H100" s="3103">
        <f t="shared" si="46"/>
        <v>2.3860960072225618E-2</v>
      </c>
      <c r="I100" s="3103">
        <f t="shared" si="44"/>
        <v>1</v>
      </c>
      <c r="J100" s="3227">
        <v>0.14460574234422569</v>
      </c>
      <c r="K100" s="3227">
        <v>3.2444433914076705E-2</v>
      </c>
      <c r="L100" s="3227">
        <v>2.8974043136359151E-2</v>
      </c>
      <c r="M100" s="3497" t="s">
        <v>2146</v>
      </c>
    </row>
    <row r="101" spans="2:13" ht="18" customHeight="1" x14ac:dyDescent="0.2">
      <c r="B101" s="2616" t="s">
        <v>574</v>
      </c>
      <c r="C101" s="2618" t="s">
        <v>574</v>
      </c>
      <c r="D101" s="3227">
        <v>4.0168261762284913E-2</v>
      </c>
      <c r="E101" s="3227">
        <v>0.22662146183465551</v>
      </c>
      <c r="F101" s="3227">
        <v>4.829007189393191E-3</v>
      </c>
      <c r="G101" s="3103">
        <f t="shared" si="45"/>
        <v>0.6</v>
      </c>
      <c r="H101" s="3103">
        <f t="shared" si="46"/>
        <v>2.3860960072225622E-2</v>
      </c>
      <c r="I101" s="3103">
        <f t="shared" si="44"/>
        <v>1.0000000000000002</v>
      </c>
      <c r="J101" s="3227">
        <v>2.4100957057370948E-2</v>
      </c>
      <c r="K101" s="3227">
        <v>5.4074056523461178E-3</v>
      </c>
      <c r="L101" s="3227">
        <v>4.8290071893931918E-3</v>
      </c>
      <c r="M101" s="3497" t="s">
        <v>2146</v>
      </c>
    </row>
    <row r="102" spans="2:13" ht="18" customHeight="1" x14ac:dyDescent="0.2">
      <c r="B102" s="2616" t="s">
        <v>576</v>
      </c>
      <c r="C102" s="2618" t="s">
        <v>576</v>
      </c>
      <c r="D102" s="3227">
        <v>0.73641813230855679</v>
      </c>
      <c r="E102" s="3227">
        <v>4.1547268003020177</v>
      </c>
      <c r="F102" s="3227">
        <v>8.8531798472208517E-2</v>
      </c>
      <c r="G102" s="3103">
        <f t="shared" si="45"/>
        <v>0.59999999999999987</v>
      </c>
      <c r="H102" s="3103">
        <f t="shared" si="46"/>
        <v>2.3860960072225622E-2</v>
      </c>
      <c r="I102" s="3103">
        <f t="shared" si="44"/>
        <v>1.0000000000000022</v>
      </c>
      <c r="J102" s="3227">
        <v>0.44185087938513401</v>
      </c>
      <c r="K102" s="3227">
        <v>9.9135770293012154E-2</v>
      </c>
      <c r="L102" s="3227">
        <v>8.8531798472208711E-2</v>
      </c>
      <c r="M102" s="3497" t="s">
        <v>2146</v>
      </c>
    </row>
    <row r="103" spans="2:13" ht="18" customHeight="1" x14ac:dyDescent="0.2">
      <c r="B103" s="2616" t="s">
        <v>577</v>
      </c>
      <c r="C103" s="2618" t="s">
        <v>577</v>
      </c>
      <c r="D103" s="3227">
        <v>0.50879798232227558</v>
      </c>
      <c r="E103" s="3227">
        <v>2.870538516572303</v>
      </c>
      <c r="F103" s="3227">
        <v>6.1167424398980423E-2</v>
      </c>
      <c r="G103" s="3103">
        <f t="shared" si="45"/>
        <v>0.6</v>
      </c>
      <c r="H103" s="3103">
        <f t="shared" si="46"/>
        <v>2.3860960072225622E-2</v>
      </c>
      <c r="I103" s="3103">
        <f t="shared" si="44"/>
        <v>1.0000000000000002</v>
      </c>
      <c r="J103" s="3227">
        <v>0.30527878939336534</v>
      </c>
      <c r="K103" s="3227">
        <v>6.8493804929717489E-2</v>
      </c>
      <c r="L103" s="3227">
        <v>6.116742439898043E-2</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IE</v>
      </c>
      <c r="E105" s="3227" t="str">
        <f>IF(E92="NO","NO","IE")</f>
        <v>IE</v>
      </c>
      <c r="F105" s="2108"/>
      <c r="G105" s="3103" t="str">
        <f>IF(SUM(D105)=0,"NA",J105/D105)</f>
        <v>NA</v>
      </c>
      <c r="H105" s="3103" t="str">
        <f>IF(SUM(E105)=0,"NA",K105/E105)</f>
        <v>NA</v>
      </c>
      <c r="I105" s="2108"/>
      <c r="J105" s="3227" t="str">
        <f>IF(J92="NO","NO","IE")</f>
        <v>IE</v>
      </c>
      <c r="K105" s="3227" t="str">
        <f>IF(K92="NO","NO","IE")</f>
        <v>IE</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NO</v>
      </c>
      <c r="E107" s="3227" t="str">
        <f t="shared" si="47"/>
        <v>NO</v>
      </c>
      <c r="F107" s="2108"/>
      <c r="G107" s="3103" t="str">
        <f t="shared" si="48"/>
        <v>NA</v>
      </c>
      <c r="H107" s="3103" t="str">
        <f t="shared" si="49"/>
        <v>NA</v>
      </c>
      <c r="I107" s="2108"/>
      <c r="J107" s="3227" t="str">
        <f t="shared" ref="J107:K107" si="52">IF(J94="NO","NO","IE")</f>
        <v>NO</v>
      </c>
      <c r="K107" s="3227" t="str">
        <f t="shared" si="52"/>
        <v>NO</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IE</v>
      </c>
      <c r="E112" s="3227" t="str">
        <f t="shared" si="47"/>
        <v>IE</v>
      </c>
      <c r="F112" s="2108"/>
      <c r="G112" s="3103" t="str">
        <f t="shared" si="48"/>
        <v>NA</v>
      </c>
      <c r="H112" s="3103" t="str">
        <f t="shared" si="49"/>
        <v>NA</v>
      </c>
      <c r="I112" s="2108"/>
      <c r="J112" s="3227" t="str">
        <f t="shared" ref="J112:K112" si="62">IF(J99="NO","NO","IE")</f>
        <v>IE</v>
      </c>
      <c r="K112" s="3227" t="str">
        <f t="shared" si="62"/>
        <v>IE</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IE</v>
      </c>
      <c r="E115" s="3227" t="str">
        <f t="shared" si="47"/>
        <v>IE</v>
      </c>
      <c r="F115" s="2108"/>
      <c r="G115" s="3103" t="str">
        <f t="shared" si="48"/>
        <v>NA</v>
      </c>
      <c r="H115" s="3103" t="str">
        <f t="shared" si="49"/>
        <v>NA</v>
      </c>
      <c r="I115" s="2108"/>
      <c r="J115" s="3227" t="str">
        <f t="shared" ref="J115:K115" si="68">IF(J102="NO","NO","IE")</f>
        <v>IE</v>
      </c>
      <c r="K115" s="3227" t="str">
        <f t="shared" si="68"/>
        <v>IE</v>
      </c>
      <c r="L115" s="3228"/>
      <c r="M115" s="3497" t="str">
        <f t="shared" ref="M115" si="69">IF(M102="NO","NO","IE")</f>
        <v>NO</v>
      </c>
    </row>
    <row r="116" spans="2:13" ht="18" customHeight="1" x14ac:dyDescent="0.2">
      <c r="B116" s="2616" t="s">
        <v>577</v>
      </c>
      <c r="C116" s="2618" t="s">
        <v>577</v>
      </c>
      <c r="D116" s="3227" t="str">
        <f t="shared" si="47"/>
        <v>IE</v>
      </c>
      <c r="E116" s="3227" t="str">
        <f t="shared" si="47"/>
        <v>IE</v>
      </c>
      <c r="F116" s="2108"/>
      <c r="G116" s="3103" t="str">
        <f t="shared" si="48"/>
        <v>NA</v>
      </c>
      <c r="H116" s="3103" t="str">
        <f t="shared" si="49"/>
        <v>NA</v>
      </c>
      <c r="I116" s="2108"/>
      <c r="J116" s="3227" t="str">
        <f t="shared" ref="J116:K116" si="70">IF(J103="NO","NO","IE")</f>
        <v>IE</v>
      </c>
      <c r="K116" s="3227" t="str">
        <f t="shared" si="70"/>
        <v>IE</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0.121531736212903</v>
      </c>
      <c r="K117" s="3103">
        <f>IF(SUM(K118:K129)=0,"NO",SUM(K118:K129))</f>
        <v>23.084848807830248</v>
      </c>
      <c r="L117" s="3103">
        <f>IF(SUM(L118:L129)=0,"NO",SUM(L118:L129))</f>
        <v>26.595735907856</v>
      </c>
      <c r="M117" s="3226">
        <f>IF(SUM(M118:M129)=0,"NO",SUM(M118:M129))</f>
        <v>-16.60090774679934</v>
      </c>
    </row>
    <row r="118" spans="2:13" ht="18" customHeight="1" x14ac:dyDescent="0.2">
      <c r="B118" s="2616" t="s">
        <v>559</v>
      </c>
      <c r="C118" s="2618" t="s">
        <v>559</v>
      </c>
      <c r="D118" s="3227">
        <v>0.36516325569990421</v>
      </c>
      <c r="E118" s="3227">
        <v>4.777786765168698</v>
      </c>
      <c r="F118" s="3227">
        <v>0.45477284447725164</v>
      </c>
      <c r="G118" s="3103">
        <f>IF(SUM(D118)=0,"NA",J118/D118)</f>
        <v>3.5038632830718523E-3</v>
      </c>
      <c r="H118" s="3103">
        <f>IF(SUM(E118)=0,"NA",K118/E118)</f>
        <v>5.0868015123122716E-2</v>
      </c>
      <c r="I118" s="3103">
        <f t="shared" ref="I118:I129" si="72">IF(SUM(F118)=0,"NA",(SUM(L118:M118))/F118)</f>
        <v>0.23137973961501326</v>
      </c>
      <c r="J118" s="3227">
        <v>1.2794821239738726E-3</v>
      </c>
      <c r="K118" s="3227">
        <v>0.2430365294256569</v>
      </c>
      <c r="L118" s="3227">
        <v>0.2799990334081886</v>
      </c>
      <c r="M118" s="3497">
        <v>-0.1747738110690632</v>
      </c>
    </row>
    <row r="119" spans="2:13" ht="18" customHeight="1" x14ac:dyDescent="0.2">
      <c r="B119" s="2616" t="s">
        <v>560</v>
      </c>
      <c r="C119" s="2618" t="s">
        <v>560</v>
      </c>
      <c r="D119" s="3227">
        <v>2.8169736868278332</v>
      </c>
      <c r="E119" s="3227">
        <v>36.857212188444251</v>
      </c>
      <c r="F119" s="3227">
        <v>3.508247657395942</v>
      </c>
      <c r="G119" s="3103">
        <f t="shared" ref="G119:G129" si="73">IF(SUM(D119)=0,"NA",J119/D119)</f>
        <v>3.5038632830718523E-3</v>
      </c>
      <c r="H119" s="3103">
        <f t="shared" ref="H119:H129" si="74">IF(SUM(E119)=0,"NA",K119/E119)</f>
        <v>5.0868015123122709E-2</v>
      </c>
      <c r="I119" s="3103">
        <f t="shared" si="72"/>
        <v>0.23137973961501321</v>
      </c>
      <c r="J119" s="3227">
        <v>9.8702906706555921E-3</v>
      </c>
      <c r="K119" s="3227">
        <v>1.8748532269979248</v>
      </c>
      <c r="L119" s="3227">
        <v>2.1599925434345981</v>
      </c>
      <c r="M119" s="3497">
        <v>-1.348255113961345</v>
      </c>
    </row>
    <row r="120" spans="2:13" ht="18" customHeight="1" x14ac:dyDescent="0.2">
      <c r="B120" s="2616" t="s">
        <v>562</v>
      </c>
      <c r="C120" s="2618" t="s">
        <v>562</v>
      </c>
      <c r="D120" s="3227" t="s">
        <v>2146</v>
      </c>
      <c r="E120" s="3227" t="s">
        <v>2146</v>
      </c>
      <c r="F120" s="3227" t="s">
        <v>2146</v>
      </c>
      <c r="G120" s="3103" t="str">
        <f t="shared" si="73"/>
        <v>NA</v>
      </c>
      <c r="H120" s="3103" t="str">
        <f t="shared" si="74"/>
        <v>NA</v>
      </c>
      <c r="I120" s="3103" t="str">
        <f t="shared" si="72"/>
        <v>NA</v>
      </c>
      <c r="J120" s="3227" t="s">
        <v>2146</v>
      </c>
      <c r="K120" s="3227" t="s">
        <v>2146</v>
      </c>
      <c r="L120" s="3227" t="s">
        <v>2146</v>
      </c>
      <c r="M120" s="3497" t="s">
        <v>2146</v>
      </c>
    </row>
    <row r="121" spans="2:13" ht="18" customHeight="1" x14ac:dyDescent="0.2">
      <c r="B121" s="2616" t="s">
        <v>563</v>
      </c>
      <c r="C121" s="2618" t="s">
        <v>563</v>
      </c>
      <c r="D121" s="3227">
        <v>6.4294816092875999</v>
      </c>
      <c r="E121" s="3227">
        <v>84.123174115291732</v>
      </c>
      <c r="F121" s="3227">
        <v>8.0072504402601812</v>
      </c>
      <c r="G121" s="3103">
        <f t="shared" si="73"/>
        <v>3.5038632830718523E-3</v>
      </c>
      <c r="H121" s="3103">
        <f t="shared" si="74"/>
        <v>5.0868015123122709E-2</v>
      </c>
      <c r="I121" s="3103">
        <f t="shared" si="72"/>
        <v>0.23137973961501324</v>
      </c>
      <c r="J121" s="3227">
        <v>2.2528024539968546E-2</v>
      </c>
      <c r="K121" s="3227">
        <v>4.2791788931017445</v>
      </c>
      <c r="L121" s="3227">
        <v>4.9299829810798919</v>
      </c>
      <c r="M121" s="3497">
        <v>-3.0772674591802911</v>
      </c>
    </row>
    <row r="122" spans="2:13" ht="18" customHeight="1" x14ac:dyDescent="0.2">
      <c r="B122" s="2616" t="s">
        <v>564</v>
      </c>
      <c r="C122" s="2618" t="s">
        <v>564</v>
      </c>
      <c r="D122" s="3227">
        <v>3.3683336442104313E-2</v>
      </c>
      <c r="E122" s="3227">
        <v>0.44071191870429116</v>
      </c>
      <c r="F122" s="3227">
        <v>4.1949091224689899E-2</v>
      </c>
      <c r="G122" s="3103">
        <f t="shared" si="73"/>
        <v>3.5038632830718518E-3</v>
      </c>
      <c r="H122" s="3103">
        <f t="shared" si="74"/>
        <v>5.0868015123122709E-2</v>
      </c>
      <c r="I122" s="3103">
        <f t="shared" si="72"/>
        <v>0.2313797396150131</v>
      </c>
      <c r="J122" s="3227">
        <v>1.1802180581084536E-4</v>
      </c>
      <c r="K122" s="3227">
        <v>2.2418140545590309E-2</v>
      </c>
      <c r="L122" s="3227">
        <v>2.5827630514672541E-2</v>
      </c>
      <c r="M122" s="3497">
        <v>-1.6121460710017362E-2</v>
      </c>
    </row>
    <row r="123" spans="2:13" ht="18" customHeight="1" x14ac:dyDescent="0.2">
      <c r="B123" s="2616" t="s">
        <v>565</v>
      </c>
      <c r="C123" s="2618" t="s">
        <v>565</v>
      </c>
      <c r="D123" s="3227">
        <v>18.46682750253802</v>
      </c>
      <c r="E123" s="3227">
        <v>241.61950212424566</v>
      </c>
      <c r="F123" s="3227">
        <v>22.998512420706732</v>
      </c>
      <c r="G123" s="3103">
        <f t="shared" si="73"/>
        <v>3.5038632830718518E-3</v>
      </c>
      <c r="H123" s="3103">
        <f t="shared" si="74"/>
        <v>5.0868015123122709E-2</v>
      </c>
      <c r="I123" s="3103">
        <f t="shared" si="72"/>
        <v>0.23137973961501326</v>
      </c>
      <c r="J123" s="3227">
        <v>6.4705238840964435E-2</v>
      </c>
      <c r="K123" s="3227">
        <v>12.290704488097507</v>
      </c>
      <c r="L123" s="3227">
        <v>14.159951118071255</v>
      </c>
      <c r="M123" s="3497">
        <v>-8.8385613026354832</v>
      </c>
    </row>
    <row r="124" spans="2:13" ht="18" customHeight="1" x14ac:dyDescent="0.2">
      <c r="B124" s="2616" t="s">
        <v>567</v>
      </c>
      <c r="C124" s="2618" t="s">
        <v>567</v>
      </c>
      <c r="D124" s="3227">
        <v>4.3037097993203002</v>
      </c>
      <c r="E124" s="3227">
        <v>56.309629732345371</v>
      </c>
      <c r="F124" s="3227">
        <v>5.3598228099104652</v>
      </c>
      <c r="G124" s="3103">
        <f t="shared" si="73"/>
        <v>3.5038632830718523E-3</v>
      </c>
      <c r="H124" s="3103">
        <f t="shared" si="74"/>
        <v>5.0868015123122723E-2</v>
      </c>
      <c r="I124" s="3103">
        <f t="shared" si="72"/>
        <v>0.23137973961501315</v>
      </c>
      <c r="J124" s="3227">
        <v>1.5079610746834929E-2</v>
      </c>
      <c r="K124" s="3227">
        <v>2.8643590968023851</v>
      </c>
      <c r="L124" s="3227">
        <v>3.2999886080250795</v>
      </c>
      <c r="M124" s="3497">
        <v>-2.0598342018853879</v>
      </c>
    </row>
    <row r="125" spans="2:13" ht="18" customHeight="1" x14ac:dyDescent="0.2">
      <c r="B125" s="2616" t="s">
        <v>569</v>
      </c>
      <c r="C125" s="2618" t="s">
        <v>569</v>
      </c>
      <c r="D125" s="3227">
        <v>0.7824926907855092</v>
      </c>
      <c r="E125" s="3227">
        <v>10.23811449679007</v>
      </c>
      <c r="F125" s="3227">
        <v>0.97451323816553936</v>
      </c>
      <c r="G125" s="3103">
        <f t="shared" si="73"/>
        <v>3.5038632830718523E-3</v>
      </c>
      <c r="H125" s="3103">
        <f t="shared" si="74"/>
        <v>5.0868015123122709E-2</v>
      </c>
      <c r="I125" s="3103">
        <f t="shared" si="72"/>
        <v>0.23137973961501321</v>
      </c>
      <c r="J125" s="3227">
        <v>2.7417474085154421E-3</v>
      </c>
      <c r="K125" s="3227">
        <v>0.52079256305497912</v>
      </c>
      <c r="L125" s="3227">
        <v>0.59999792873183277</v>
      </c>
      <c r="M125" s="3497">
        <v>-0.37451530943370692</v>
      </c>
    </row>
    <row r="126" spans="2:13" ht="18" customHeight="1" x14ac:dyDescent="0.2">
      <c r="B126" s="2616" t="s">
        <v>571</v>
      </c>
      <c r="C126" s="2618" t="s">
        <v>571</v>
      </c>
      <c r="D126" s="3227">
        <v>0.23474780723565278</v>
      </c>
      <c r="E126" s="3227">
        <v>3.0714343490370206</v>
      </c>
      <c r="F126" s="3227">
        <v>0.2923539714496618</v>
      </c>
      <c r="G126" s="3103">
        <f t="shared" si="73"/>
        <v>3.5038632830718523E-3</v>
      </c>
      <c r="H126" s="3103">
        <f t="shared" si="74"/>
        <v>5.0868015123122716E-2</v>
      </c>
      <c r="I126" s="3103">
        <f t="shared" si="72"/>
        <v>0.23137973961501321</v>
      </c>
      <c r="J126" s="3227">
        <v>8.2252422255463264E-4</v>
      </c>
      <c r="K126" s="3227">
        <v>0.15623776891649374</v>
      </c>
      <c r="L126" s="3227">
        <v>0.17999937861954982</v>
      </c>
      <c r="M126" s="3497">
        <v>-0.11235459283011207</v>
      </c>
    </row>
    <row r="127" spans="2:13" ht="18" customHeight="1" x14ac:dyDescent="0.2">
      <c r="B127" s="2616" t="s">
        <v>574</v>
      </c>
      <c r="C127" s="2618" t="s">
        <v>574</v>
      </c>
      <c r="D127" s="3227">
        <v>3.9124634539275456E-2</v>
      </c>
      <c r="E127" s="3227">
        <v>0.51190572483950347</v>
      </c>
      <c r="F127" s="3227">
        <v>4.8725661908276964E-2</v>
      </c>
      <c r="G127" s="3103">
        <f t="shared" si="73"/>
        <v>3.5038632830718518E-3</v>
      </c>
      <c r="H127" s="3103">
        <f t="shared" si="74"/>
        <v>5.0868015123122709E-2</v>
      </c>
      <c r="I127" s="3103">
        <f t="shared" si="72"/>
        <v>0.23137973961501332</v>
      </c>
      <c r="J127" s="3227">
        <v>1.3708737042577207E-4</v>
      </c>
      <c r="K127" s="3227">
        <v>2.6039628152748955E-2</v>
      </c>
      <c r="L127" s="3227">
        <v>2.9999896436591643E-2</v>
      </c>
      <c r="M127" s="3497">
        <v>-1.8725765471685345E-2</v>
      </c>
    </row>
    <row r="128" spans="2:13" ht="18" customHeight="1" x14ac:dyDescent="0.2">
      <c r="B128" s="2616" t="s">
        <v>576</v>
      </c>
      <c r="C128" s="2618" t="s">
        <v>576</v>
      </c>
      <c r="D128" s="3227">
        <v>0.71728496655338347</v>
      </c>
      <c r="E128" s="3227">
        <v>9.3849382887242321</v>
      </c>
      <c r="F128" s="3227">
        <v>0.89330380165174439</v>
      </c>
      <c r="G128" s="3103">
        <f t="shared" si="73"/>
        <v>3.5038632830718523E-3</v>
      </c>
      <c r="H128" s="3103">
        <f t="shared" si="74"/>
        <v>5.0868015123122702E-2</v>
      </c>
      <c r="I128" s="3103">
        <f t="shared" si="72"/>
        <v>0.23137973961501307</v>
      </c>
      <c r="J128" s="3227">
        <v>2.5132684578058218E-3</v>
      </c>
      <c r="K128" s="3227">
        <v>0.47739318280039755</v>
      </c>
      <c r="L128" s="3227">
        <v>0.54999810133751326</v>
      </c>
      <c r="M128" s="3497">
        <v>-0.34330570031423135</v>
      </c>
    </row>
    <row r="129" spans="2:13" ht="18" customHeight="1" x14ac:dyDescent="0.2">
      <c r="B129" s="2616" t="s">
        <v>577</v>
      </c>
      <c r="C129" s="2618" t="s">
        <v>577</v>
      </c>
      <c r="D129" s="3227">
        <v>0.49557870416415578</v>
      </c>
      <c r="E129" s="3227">
        <v>6.4841391813003773</v>
      </c>
      <c r="F129" s="3227">
        <v>0.61719171750484159</v>
      </c>
      <c r="G129" s="3103">
        <f t="shared" si="73"/>
        <v>3.5038632830718523E-3</v>
      </c>
      <c r="H129" s="3103">
        <f t="shared" si="74"/>
        <v>5.0868015123122709E-2</v>
      </c>
      <c r="I129" s="3103">
        <f t="shared" si="72"/>
        <v>0.23137973961501318</v>
      </c>
      <c r="J129" s="3227">
        <v>1.7364400253931131E-3</v>
      </c>
      <c r="K129" s="3227">
        <v>0.32983528993482009</v>
      </c>
      <c r="L129" s="3227">
        <v>0.37999868819682736</v>
      </c>
      <c r="M129" s="3497">
        <v>-0.23719302930801434</v>
      </c>
    </row>
    <row r="130" spans="2:13" ht="18" customHeight="1" x14ac:dyDescent="0.2">
      <c r="B130" s="147" t="s">
        <v>477</v>
      </c>
      <c r="C130" s="2508"/>
      <c r="D130" s="4326"/>
      <c r="E130" s="4326"/>
      <c r="F130" s="4326"/>
      <c r="G130" s="4327"/>
      <c r="H130" s="4327"/>
      <c r="I130" s="4327"/>
      <c r="J130" s="3103" t="str">
        <f>IF(SUM(J131,J144)=0,"NO",SUM(J131,J144))</f>
        <v>NO</v>
      </c>
      <c r="K130" s="3103">
        <f>IF(SUM(K131,K144)=0,"NO",SUM(K131,K144))</f>
        <v>56.133438461022891</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f>IF(SUM(K132:K143)=0,"NO",SUM(K132:K143))</f>
        <v>56.133438461022891</v>
      </c>
      <c r="L131" s="3229"/>
      <c r="M131" s="3226" t="str">
        <f>IF(SUM(M132:M143)=0,"NO",SUM(M132:M143))</f>
        <v>NO</v>
      </c>
    </row>
    <row r="132" spans="2:13" ht="18" customHeight="1" x14ac:dyDescent="0.2">
      <c r="B132" s="2616" t="s">
        <v>559</v>
      </c>
      <c r="C132" s="2618" t="s">
        <v>559</v>
      </c>
      <c r="D132" s="3227" t="s">
        <v>2146</v>
      </c>
      <c r="E132" s="3227">
        <v>0.78621325273996845</v>
      </c>
      <c r="F132" s="3229"/>
      <c r="G132" s="3103" t="str">
        <f>IF(SUM(D132)=0,"NA",J132/D132)</f>
        <v>NA</v>
      </c>
      <c r="H132" s="3103">
        <f>IF(SUM(E132)=0,"NA",K132/E132)</f>
        <v>0.7516675569804212</v>
      </c>
      <c r="I132" s="4327"/>
      <c r="J132" s="3227" t="s">
        <v>2146</v>
      </c>
      <c r="K132" s="3227">
        <v>0.59097099495268257</v>
      </c>
      <c r="L132" s="3229"/>
      <c r="M132" s="3497" t="s">
        <v>2146</v>
      </c>
    </row>
    <row r="133" spans="2:13" ht="18" customHeight="1" x14ac:dyDescent="0.2">
      <c r="B133" s="2616" t="s">
        <v>560</v>
      </c>
      <c r="C133" s="2618" t="s">
        <v>560</v>
      </c>
      <c r="D133" s="3227" t="s">
        <v>2146</v>
      </c>
      <c r="E133" s="3227">
        <v>6.0650736639940428</v>
      </c>
      <c r="F133" s="3229"/>
      <c r="G133" s="3103" t="str">
        <f t="shared" ref="G133:G143" si="75">IF(SUM(D133)=0,"NA",J133/D133)</f>
        <v>NA</v>
      </c>
      <c r="H133" s="3103">
        <f t="shared" ref="H133:H143" si="76">IF(SUM(E133)=0,"NA",K133/E133)</f>
        <v>0.75166755698042131</v>
      </c>
      <c r="I133" s="4327"/>
      <c r="J133" s="3227" t="s">
        <v>2146</v>
      </c>
      <c r="K133" s="3227">
        <v>4.5589191039206947</v>
      </c>
      <c r="L133" s="3229"/>
      <c r="M133" s="3497" t="s">
        <v>2146</v>
      </c>
    </row>
    <row r="134" spans="2:13" ht="18" customHeight="1" x14ac:dyDescent="0.2">
      <c r="B134" s="2616" t="s">
        <v>562</v>
      </c>
      <c r="C134" s="2618" t="s">
        <v>562</v>
      </c>
      <c r="D134" s="3227" t="s">
        <v>2146</v>
      </c>
      <c r="E134" s="3227" t="s">
        <v>2146</v>
      </c>
      <c r="F134" s="3229"/>
      <c r="G134" s="3103" t="str">
        <f t="shared" si="75"/>
        <v>NA</v>
      </c>
      <c r="H134" s="3103" t="str">
        <f t="shared" si="76"/>
        <v>NA</v>
      </c>
      <c r="I134" s="4327"/>
      <c r="J134" s="3227" t="s">
        <v>2146</v>
      </c>
      <c r="K134" s="3227" t="s">
        <v>2146</v>
      </c>
      <c r="L134" s="3229"/>
      <c r="M134" s="3497" t="s">
        <v>2146</v>
      </c>
    </row>
    <row r="135" spans="2:13" ht="18" customHeight="1" x14ac:dyDescent="0.2">
      <c r="B135" s="2616" t="s">
        <v>563</v>
      </c>
      <c r="C135" s="2618" t="s">
        <v>563</v>
      </c>
      <c r="D135" s="3227" t="s">
        <v>2146</v>
      </c>
      <c r="E135" s="3227">
        <v>13.842969057171588</v>
      </c>
      <c r="F135" s="3229"/>
      <c r="G135" s="3103" t="str">
        <f t="shared" si="75"/>
        <v>NA</v>
      </c>
      <c r="H135" s="3103">
        <f t="shared" si="76"/>
        <v>0.75166755698042131</v>
      </c>
      <c r="I135" s="4327"/>
      <c r="J135" s="3227" t="s">
        <v>2146</v>
      </c>
      <c r="K135" s="3227">
        <v>10.405310732559734</v>
      </c>
      <c r="L135" s="3229"/>
      <c r="M135" s="3497" t="s">
        <v>2146</v>
      </c>
    </row>
    <row r="136" spans="2:13" ht="18" customHeight="1" x14ac:dyDescent="0.2">
      <c r="B136" s="2616" t="s">
        <v>564</v>
      </c>
      <c r="C136" s="2618" t="s">
        <v>564</v>
      </c>
      <c r="D136" s="3227" t="s">
        <v>2146</v>
      </c>
      <c r="E136" s="3227">
        <v>7.2521769630198005E-2</v>
      </c>
      <c r="F136" s="3229"/>
      <c r="G136" s="3103" t="str">
        <f t="shared" si="75"/>
        <v>NA</v>
      </c>
      <c r="H136" s="3103">
        <f t="shared" si="76"/>
        <v>0.75166755698042131</v>
      </c>
      <c r="I136" s="4327"/>
      <c r="J136" s="3227" t="s">
        <v>2146</v>
      </c>
      <c r="K136" s="3227">
        <v>5.451226140582785E-2</v>
      </c>
      <c r="L136" s="3229"/>
      <c r="M136" s="3497" t="s">
        <v>2146</v>
      </c>
    </row>
    <row r="137" spans="2:13" ht="18" customHeight="1" x14ac:dyDescent="0.2">
      <c r="B137" s="2616" t="s">
        <v>565</v>
      </c>
      <c r="C137" s="2618" t="s">
        <v>565</v>
      </c>
      <c r="D137" s="3227" t="s">
        <v>2146</v>
      </c>
      <c r="E137" s="3227">
        <v>39.759927352849843</v>
      </c>
      <c r="F137" s="3229"/>
      <c r="G137" s="3103" t="str">
        <f t="shared" si="75"/>
        <v>NA</v>
      </c>
      <c r="H137" s="3103">
        <f t="shared" si="76"/>
        <v>0.75166755698042131</v>
      </c>
      <c r="I137" s="4327"/>
      <c r="J137" s="3227" t="s">
        <v>2146</v>
      </c>
      <c r="K137" s="3227">
        <v>29.886247459035673</v>
      </c>
      <c r="L137" s="3229"/>
      <c r="M137" s="3497" t="s">
        <v>2146</v>
      </c>
    </row>
    <row r="138" spans="2:13" ht="18" customHeight="1" x14ac:dyDescent="0.2">
      <c r="B138" s="2616" t="s">
        <v>567</v>
      </c>
      <c r="C138" s="2618" t="s">
        <v>567</v>
      </c>
      <c r="D138" s="3227" t="s">
        <v>2146</v>
      </c>
      <c r="E138" s="3227">
        <v>9.266084764435341</v>
      </c>
      <c r="F138" s="3229"/>
      <c r="G138" s="3103" t="str">
        <f t="shared" si="75"/>
        <v>NA</v>
      </c>
      <c r="H138" s="3103">
        <f t="shared" si="76"/>
        <v>0.75166755698042143</v>
      </c>
      <c r="I138" s="4327"/>
      <c r="J138" s="3227" t="s">
        <v>2146</v>
      </c>
      <c r="K138" s="3227">
        <v>6.9650152976566169</v>
      </c>
      <c r="L138" s="3229"/>
      <c r="M138" s="3497" t="s">
        <v>2146</v>
      </c>
    </row>
    <row r="139" spans="2:13" ht="18" customHeight="1" x14ac:dyDescent="0.2">
      <c r="B139" s="2616" t="s">
        <v>569</v>
      </c>
      <c r="C139" s="2618" t="s">
        <v>569</v>
      </c>
      <c r="D139" s="3227" t="s">
        <v>2146</v>
      </c>
      <c r="E139" s="3227">
        <v>1.6847426844427895</v>
      </c>
      <c r="F139" s="3229"/>
      <c r="G139" s="3103" t="str">
        <f t="shared" si="75"/>
        <v>NA</v>
      </c>
      <c r="H139" s="3103">
        <f t="shared" si="76"/>
        <v>0.75166755698042131</v>
      </c>
      <c r="I139" s="4327"/>
      <c r="J139" s="3227" t="s">
        <v>2146</v>
      </c>
      <c r="K139" s="3227">
        <v>1.2663664177557485</v>
      </c>
      <c r="L139" s="3229"/>
      <c r="M139" s="3497" t="s">
        <v>2146</v>
      </c>
    </row>
    <row r="140" spans="2:13" ht="18" customHeight="1" x14ac:dyDescent="0.2">
      <c r="B140" s="2616" t="s">
        <v>571</v>
      </c>
      <c r="C140" s="2618" t="s">
        <v>571</v>
      </c>
      <c r="D140" s="3227" t="s">
        <v>2146</v>
      </c>
      <c r="E140" s="3227">
        <v>0.5054228053328369</v>
      </c>
      <c r="F140" s="3229"/>
      <c r="G140" s="3103" t="str">
        <f t="shared" si="75"/>
        <v>NA</v>
      </c>
      <c r="H140" s="3103">
        <f t="shared" si="76"/>
        <v>0.75166755698042131</v>
      </c>
      <c r="I140" s="4327"/>
      <c r="J140" s="3227" t="s">
        <v>2146</v>
      </c>
      <c r="K140" s="3227">
        <v>0.37990992532672457</v>
      </c>
      <c r="L140" s="3229"/>
      <c r="M140" s="3497" t="s">
        <v>2146</v>
      </c>
    </row>
    <row r="141" spans="2:13" ht="18" customHeight="1" x14ac:dyDescent="0.2">
      <c r="B141" s="2616" t="s">
        <v>574</v>
      </c>
      <c r="C141" s="2618" t="s">
        <v>574</v>
      </c>
      <c r="D141" s="3227" t="s">
        <v>2146</v>
      </c>
      <c r="E141" s="3227">
        <v>8.4237134222139465E-2</v>
      </c>
      <c r="F141" s="3229"/>
      <c r="G141" s="3103" t="str">
        <f t="shared" si="75"/>
        <v>NA</v>
      </c>
      <c r="H141" s="3103">
        <f t="shared" si="76"/>
        <v>0.75166755698042165</v>
      </c>
      <c r="I141" s="4327"/>
      <c r="J141" s="3227" t="s">
        <v>2146</v>
      </c>
      <c r="K141" s="3227">
        <v>6.3318320887787438E-2</v>
      </c>
      <c r="L141" s="3229"/>
      <c r="M141" s="3497" t="s">
        <v>2146</v>
      </c>
    </row>
    <row r="142" spans="2:13" ht="18" customHeight="1" x14ac:dyDescent="0.2">
      <c r="B142" s="2616" t="s">
        <v>576</v>
      </c>
      <c r="C142" s="2618" t="s">
        <v>576</v>
      </c>
      <c r="D142" s="3227" t="s">
        <v>2146</v>
      </c>
      <c r="E142" s="3227">
        <v>1.544347460739224</v>
      </c>
      <c r="F142" s="3229"/>
      <c r="G142" s="3103" t="str">
        <f t="shared" si="75"/>
        <v>NA</v>
      </c>
      <c r="H142" s="3103">
        <f t="shared" si="76"/>
        <v>0.75166755698042131</v>
      </c>
      <c r="I142" s="4327"/>
      <c r="J142" s="3227" t="s">
        <v>2146</v>
      </c>
      <c r="K142" s="3227">
        <v>1.1608358829427696</v>
      </c>
      <c r="L142" s="3229"/>
      <c r="M142" s="3497" t="s">
        <v>2146</v>
      </c>
    </row>
    <row r="143" spans="2:13" ht="18" customHeight="1" x14ac:dyDescent="0.2">
      <c r="B143" s="2616" t="s">
        <v>577</v>
      </c>
      <c r="C143" s="2618" t="s">
        <v>577</v>
      </c>
      <c r="D143" s="3227" t="s">
        <v>2146</v>
      </c>
      <c r="E143" s="3227">
        <v>1.0670037001471</v>
      </c>
      <c r="F143" s="3229"/>
      <c r="G143" s="3103" t="str">
        <f t="shared" si="75"/>
        <v>NA</v>
      </c>
      <c r="H143" s="3103">
        <f t="shared" si="76"/>
        <v>0.75166755698042143</v>
      </c>
      <c r="I143" s="4327"/>
      <c r="J143" s="3227" t="s">
        <v>2146</v>
      </c>
      <c r="K143" s="3227">
        <v>0.80203206457864074</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81.452604702675885</v>
      </c>
      <c r="L146" s="3103">
        <f>IF(SUM(L147:L158)=0,"NO",SUM(L147:L158))</f>
        <v>27.235795467871529</v>
      </c>
      <c r="M146" s="3226" t="str">
        <f>IF(SUM(M147:M158)=0,"NO",SUM(M147:M158))</f>
        <v>NO</v>
      </c>
    </row>
    <row r="147" spans="2:13" ht="18" customHeight="1" x14ac:dyDescent="0.2">
      <c r="B147" s="2616" t="s">
        <v>559</v>
      </c>
      <c r="C147" s="2618" t="s">
        <v>559</v>
      </c>
      <c r="D147" s="3227">
        <v>0.43336882038472091</v>
      </c>
      <c r="E147" s="3227">
        <v>1.5222458123305633</v>
      </c>
      <c r="F147" s="3227">
        <v>0.28673755941660356</v>
      </c>
      <c r="G147" s="3103" t="str">
        <f>IFERROR(J147/D147,"NA")</f>
        <v>NA</v>
      </c>
      <c r="H147" s="3103">
        <f>IF(SUM(E147)=0,"NA",K147/E147)</f>
        <v>0.56333237242701772</v>
      </c>
      <c r="I147" s="3103">
        <f t="shared" ref="I147:I158" si="77">IF(SUM(F147)=0,"NA",(SUM(L147:M147))/F147)</f>
        <v>0.999999999999999</v>
      </c>
      <c r="J147" s="3227" t="s">
        <v>2146</v>
      </c>
      <c r="K147" s="3227">
        <v>0.85753034487726909</v>
      </c>
      <c r="L147" s="3227">
        <v>0.28673755941660328</v>
      </c>
      <c r="M147" s="3497" t="s">
        <v>2146</v>
      </c>
    </row>
    <row r="148" spans="2:13" ht="18" customHeight="1" x14ac:dyDescent="0.2">
      <c r="B148" s="2616" t="s">
        <v>560</v>
      </c>
      <c r="C148" s="2618" t="s">
        <v>560</v>
      </c>
      <c r="D148" s="3227">
        <v>3.3431309001107041</v>
      </c>
      <c r="E148" s="3227">
        <v>11.74303912369292</v>
      </c>
      <c r="F148" s="3227">
        <v>2.211975458356656</v>
      </c>
      <c r="G148" s="3103" t="str">
        <f t="shared" ref="G148:G158" si="78">IFERROR(J148/D148,"NA")</f>
        <v>NA</v>
      </c>
      <c r="H148" s="3103">
        <f t="shared" ref="H148:H158" si="79">IF(SUM(E148)=0,"NA",K148/E148)</f>
        <v>0.56333237242701784</v>
      </c>
      <c r="I148" s="3103">
        <f t="shared" si="77"/>
        <v>0.99999999999999944</v>
      </c>
      <c r="J148" s="3227" t="s">
        <v>2146</v>
      </c>
      <c r="K148" s="3227">
        <v>6.6152340890532209</v>
      </c>
      <c r="L148" s="3227">
        <v>2.2119754583566547</v>
      </c>
      <c r="M148" s="3497" t="s">
        <v>2146</v>
      </c>
    </row>
    <row r="149" spans="2:13" ht="18" customHeight="1" x14ac:dyDescent="0.2">
      <c r="B149" s="2616" t="s">
        <v>562</v>
      </c>
      <c r="C149" s="2618" t="s">
        <v>562</v>
      </c>
      <c r="D149" s="3227" t="s">
        <v>2146</v>
      </c>
      <c r="E149" s="3227" t="s">
        <v>2146</v>
      </c>
      <c r="F149" s="3227" t="s">
        <v>2146</v>
      </c>
      <c r="G149" s="3103" t="str">
        <f t="shared" si="78"/>
        <v>NA</v>
      </c>
      <c r="H149" s="3103" t="str">
        <f t="shared" si="79"/>
        <v>NA</v>
      </c>
      <c r="I149" s="3103" t="str">
        <f t="shared" si="77"/>
        <v>NA</v>
      </c>
      <c r="J149" s="3227" t="s">
        <v>2146</v>
      </c>
      <c r="K149" s="3227" t="s">
        <v>2146</v>
      </c>
      <c r="L149" s="3227" t="s">
        <v>2146</v>
      </c>
      <c r="M149" s="3497" t="s">
        <v>2146</v>
      </c>
    </row>
    <row r="150" spans="2:13" ht="18" customHeight="1" x14ac:dyDescent="0.2">
      <c r="B150" s="2616" t="s">
        <v>563</v>
      </c>
      <c r="C150" s="2618" t="s">
        <v>563</v>
      </c>
      <c r="D150" s="3227">
        <v>7.6303867303452639</v>
      </c>
      <c r="E150" s="3227">
        <v>26.802399481391706</v>
      </c>
      <c r="F150" s="3227">
        <v>5.0486291711566267</v>
      </c>
      <c r="G150" s="3103" t="str">
        <f t="shared" si="78"/>
        <v>NA</v>
      </c>
      <c r="H150" s="3103">
        <f t="shared" si="79"/>
        <v>0.56333237242701772</v>
      </c>
      <c r="I150" s="3103">
        <f t="shared" si="77"/>
        <v>0.99999999999999889</v>
      </c>
      <c r="J150" s="3227" t="s">
        <v>2146</v>
      </c>
      <c r="K150" s="3227">
        <v>15.09865928658906</v>
      </c>
      <c r="L150" s="3227">
        <v>5.0486291711566214</v>
      </c>
      <c r="M150" s="3497" t="s">
        <v>2146</v>
      </c>
    </row>
    <row r="151" spans="2:13" ht="18" customHeight="1" x14ac:dyDescent="0.2">
      <c r="B151" s="2616" t="s">
        <v>564</v>
      </c>
      <c r="C151" s="2618" t="s">
        <v>564</v>
      </c>
      <c r="D151" s="3227">
        <v>3.9974744316916368E-2</v>
      </c>
      <c r="E151" s="3227">
        <v>0.1404147789898462</v>
      </c>
      <c r="F151" s="3227">
        <v>2.6449204660270162E-2</v>
      </c>
      <c r="G151" s="3103" t="str">
        <f t="shared" si="78"/>
        <v>NA</v>
      </c>
      <c r="H151" s="3103">
        <f t="shared" si="79"/>
        <v>0.56333237242701772</v>
      </c>
      <c r="I151" s="3103">
        <f t="shared" si="77"/>
        <v>0.99999999999999944</v>
      </c>
      <c r="J151" s="3227" t="s">
        <v>2146</v>
      </c>
      <c r="K151" s="3227">
        <v>7.9100190572165413E-2</v>
      </c>
      <c r="L151" s="3227">
        <v>2.6449204660270148E-2</v>
      </c>
      <c r="M151" s="3497" t="s">
        <v>2146</v>
      </c>
    </row>
    <row r="152" spans="2:13" ht="18" customHeight="1" x14ac:dyDescent="0.2">
      <c r="B152" s="2616" t="s">
        <v>565</v>
      </c>
      <c r="C152" s="2618" t="s">
        <v>565</v>
      </c>
      <c r="D152" s="3227">
        <v>21.916080345170176</v>
      </c>
      <c r="E152" s="3227">
        <v>76.982145366431354</v>
      </c>
      <c r="F152" s="3227">
        <v>14.500728004782525</v>
      </c>
      <c r="G152" s="3103" t="str">
        <f t="shared" si="78"/>
        <v>NA</v>
      </c>
      <c r="H152" s="3103">
        <f t="shared" si="79"/>
        <v>0.56333237242701784</v>
      </c>
      <c r="I152" s="3103">
        <f t="shared" si="77"/>
        <v>0.99999999999999933</v>
      </c>
      <c r="J152" s="3227" t="s">
        <v>2146</v>
      </c>
      <c r="K152" s="3227">
        <v>43.366534583793332</v>
      </c>
      <c r="L152" s="3227">
        <v>14.500728004782516</v>
      </c>
      <c r="M152" s="3497" t="s">
        <v>2146</v>
      </c>
    </row>
    <row r="153" spans="2:13" ht="18" customHeight="1" x14ac:dyDescent="0.2">
      <c r="B153" s="2616" t="s">
        <v>567</v>
      </c>
      <c r="C153" s="2618" t="s">
        <v>567</v>
      </c>
      <c r="D153" s="3227">
        <v>5.1075610973913532</v>
      </c>
      <c r="E153" s="3227">
        <v>17.940754216753067</v>
      </c>
      <c r="F153" s="3227">
        <v>3.3794069502671129</v>
      </c>
      <c r="G153" s="3103" t="str">
        <f t="shared" si="78"/>
        <v>NA</v>
      </c>
      <c r="H153" s="3103">
        <f t="shared" si="79"/>
        <v>0.56333237242701772</v>
      </c>
      <c r="I153" s="3103">
        <f t="shared" si="77"/>
        <v>0.99999999999999878</v>
      </c>
      <c r="J153" s="3227" t="s">
        <v>2146</v>
      </c>
      <c r="K153" s="3227">
        <v>10.106607636053528</v>
      </c>
      <c r="L153" s="3227">
        <v>3.3794069502671089</v>
      </c>
      <c r="M153" s="3497" t="s">
        <v>2146</v>
      </c>
    </row>
    <row r="154" spans="2:13" ht="18" customHeight="1" x14ac:dyDescent="0.2">
      <c r="B154" s="2616" t="s">
        <v>569</v>
      </c>
      <c r="C154" s="2618" t="s">
        <v>569</v>
      </c>
      <c r="D154" s="3227">
        <v>0.92864747225297339</v>
      </c>
      <c r="E154" s="3227">
        <v>3.2619553121369216</v>
      </c>
      <c r="F154" s="3227">
        <v>0.61443762732129337</v>
      </c>
      <c r="G154" s="3103" t="str">
        <f t="shared" si="78"/>
        <v>NA</v>
      </c>
      <c r="H154" s="3103">
        <f t="shared" si="79"/>
        <v>0.56333237242701784</v>
      </c>
      <c r="I154" s="3103">
        <f t="shared" si="77"/>
        <v>0.99999999999999911</v>
      </c>
      <c r="J154" s="3227" t="s">
        <v>2146</v>
      </c>
      <c r="K154" s="3227">
        <v>1.8375650247370054</v>
      </c>
      <c r="L154" s="3227">
        <v>0.61443762732129281</v>
      </c>
      <c r="M154" s="3497" t="s">
        <v>2146</v>
      </c>
    </row>
    <row r="155" spans="2:13" ht="18" customHeight="1" x14ac:dyDescent="0.2">
      <c r="B155" s="2616" t="s">
        <v>571</v>
      </c>
      <c r="C155" s="2618" t="s">
        <v>571</v>
      </c>
      <c r="D155" s="3227">
        <v>0.27859424167589203</v>
      </c>
      <c r="E155" s="3227">
        <v>0.97858659364107659</v>
      </c>
      <c r="F155" s="3227">
        <v>0.18433128819638803</v>
      </c>
      <c r="G155" s="3103" t="str">
        <f t="shared" si="78"/>
        <v>NA</v>
      </c>
      <c r="H155" s="3103">
        <f t="shared" si="79"/>
        <v>0.56333237242701772</v>
      </c>
      <c r="I155" s="3103">
        <f t="shared" si="77"/>
        <v>0.99999999999999989</v>
      </c>
      <c r="J155" s="3227" t="s">
        <v>2146</v>
      </c>
      <c r="K155" s="3227">
        <v>0.55126950742110159</v>
      </c>
      <c r="L155" s="3227">
        <v>0.184331288196388</v>
      </c>
      <c r="M155" s="3497" t="s">
        <v>2146</v>
      </c>
    </row>
    <row r="156" spans="2:13" ht="18" customHeight="1" x14ac:dyDescent="0.2">
      <c r="B156" s="2616" t="s">
        <v>574</v>
      </c>
      <c r="C156" s="2618" t="s">
        <v>574</v>
      </c>
      <c r="D156" s="3227">
        <v>4.6432373612648667E-2</v>
      </c>
      <c r="E156" s="3227">
        <v>0.16309776560684608</v>
      </c>
      <c r="F156" s="3227">
        <v>3.0721881366064664E-2</v>
      </c>
      <c r="G156" s="3103" t="str">
        <f t="shared" si="78"/>
        <v>NA</v>
      </c>
      <c r="H156" s="3103">
        <f t="shared" si="79"/>
        <v>0.56333237242701784</v>
      </c>
      <c r="I156" s="3103">
        <f t="shared" si="77"/>
        <v>0.99999999999999978</v>
      </c>
      <c r="J156" s="3227" t="s">
        <v>2146</v>
      </c>
      <c r="K156" s="3227">
        <v>9.187825123685027E-2</v>
      </c>
      <c r="L156" s="3227">
        <v>3.0721881366064657E-2</v>
      </c>
      <c r="M156" s="3497" t="s">
        <v>2146</v>
      </c>
    </row>
    <row r="157" spans="2:13" ht="18" customHeight="1" x14ac:dyDescent="0.2">
      <c r="B157" s="2616" t="s">
        <v>576</v>
      </c>
      <c r="C157" s="2618" t="s">
        <v>576</v>
      </c>
      <c r="D157" s="3227">
        <v>0.85126018289855898</v>
      </c>
      <c r="E157" s="3227">
        <v>2.9901257027921782</v>
      </c>
      <c r="F157" s="3227">
        <v>0.56323449171118556</v>
      </c>
      <c r="G157" s="3103" t="str">
        <f t="shared" si="78"/>
        <v>NA</v>
      </c>
      <c r="H157" s="3103">
        <f t="shared" si="79"/>
        <v>0.56333237242701784</v>
      </c>
      <c r="I157" s="3103">
        <f t="shared" si="77"/>
        <v>1</v>
      </c>
      <c r="J157" s="3227" t="s">
        <v>2146</v>
      </c>
      <c r="K157" s="3227">
        <v>1.6844346060089217</v>
      </c>
      <c r="L157" s="3227">
        <v>0.56323449171118556</v>
      </c>
      <c r="M157" s="3497" t="s">
        <v>2146</v>
      </c>
    </row>
    <row r="158" spans="2:13" ht="18" customHeight="1" x14ac:dyDescent="0.2">
      <c r="B158" s="2616" t="s">
        <v>577</v>
      </c>
      <c r="C158" s="2618" t="s">
        <v>577</v>
      </c>
      <c r="D158" s="3227">
        <v>0.58814339909354985</v>
      </c>
      <c r="E158" s="3227">
        <v>2.0659050310200504</v>
      </c>
      <c r="F158" s="3227">
        <v>0.38914383063681907</v>
      </c>
      <c r="G158" s="3103" t="str">
        <f t="shared" si="78"/>
        <v>NA</v>
      </c>
      <c r="H158" s="3103">
        <f t="shared" si="79"/>
        <v>0.56333237242701784</v>
      </c>
      <c r="I158" s="3103">
        <f t="shared" si="77"/>
        <v>0.99999999999999845</v>
      </c>
      <c r="J158" s="3227" t="s">
        <v>2146</v>
      </c>
      <c r="K158" s="3227">
        <v>1.1637911823334368</v>
      </c>
      <c r="L158" s="3227">
        <v>0.38914383063681846</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2.5102701758240324</v>
      </c>
      <c r="K162" s="3233">
        <f t="shared" ref="K162:M162" si="85">IF(SUM(K163,K165,K175)=0,"NO",SUM(K163,K165,K175))</f>
        <v>2.7210192900958194</v>
      </c>
      <c r="L162" s="3233">
        <f t="shared" si="85"/>
        <v>1.1399999999999999</v>
      </c>
      <c r="M162" s="3234" t="str">
        <f t="shared" si="85"/>
        <v>NO</v>
      </c>
    </row>
    <row r="163" spans="2:13" ht="18" customHeight="1" x14ac:dyDescent="0.2">
      <c r="B163" s="88" t="s">
        <v>681</v>
      </c>
      <c r="C163" s="2508"/>
      <c r="D163" s="4326"/>
      <c r="E163" s="4326"/>
      <c r="F163" s="4326"/>
      <c r="G163" s="4327"/>
      <c r="H163" s="4327"/>
      <c r="I163" s="4327"/>
      <c r="J163" s="3230">
        <f>J164</f>
        <v>2.5102701758240324</v>
      </c>
      <c r="K163" s="3230">
        <f t="shared" ref="K163:M163" si="86">K164</f>
        <v>1.857232593341853</v>
      </c>
      <c r="L163" s="3230">
        <f t="shared" si="86"/>
        <v>1.1399999999999999</v>
      </c>
      <c r="M163" s="3226" t="str">
        <f t="shared" si="86"/>
        <v>NO</v>
      </c>
    </row>
    <row r="164" spans="2:13" ht="18" customHeight="1" x14ac:dyDescent="0.2">
      <c r="B164" s="2616" t="s">
        <v>1621</v>
      </c>
      <c r="C164" s="2618" t="s">
        <v>1621</v>
      </c>
      <c r="D164" s="3235">
        <v>29.532590303812146</v>
      </c>
      <c r="E164" s="3235">
        <v>742.1683805001968</v>
      </c>
      <c r="F164" s="3235">
        <v>1.1399999999999999</v>
      </c>
      <c r="G164" s="3103">
        <f t="shared" ref="G164" si="87">IF(SUM(D164)=0,"NA",J164/D164)</f>
        <v>8.5000000000000006E-2</v>
      </c>
      <c r="H164" s="3103">
        <f t="shared" ref="H164" si="88">IF(SUM(E164)=0,"NA",K164/E164)</f>
        <v>2.5024410122270906E-3</v>
      </c>
      <c r="I164" s="3103">
        <f t="shared" ref="I164" si="89">IF(SUM(F164)=0,"NA",(SUM(L164:M164))/F164)</f>
        <v>1</v>
      </c>
      <c r="J164" s="3142">
        <v>2.5102701758240324</v>
      </c>
      <c r="K164" s="3142">
        <v>1.857232593341853</v>
      </c>
      <c r="L164" s="3142">
        <v>1.1399999999999999</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0.86378669675396669</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0.86378669675396669</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0.86378669675396669</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0.86378669675396669</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2674.7142496895085</v>
      </c>
      <c r="D10" s="2500">
        <f t="shared" ref="D10:I10" si="0">IF(SUM(D11,D20,D31:D32,D42:D47)=0,"NO",SUM(D11,D20,D31:D32,D42:D47))</f>
        <v>2335.5175367420852</v>
      </c>
      <c r="E10" s="2500">
        <f t="shared" si="0"/>
        <v>47.212350807632909</v>
      </c>
      <c r="F10" s="2500">
        <f t="shared" si="0"/>
        <v>21.328273928506135</v>
      </c>
      <c r="G10" s="2500">
        <f t="shared" si="0"/>
        <v>336.10064021503138</v>
      </c>
      <c r="H10" s="2915">
        <f t="shared" si="0"/>
        <v>19.605870679210163</v>
      </c>
      <c r="I10" s="2924" t="str">
        <f t="shared" si="0"/>
        <v>NO</v>
      </c>
      <c r="J10" s="2925">
        <f>IF(SUM(C10:E10)=0,"NO",SUM(C10)+28*SUM(D10)+265*SUM(E10))</f>
        <v>80580.478242490615</v>
      </c>
    </row>
    <row r="11" spans="1:10" ht="18" customHeight="1" x14ac:dyDescent="0.2">
      <c r="B11" s="234" t="s">
        <v>694</v>
      </c>
      <c r="C11" s="2926"/>
      <c r="D11" s="2137">
        <f>SUM(D16:D19)</f>
        <v>2066.7318431597068</v>
      </c>
      <c r="E11" s="1929"/>
      <c r="F11" s="1929"/>
      <c r="G11" s="1929"/>
      <c r="H11" s="2927"/>
      <c r="I11" s="2928"/>
      <c r="J11" s="1880">
        <f>IF(SUM(C11:E11)=0,"NO",SUM(C11)+28*SUM(D11)+265*SUM(E11))</f>
        <v>57868.491608471792</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1555.6050121256317</v>
      </c>
      <c r="E16" s="628"/>
      <c r="F16" s="628"/>
      <c r="G16" s="628"/>
      <c r="H16" s="2930"/>
      <c r="I16" s="2931"/>
      <c r="J16" s="2934">
        <f>IF(SUM(C16:E16)=0,"NO",SUM(C16)+28*SUM(D16)+265*SUM(E16))</f>
        <v>43556.940339517685</v>
      </c>
    </row>
    <row r="17" spans="2:10" ht="18" customHeight="1" x14ac:dyDescent="0.2">
      <c r="B17" s="228" t="s">
        <v>699</v>
      </c>
      <c r="C17" s="2936"/>
      <c r="D17" s="2920">
        <f>Table3.A!G24</f>
        <v>498.55734141896687</v>
      </c>
      <c r="E17" s="628"/>
      <c r="F17" s="628"/>
      <c r="G17" s="628"/>
      <c r="H17" s="2930"/>
      <c r="I17" s="2931"/>
      <c r="J17" s="2934">
        <f t="shared" ref="J17:J21" si="1">IF(SUM(C17:E17)=0,"NO",SUM(C17)+28*SUM(D17)+265*SUM(E17))</f>
        <v>13959.605559731073</v>
      </c>
    </row>
    <row r="18" spans="2:10" ht="18" customHeight="1" x14ac:dyDescent="0.2">
      <c r="B18" s="228" t="s">
        <v>700</v>
      </c>
      <c r="C18" s="2936"/>
      <c r="D18" s="2920">
        <f>Table3.A!G27</f>
        <v>4.0217352822971097</v>
      </c>
      <c r="E18" s="628"/>
      <c r="F18" s="628"/>
      <c r="G18" s="628"/>
      <c r="H18" s="2930"/>
      <c r="I18" s="2931"/>
      <c r="J18" s="2934">
        <f t="shared" si="1"/>
        <v>112.60858790431908</v>
      </c>
    </row>
    <row r="19" spans="2:10" ht="18" customHeight="1" thickBot="1" x14ac:dyDescent="0.25">
      <c r="B19" s="1297" t="s">
        <v>701</v>
      </c>
      <c r="C19" s="2937"/>
      <c r="D19" s="2500">
        <f>Table3.A!G30</f>
        <v>8.5477543328109125</v>
      </c>
      <c r="E19" s="1923"/>
      <c r="F19" s="1923"/>
      <c r="G19" s="1923"/>
      <c r="H19" s="2938"/>
      <c r="I19" s="2939"/>
      <c r="J19" s="2934">
        <f t="shared" si="1"/>
        <v>239.33712131870556</v>
      </c>
    </row>
    <row r="20" spans="2:10" ht="18" customHeight="1" x14ac:dyDescent="0.2">
      <c r="B20" s="1456" t="s">
        <v>702</v>
      </c>
      <c r="C20" s="2940"/>
      <c r="D20" s="2920">
        <f>IF(SUM(D26:D30)=0,"NO",SUM(D26:D30))</f>
        <v>250.00643884346994</v>
      </c>
      <c r="E20" s="2920">
        <f>IF(SUM(E26:E30)=0,"NO",SUM(E26:E30))</f>
        <v>1.9871377753914132</v>
      </c>
      <c r="F20" s="2134"/>
      <c r="G20" s="2134"/>
      <c r="H20" s="2920" t="str">
        <f>IF(SUM(H26:H30)=0,"NE",SUM(H26:H30))</f>
        <v>NE</v>
      </c>
      <c r="I20" s="2931"/>
      <c r="J20" s="2941">
        <f t="shared" si="1"/>
        <v>7526.7717980958832</v>
      </c>
    </row>
    <row r="21" spans="2:10" ht="18" customHeight="1" x14ac:dyDescent="0.2">
      <c r="B21" s="228" t="s">
        <v>2019</v>
      </c>
      <c r="C21" s="2936"/>
      <c r="D21" s="2920">
        <f>D26</f>
        <v>160.62571239007713</v>
      </c>
      <c r="E21" s="2920">
        <f>E26</f>
        <v>0.96851485628150291</v>
      </c>
      <c r="F21" s="2942"/>
      <c r="G21" s="2942"/>
      <c r="H21" s="2920" t="str">
        <f>H26</f>
        <v>NE</v>
      </c>
      <c r="I21" s="2931"/>
      <c r="J21" s="2934">
        <f t="shared" si="1"/>
        <v>4754.1763838367579</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160.62571239007713</v>
      </c>
      <c r="E26" s="2920">
        <f>'Table3.B(b)'!X15</f>
        <v>0.96851485628150291</v>
      </c>
      <c r="F26" s="628"/>
      <c r="G26" s="628"/>
      <c r="H26" s="2944" t="s">
        <v>2154</v>
      </c>
      <c r="I26" s="2931"/>
      <c r="J26" s="2934">
        <f t="shared" ref="J26:J48" si="2">IF(SUM(C26:E26)=0,"NO",SUM(C26)+28*SUM(D26)+265*SUM(E26))</f>
        <v>4754.1763838367579</v>
      </c>
    </row>
    <row r="27" spans="2:10" ht="18" customHeight="1" x14ac:dyDescent="0.2">
      <c r="B27" s="228" t="s">
        <v>705</v>
      </c>
      <c r="C27" s="2936"/>
      <c r="D27" s="2920">
        <f>'Table3.B(a)'!K24</f>
        <v>25.272191602660648</v>
      </c>
      <c r="E27" s="2920" t="str">
        <f>'Table3.B(b)'!X24</f>
        <v>NA</v>
      </c>
      <c r="F27" s="2942"/>
      <c r="G27" s="2942"/>
      <c r="H27" s="2944" t="s">
        <v>2154</v>
      </c>
      <c r="I27" s="2931"/>
      <c r="J27" s="2934">
        <f t="shared" si="2"/>
        <v>707.62136487449811</v>
      </c>
    </row>
    <row r="28" spans="2:10" ht="18" customHeight="1" x14ac:dyDescent="0.2">
      <c r="B28" s="228" t="s">
        <v>706</v>
      </c>
      <c r="C28" s="2936"/>
      <c r="D28" s="2920">
        <f>'Table3.B(a)'!K27</f>
        <v>59.564645673446243</v>
      </c>
      <c r="E28" s="2920">
        <f>'Table3.B(b)'!X27</f>
        <v>0.20180411426182615</v>
      </c>
      <c r="F28" s="2942"/>
      <c r="G28" s="2942"/>
      <c r="H28" s="2944" t="s">
        <v>2154</v>
      </c>
      <c r="I28" s="2931"/>
      <c r="J28" s="2934">
        <f t="shared" si="2"/>
        <v>1721.2881691358787</v>
      </c>
    </row>
    <row r="29" spans="2:10" ht="18" customHeight="1" x14ac:dyDescent="0.2">
      <c r="B29" s="228" t="s">
        <v>707</v>
      </c>
      <c r="C29" s="2936"/>
      <c r="D29" s="2920">
        <f>'Table3.B(a)'!K30</f>
        <v>4.543889177285898</v>
      </c>
      <c r="E29" s="2920">
        <f>'Table3.B(b)'!X30</f>
        <v>0.43691692164962098</v>
      </c>
      <c r="F29" s="2942"/>
      <c r="G29" s="2942"/>
      <c r="H29" s="2944" t="s">
        <v>2154</v>
      </c>
      <c r="I29" s="2931"/>
      <c r="J29" s="2934">
        <f t="shared" si="2"/>
        <v>243.01188120115472</v>
      </c>
    </row>
    <row r="30" spans="2:10" ht="18" customHeight="1" thickBot="1" x14ac:dyDescent="0.25">
      <c r="B30" s="1297" t="s">
        <v>708</v>
      </c>
      <c r="C30" s="2945"/>
      <c r="D30" s="2946"/>
      <c r="E30" s="2947">
        <f>SUM('Table3.B(b)'!Y46:Z46)</f>
        <v>0.37990188319846335</v>
      </c>
      <c r="F30" s="2948"/>
      <c r="G30" s="2948"/>
      <c r="H30" s="2949"/>
      <c r="I30" s="2950"/>
      <c r="J30" s="2934">
        <f t="shared" si="2"/>
        <v>100.67399904759279</v>
      </c>
    </row>
    <row r="31" spans="2:10" ht="18" customHeight="1" thickBot="1" x14ac:dyDescent="0.25">
      <c r="B31" s="2639" t="s">
        <v>709</v>
      </c>
      <c r="C31" s="2951"/>
      <c r="D31" s="2952">
        <f>Table3.C!G11</f>
        <v>10.161289605189763</v>
      </c>
      <c r="E31" s="2953"/>
      <c r="F31" s="2953"/>
      <c r="G31" s="2953"/>
      <c r="H31" s="2954" t="s">
        <v>2154</v>
      </c>
      <c r="I31" s="2955"/>
      <c r="J31" s="2956">
        <f t="shared" si="2"/>
        <v>284.51610894531336</v>
      </c>
    </row>
    <row r="32" spans="2:10" ht="18" customHeight="1" x14ac:dyDescent="0.2">
      <c r="B32" s="2638" t="s">
        <v>2020</v>
      </c>
      <c r="C32" s="2957"/>
      <c r="D32" s="2958" t="s">
        <v>2154</v>
      </c>
      <c r="E32" s="2958">
        <f>IF(SUM(E33,E41)=0,"NO",SUM(E33,E41))</f>
        <v>44.856052845818496</v>
      </c>
      <c r="F32" s="2958" t="str">
        <f>IF(SUM(F33,F41)=0,"NO",SUM(F33,F41))</f>
        <v>NO</v>
      </c>
      <c r="G32" s="2958" t="str">
        <f>IF(SUM(G33,G41)=0,"NO",SUM(G33,G41))</f>
        <v>NO</v>
      </c>
      <c r="H32" s="2958" t="str">
        <f>IF(SUM(H33,H41)=0,"NO",SUM(H33,H41))</f>
        <v>NO</v>
      </c>
      <c r="I32" s="2959"/>
      <c r="J32" s="2960">
        <f t="shared" si="2"/>
        <v>11886.854004141902</v>
      </c>
    </row>
    <row r="33" spans="2:10" ht="18" customHeight="1" x14ac:dyDescent="0.2">
      <c r="B33" s="228" t="s">
        <v>710</v>
      </c>
      <c r="C33" s="2961"/>
      <c r="D33" s="2962" t="s">
        <v>2154</v>
      </c>
      <c r="E33" s="2962">
        <f>IF(SUM(E34:E40)=0,"NO",SUM(E34:E40))</f>
        <v>34.052797719993308</v>
      </c>
      <c r="F33" s="2962" t="str">
        <f>IF(SUM(F34:F40)=0,"NO",SUM(F34:F40))</f>
        <v>NO</v>
      </c>
      <c r="G33" s="2962" t="str">
        <f>IF(SUM(G34:G40)=0,"NO",SUM(G34:G40))</f>
        <v>NO</v>
      </c>
      <c r="H33" s="2962" t="str">
        <f>IF(SUM(H34:H40)=0,"NO",SUM(H34:H40))</f>
        <v>NO</v>
      </c>
      <c r="I33" s="2931"/>
      <c r="J33" s="2963">
        <f t="shared" si="2"/>
        <v>9023.9913957982262</v>
      </c>
    </row>
    <row r="34" spans="2:10" ht="18" customHeight="1" x14ac:dyDescent="0.2">
      <c r="B34" s="232" t="s">
        <v>711</v>
      </c>
      <c r="C34" s="2961"/>
      <c r="D34" s="2905" t="s">
        <v>2154</v>
      </c>
      <c r="E34" s="2962">
        <f>Table3.D!F11</f>
        <v>8.1733548963227296</v>
      </c>
      <c r="F34" s="2964" t="s">
        <v>2147</v>
      </c>
      <c r="G34" s="2964" t="s">
        <v>2147</v>
      </c>
      <c r="H34" s="2964" t="s">
        <v>2147</v>
      </c>
      <c r="I34" s="2931"/>
      <c r="J34" s="2963">
        <f t="shared" si="2"/>
        <v>2165.9390475255232</v>
      </c>
    </row>
    <row r="35" spans="2:10" ht="18" customHeight="1" x14ac:dyDescent="0.2">
      <c r="B35" s="232" t="s">
        <v>712</v>
      </c>
      <c r="C35" s="2961"/>
      <c r="D35" s="2905" t="s">
        <v>2154</v>
      </c>
      <c r="E35" s="2962">
        <f>Table3.D!F12</f>
        <v>1.6635160477457873</v>
      </c>
      <c r="F35" s="2964" t="s">
        <v>2147</v>
      </c>
      <c r="G35" s="2964" t="s">
        <v>2147</v>
      </c>
      <c r="H35" s="2965" t="s">
        <v>2147</v>
      </c>
      <c r="I35" s="2931"/>
      <c r="J35" s="2963">
        <f t="shared" si="2"/>
        <v>440.83175265263367</v>
      </c>
    </row>
    <row r="36" spans="2:10" ht="18" customHeight="1" x14ac:dyDescent="0.2">
      <c r="B36" s="232" t="s">
        <v>713</v>
      </c>
      <c r="C36" s="2961"/>
      <c r="D36" s="2905" t="s">
        <v>2154</v>
      </c>
      <c r="E36" s="2962">
        <f>Table3.D!F16</f>
        <v>10.419039610236561</v>
      </c>
      <c r="F36" s="2964" t="s">
        <v>2147</v>
      </c>
      <c r="G36" s="2964" t="s">
        <v>2147</v>
      </c>
      <c r="H36" s="2965" t="s">
        <v>2147</v>
      </c>
      <c r="I36" s="2931"/>
      <c r="J36" s="2963">
        <f t="shared" si="2"/>
        <v>2761.0454967126889</v>
      </c>
    </row>
    <row r="37" spans="2:10" ht="18" customHeight="1" x14ac:dyDescent="0.2">
      <c r="B37" s="232" t="s">
        <v>714</v>
      </c>
      <c r="C37" s="2961"/>
      <c r="D37" s="2905" t="s">
        <v>2154</v>
      </c>
      <c r="E37" s="2962">
        <f>Table3.D!F17</f>
        <v>13.509237649956969</v>
      </c>
      <c r="F37" s="2964" t="s">
        <v>2147</v>
      </c>
      <c r="G37" s="2964" t="s">
        <v>2147</v>
      </c>
      <c r="H37" s="2965" t="s">
        <v>2147</v>
      </c>
      <c r="I37" s="2931"/>
      <c r="J37" s="2963">
        <f t="shared" si="2"/>
        <v>3579.9479772385966</v>
      </c>
    </row>
    <row r="38" spans="2:10" ht="18" customHeight="1" x14ac:dyDescent="0.2">
      <c r="B38" s="1705" t="s">
        <v>715</v>
      </c>
      <c r="C38" s="2961"/>
      <c r="D38" s="2905" t="s">
        <v>2154</v>
      </c>
      <c r="E38" s="2962">
        <f>Table3.D!F18</f>
        <v>0.19964951573125847</v>
      </c>
      <c r="F38" s="2964" t="s">
        <v>2147</v>
      </c>
      <c r="G38" s="2964" t="s">
        <v>2147</v>
      </c>
      <c r="H38" s="2965" t="s">
        <v>2147</v>
      </c>
      <c r="I38" s="2931"/>
      <c r="J38" s="2963">
        <f t="shared" si="2"/>
        <v>52.907121668783496</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10.803255125825189</v>
      </c>
      <c r="F41" s="2969" t="s">
        <v>2147</v>
      </c>
      <c r="G41" s="2969" t="s">
        <v>2147</v>
      </c>
      <c r="H41" s="2970" t="s">
        <v>2147</v>
      </c>
      <c r="I41" s="2971"/>
      <c r="J41" s="2972">
        <f t="shared" si="2"/>
        <v>2862.8626083436748</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8.6179651337187533</v>
      </c>
      <c r="E43" s="2979">
        <f>SUM(Table3.F!J10,Table3.F!J20,Table3.F!J23,Table3.F!J26:J27)</f>
        <v>0.36916018642300469</v>
      </c>
      <c r="F43" s="2909">
        <v>21.328273928506135</v>
      </c>
      <c r="G43" s="2909">
        <v>336.10064021503138</v>
      </c>
      <c r="H43" s="2910">
        <v>19.605870679210163</v>
      </c>
      <c r="I43" s="2980" t="s">
        <v>2146</v>
      </c>
      <c r="J43" s="2981">
        <f t="shared" si="2"/>
        <v>339.13047314622133</v>
      </c>
    </row>
    <row r="44" spans="2:10" ht="18" customHeight="1" thickBot="1" x14ac:dyDescent="0.25">
      <c r="B44" s="2641" t="s">
        <v>721</v>
      </c>
      <c r="C44" s="2982">
        <f>'Table3.G-J'!E10</f>
        <v>1318.3866247265748</v>
      </c>
      <c r="D44" s="2983"/>
      <c r="E44" s="2983"/>
      <c r="F44" s="2983"/>
      <c r="G44" s="2983"/>
      <c r="H44" s="2984"/>
      <c r="I44" s="2985"/>
      <c r="J44" s="2981">
        <f t="shared" si="2"/>
        <v>1318.3866247265748</v>
      </c>
    </row>
    <row r="45" spans="2:10" ht="18" customHeight="1" thickBot="1" x14ac:dyDescent="0.25">
      <c r="B45" s="2641" t="s">
        <v>722</v>
      </c>
      <c r="C45" s="2982">
        <f>'Table3.G-J'!E13</f>
        <v>1356.3276249629334</v>
      </c>
      <c r="D45" s="2983"/>
      <c r="E45" s="2983"/>
      <c r="F45" s="2983"/>
      <c r="G45" s="2983"/>
      <c r="H45" s="2984"/>
      <c r="I45" s="2985"/>
      <c r="J45" s="2981">
        <f t="shared" si="2"/>
        <v>1356.3276249629334</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27843.383000000002</v>
      </c>
      <c r="D10" s="3241"/>
      <c r="E10" s="3241"/>
      <c r="F10" s="3131">
        <f>IF(SUM(C10)=0,"NA",G10*1000/C10)</f>
        <v>55.869827747785948</v>
      </c>
      <c r="G10" s="3242">
        <f>G15</f>
        <v>1555.6050121256317</v>
      </c>
      <c r="I10" s="275" t="s">
        <v>738</v>
      </c>
      <c r="J10" s="276" t="s">
        <v>739</v>
      </c>
      <c r="K10" s="691">
        <v>449.92543095071699</v>
      </c>
      <c r="L10" s="691">
        <v>359.30378325903899</v>
      </c>
      <c r="M10" s="3147">
        <v>527.96992481202994</v>
      </c>
      <c r="N10" s="3147">
        <v>43.9156689602924</v>
      </c>
      <c r="O10" s="2911">
        <v>57.157241816088899</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17.259648869461898</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27843.383000000002</v>
      </c>
      <c r="D15" s="3248"/>
      <c r="E15" s="3248"/>
      <c r="F15" s="3131">
        <f>IF(SUM(C15)=0,"NA",G15*1000/C15)</f>
        <v>55.869827747785948</v>
      </c>
      <c r="G15" s="3249">
        <f>G20</f>
        <v>1555.6050121256317</v>
      </c>
      <c r="I15" s="1777" t="s">
        <v>748</v>
      </c>
      <c r="J15" s="1849" t="s">
        <v>297</v>
      </c>
      <c r="K15" s="3445">
        <v>75</v>
      </c>
      <c r="L15" s="3445">
        <v>57.710957644124001</v>
      </c>
      <c r="M15" s="1560">
        <v>80.492869660273499</v>
      </c>
      <c r="N15" s="1560">
        <v>66.746407291378901</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1555.6050121256317</v>
      </c>
      <c r="I20" s="72"/>
      <c r="J20" s="288"/>
      <c r="K20" s="288"/>
      <c r="L20" s="288"/>
      <c r="M20" s="288"/>
      <c r="N20" s="288"/>
      <c r="O20" s="288"/>
    </row>
    <row r="21" spans="2:15" ht="18" customHeight="1" x14ac:dyDescent="0.2">
      <c r="B21" s="2633" t="s">
        <v>2196</v>
      </c>
      <c r="C21" s="3272">
        <v>2703.8820000000001</v>
      </c>
      <c r="D21" s="3257">
        <v>233.50871865855299</v>
      </c>
      <c r="E21" s="3257">
        <v>6.1427767223629397</v>
      </c>
      <c r="F21" s="3131">
        <f t="shared" ref="F21:F30" si="0">IF(SUM(C21)=0,"NA",G21*1000/C21)</f>
        <v>94.812202695532505</v>
      </c>
      <c r="G21" s="3239">
        <v>256.36100824880185</v>
      </c>
      <c r="I21" s="72"/>
      <c r="J21" s="288"/>
      <c r="K21" s="288"/>
      <c r="L21" s="288"/>
      <c r="M21" s="288"/>
      <c r="N21" s="288"/>
      <c r="O21" s="288"/>
    </row>
    <row r="22" spans="2:15" ht="18" customHeight="1" x14ac:dyDescent="0.2">
      <c r="B22" s="2633" t="s">
        <v>2197</v>
      </c>
      <c r="C22" s="3272">
        <v>24108.175999999999</v>
      </c>
      <c r="D22" s="3257">
        <v>124.29649802097499</v>
      </c>
      <c r="E22" s="3257">
        <v>6.21225</v>
      </c>
      <c r="F22" s="3131">
        <f t="shared" si="0"/>
        <v>51.039248783655218</v>
      </c>
      <c r="G22" s="3239">
        <v>1230.4631925841459</v>
      </c>
      <c r="I22" s="72"/>
      <c r="J22" s="288"/>
      <c r="K22" s="288"/>
      <c r="L22" s="288"/>
      <c r="M22" s="288"/>
      <c r="N22" s="288"/>
      <c r="O22" s="288"/>
    </row>
    <row r="23" spans="2:15" ht="18" customHeight="1" x14ac:dyDescent="0.2">
      <c r="B23" s="2633" t="s">
        <v>2198</v>
      </c>
      <c r="C23" s="3272">
        <v>1031.325</v>
      </c>
      <c r="D23" s="3257">
        <v>200.74118938843</v>
      </c>
      <c r="E23" s="3257">
        <v>5.0261905366799304</v>
      </c>
      <c r="F23" s="3131">
        <f t="shared" si="0"/>
        <v>66.691693978798043</v>
      </c>
      <c r="G23" s="3239">
        <v>68.780811292683893</v>
      </c>
      <c r="I23" s="72"/>
      <c r="J23" s="288"/>
      <c r="K23" s="288"/>
      <c r="L23" s="288"/>
      <c r="M23" s="288"/>
      <c r="N23" s="288"/>
      <c r="O23" s="288"/>
    </row>
    <row r="24" spans="2:15" ht="18" customHeight="1" x14ac:dyDescent="0.2">
      <c r="B24" s="287" t="s">
        <v>753</v>
      </c>
      <c r="C24" s="2635">
        <f>C25</f>
        <v>74082.630999999994</v>
      </c>
      <c r="D24" s="3258"/>
      <c r="E24" s="3258"/>
      <c r="F24" s="3131">
        <f t="shared" si="0"/>
        <v>6.7297466989120149</v>
      </c>
      <c r="G24" s="3128">
        <f>G25</f>
        <v>498.55734141896687</v>
      </c>
      <c r="I24" s="72"/>
    </row>
    <row r="25" spans="2:15" ht="18" customHeight="1" x14ac:dyDescent="0.2">
      <c r="B25" s="282" t="s">
        <v>754</v>
      </c>
      <c r="C25" s="2635">
        <f>C26</f>
        <v>74082.630999999994</v>
      </c>
      <c r="D25" s="3258"/>
      <c r="E25" s="3258"/>
      <c r="F25" s="3131">
        <f t="shared" si="0"/>
        <v>6.7297466989120149</v>
      </c>
      <c r="G25" s="3128">
        <f>G26</f>
        <v>498.55734141896687</v>
      </c>
    </row>
    <row r="26" spans="2:15" ht="18" customHeight="1" x14ac:dyDescent="0.2">
      <c r="B26" s="2634" t="s">
        <v>2201</v>
      </c>
      <c r="C26" s="289">
        <v>74082.630999999994</v>
      </c>
      <c r="D26" s="3259">
        <v>16.498988622475501</v>
      </c>
      <c r="E26" s="3259">
        <v>6.1708492250637299</v>
      </c>
      <c r="F26" s="3131">
        <f t="shared" si="0"/>
        <v>6.7297466989120149</v>
      </c>
      <c r="G26" s="3240">
        <v>498.55734141896687</v>
      </c>
    </row>
    <row r="27" spans="2:15" ht="18" customHeight="1" x14ac:dyDescent="0.2">
      <c r="B27" s="287" t="s">
        <v>755</v>
      </c>
      <c r="C27" s="2635">
        <f>C28</f>
        <v>2563.1480000000001</v>
      </c>
      <c r="D27" s="3258"/>
      <c r="E27" s="3258"/>
      <c r="F27" s="3131">
        <f t="shared" si="0"/>
        <v>1.5690608900840333</v>
      </c>
      <c r="G27" s="3128">
        <f>G28</f>
        <v>4.0217352822971097</v>
      </c>
    </row>
    <row r="28" spans="2:15" ht="18" customHeight="1" x14ac:dyDescent="0.2">
      <c r="B28" s="282" t="s">
        <v>756</v>
      </c>
      <c r="C28" s="2635">
        <f>C29</f>
        <v>2563.1480000000001</v>
      </c>
      <c r="D28" s="3258"/>
      <c r="E28" s="3258"/>
      <c r="F28" s="3131">
        <f t="shared" si="0"/>
        <v>1.5690608900840333</v>
      </c>
      <c r="G28" s="3128">
        <f>G29</f>
        <v>4.0217352822971097</v>
      </c>
    </row>
    <row r="29" spans="2:15" ht="18" customHeight="1" x14ac:dyDescent="0.2">
      <c r="B29" s="2634" t="s">
        <v>817</v>
      </c>
      <c r="C29" s="289">
        <v>2563.1480000000001</v>
      </c>
      <c r="D29" s="3259">
        <v>33.911364866663298</v>
      </c>
      <c r="E29" s="3259">
        <v>0.7</v>
      </c>
      <c r="F29" s="3131">
        <f t="shared" si="0"/>
        <v>1.5690608900840333</v>
      </c>
      <c r="G29" s="3240">
        <v>4.0217352822971097</v>
      </c>
    </row>
    <row r="30" spans="2:15" ht="18" customHeight="1" x14ac:dyDescent="0.2">
      <c r="B30" s="287" t="s">
        <v>757</v>
      </c>
      <c r="C30" s="2635">
        <f>SUM(C32:C39)</f>
        <v>97645.106999999989</v>
      </c>
      <c r="D30" s="3258"/>
      <c r="E30" s="3258"/>
      <c r="F30" s="3131">
        <f t="shared" si="0"/>
        <v>8.7538992945247265E-2</v>
      </c>
      <c r="G30" s="3128">
        <f>SUM(G32:G39)</f>
        <v>8.5477543328109125</v>
      </c>
    </row>
    <row r="31" spans="2:15" ht="18" customHeight="1" x14ac:dyDescent="0.2">
      <c r="B31" s="1305" t="s">
        <v>345</v>
      </c>
      <c r="C31" s="3273"/>
      <c r="D31" s="3261"/>
      <c r="E31" s="3261"/>
      <c r="F31" s="3261"/>
      <c r="G31" s="3262"/>
    </row>
    <row r="32" spans="2:15" ht="18" customHeight="1" x14ac:dyDescent="0.2">
      <c r="B32" s="286" t="s">
        <v>758</v>
      </c>
      <c r="C32" s="3267">
        <v>5.1520000000000001</v>
      </c>
      <c r="D32" s="3263" t="s">
        <v>2147</v>
      </c>
      <c r="E32" s="3263" t="s">
        <v>2147</v>
      </c>
      <c r="F32" s="3131">
        <f t="shared" ref="F32:F40" si="1">IF(SUM(C32)=0,"NA",G32*1000/C32)</f>
        <v>76.006174462646882</v>
      </c>
      <c r="G32" s="3239">
        <v>0.39158381083155674</v>
      </c>
    </row>
    <row r="33" spans="2:7" ht="18" customHeight="1" x14ac:dyDescent="0.2">
      <c r="B33" s="286" t="s">
        <v>759</v>
      </c>
      <c r="C33" s="3267">
        <v>2.7589999999999999</v>
      </c>
      <c r="D33" s="3263" t="s">
        <v>2147</v>
      </c>
      <c r="E33" s="3263" t="s">
        <v>2147</v>
      </c>
      <c r="F33" s="3131">
        <f t="shared" si="1"/>
        <v>45.996686405068701</v>
      </c>
      <c r="G33" s="3239">
        <v>0.12690485779158453</v>
      </c>
    </row>
    <row r="34" spans="2:7" ht="18" customHeight="1" x14ac:dyDescent="0.2">
      <c r="B34" s="286" t="s">
        <v>760</v>
      </c>
      <c r="C34" s="3267">
        <v>30.123000000000001</v>
      </c>
      <c r="D34" s="3263" t="s">
        <v>2147</v>
      </c>
      <c r="E34" s="3263" t="s">
        <v>2147</v>
      </c>
      <c r="F34" s="3131">
        <f t="shared" si="1"/>
        <v>19.999704881094388</v>
      </c>
      <c r="G34" s="3239">
        <v>0.60245111013320629</v>
      </c>
    </row>
    <row r="35" spans="2:7" ht="18" customHeight="1" x14ac:dyDescent="0.2">
      <c r="B35" s="286" t="s">
        <v>761</v>
      </c>
      <c r="C35" s="3267">
        <v>460.32400000000001</v>
      </c>
      <c r="D35" s="3263" t="s">
        <v>2147</v>
      </c>
      <c r="E35" s="3263" t="s">
        <v>2147</v>
      </c>
      <c r="F35" s="3131">
        <f t="shared" si="1"/>
        <v>4.999996687116032</v>
      </c>
      <c r="G35" s="3239">
        <v>2.3016184750000002</v>
      </c>
    </row>
    <row r="36" spans="2:7" ht="18" customHeight="1" x14ac:dyDescent="0.2">
      <c r="B36" s="286" t="s">
        <v>762</v>
      </c>
      <c r="C36" s="3267">
        <v>222.53</v>
      </c>
      <c r="D36" s="3263" t="s">
        <v>2147</v>
      </c>
      <c r="E36" s="3263" t="s">
        <v>2147</v>
      </c>
      <c r="F36" s="3131">
        <f t="shared" si="1"/>
        <v>17.999997951186046</v>
      </c>
      <c r="G36" s="3239">
        <v>4.0055395440774308</v>
      </c>
    </row>
    <row r="37" spans="2:7" ht="18" customHeight="1" x14ac:dyDescent="0.2">
      <c r="B37" s="286" t="s">
        <v>763</v>
      </c>
      <c r="C37" s="3267">
        <v>0.64600000000000002</v>
      </c>
      <c r="D37" s="3263" t="s">
        <v>2147</v>
      </c>
      <c r="E37" s="3263" t="s">
        <v>2147</v>
      </c>
      <c r="F37" s="3131">
        <f t="shared" si="1"/>
        <v>10.006287556295343</v>
      </c>
      <c r="G37" s="3239">
        <v>6.4640617613667918E-3</v>
      </c>
    </row>
    <row r="38" spans="2:7" ht="18" customHeight="1" x14ac:dyDescent="0.2">
      <c r="B38" s="286" t="s">
        <v>764</v>
      </c>
      <c r="C38" s="3274">
        <v>96780.744999999995</v>
      </c>
      <c r="D38" s="3263" t="s">
        <v>2147</v>
      </c>
      <c r="E38" s="3263" t="s">
        <v>2147</v>
      </c>
      <c r="F38" s="3131" t="s">
        <v>2147</v>
      </c>
      <c r="G38" s="3264" t="s">
        <v>2154</v>
      </c>
    </row>
    <row r="39" spans="2:7" ht="18" customHeight="1" x14ac:dyDescent="0.2">
      <c r="B39" s="286" t="s">
        <v>765</v>
      </c>
      <c r="C39" s="2635">
        <f>SUM(C40:C44)</f>
        <v>142.828</v>
      </c>
      <c r="D39" s="3258"/>
      <c r="E39" s="3258"/>
      <c r="F39" s="3131">
        <f t="shared" si="1"/>
        <v>7.7939372757146161</v>
      </c>
      <c r="G39" s="3128">
        <f>SUM(G40:G44)</f>
        <v>1.1131924732157672</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9.8109999999999999</v>
      </c>
      <c r="D42" s="2967" t="s">
        <v>2147</v>
      </c>
      <c r="E42" s="2967" t="s">
        <v>2147</v>
      </c>
      <c r="F42" s="3131">
        <f t="shared" si="2"/>
        <v>4.9999415727966809</v>
      </c>
      <c r="G42" s="3201">
        <v>4.9054426770708238E-2</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133.017</v>
      </c>
      <c r="D44" s="3258"/>
      <c r="E44" s="3258"/>
      <c r="F44" s="3131">
        <f>IF(SUM(C44)=0,"NA",G44*1000/C44)</f>
        <v>8.0000153848384716</v>
      </c>
      <c r="G44" s="3128">
        <f>G45</f>
        <v>1.0641380464450589</v>
      </c>
    </row>
    <row r="45" spans="2:7" ht="18" customHeight="1" thickBot="1" x14ac:dyDescent="0.25">
      <c r="B45" s="2636" t="s">
        <v>2199</v>
      </c>
      <c r="C45" s="3276">
        <v>133.017</v>
      </c>
      <c r="D45" s="3137" t="s">
        <v>2147</v>
      </c>
      <c r="E45" s="3137" t="s">
        <v>2147</v>
      </c>
      <c r="F45" s="3265">
        <f>IF(SUM(C45)=0,"NA",G45*1000/C45)</f>
        <v>8.0000153848384716</v>
      </c>
      <c r="G45" s="3203">
        <v>1.0641380464450589</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27843.383000000002</v>
      </c>
      <c r="D10" s="2942"/>
      <c r="E10" s="2942"/>
      <c r="F10" s="2942"/>
      <c r="G10" s="2942"/>
      <c r="H10" s="2942"/>
      <c r="I10" s="3279"/>
      <c r="J10" s="3280">
        <f>IF(SUM(C10)=0,"NA",K10*1000/C10)</f>
        <v>5.7689007255360139</v>
      </c>
      <c r="K10" s="3281">
        <f>K15</f>
        <v>160.62571239007713</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27843.383000000002</v>
      </c>
      <c r="D15" s="3293"/>
      <c r="E15" s="3293"/>
      <c r="F15" s="3293"/>
      <c r="G15" s="3293"/>
      <c r="H15" s="3293"/>
      <c r="I15" s="3288"/>
      <c r="J15" s="3287">
        <f>IF(SUM(C15)=0,"NA",K15*1000/C15)</f>
        <v>5.7689007255360139</v>
      </c>
      <c r="K15" s="3281">
        <f>SUM(K17:K20)</f>
        <v>160.62571239007713</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27843.383000000002</v>
      </c>
      <c r="D20" s="3293"/>
      <c r="E20" s="3293"/>
      <c r="F20" s="3293"/>
      <c r="G20" s="3293"/>
      <c r="H20" s="3293"/>
      <c r="I20" s="3288"/>
      <c r="J20" s="3301">
        <f>IF(SUM(C20)=0,"NA",K20*1000/C20)</f>
        <v>5.7689007255360139</v>
      </c>
      <c r="K20" s="3281">
        <f>SUM(K21:K23)</f>
        <v>160.62571239007713</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2703.8820000000001</v>
      </c>
      <c r="D21" s="3325">
        <v>9.52797345371226</v>
      </c>
      <c r="E21" s="3325">
        <v>90.471767659216866</v>
      </c>
      <c r="F21" s="3325">
        <v>2.5888707088000002E-4</v>
      </c>
      <c r="G21" s="3298">
        <f>Table3.A!K10</f>
        <v>449.92543095071699</v>
      </c>
      <c r="H21" s="3299">
        <v>3.3496704919410001</v>
      </c>
      <c r="I21" s="3300">
        <v>0.24</v>
      </c>
      <c r="J21" s="3301">
        <f>IF(SUM(C21)=0,"NA",K21*1000/C21)</f>
        <v>15.298136135021224</v>
      </c>
      <c r="K21" s="3277">
        <v>41.364354929033453</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24108.175999999999</v>
      </c>
      <c r="D22" s="3325" t="s">
        <v>2146</v>
      </c>
      <c r="E22" s="3325">
        <v>82.758724665992105</v>
      </c>
      <c r="F22" s="3325">
        <v>17.241275334007899</v>
      </c>
      <c r="G22" s="3298">
        <f>Table3.A!L10</f>
        <v>359.30378325903899</v>
      </c>
      <c r="H22" s="3299" t="s">
        <v>2147</v>
      </c>
      <c r="I22" s="3300" t="s">
        <v>2147</v>
      </c>
      <c r="J22" s="3301">
        <f t="shared" ref="J22:J45" si="0">IF(SUM(C22)=0,"NA",K22*1000/C22)</f>
        <v>4.7996948098017338</v>
      </c>
      <c r="K22" s="3277">
        <v>115.71188722098671</v>
      </c>
      <c r="M22" s="1594" t="s">
        <v>800</v>
      </c>
      <c r="N22" s="4486" t="s">
        <v>2196</v>
      </c>
      <c r="O22" s="1690" t="s">
        <v>802</v>
      </c>
      <c r="P22" s="1691" t="s">
        <v>791</v>
      </c>
      <c r="Q22" s="3774">
        <v>6.4343137159078498</v>
      </c>
      <c r="R22" s="300" t="s">
        <v>2146</v>
      </c>
      <c r="S22" s="3772">
        <v>3.9025160883451102</v>
      </c>
      <c r="T22" s="3772">
        <v>1.6045469040923095</v>
      </c>
      <c r="U22" s="3772" t="s">
        <v>2146</v>
      </c>
      <c r="V22" s="3772" t="s">
        <v>2153</v>
      </c>
      <c r="W22" s="3772" t="s">
        <v>2146</v>
      </c>
      <c r="X22" s="3772">
        <v>88.058623291654698</v>
      </c>
      <c r="Y22" s="301" t="s">
        <v>2146</v>
      </c>
      <c r="Z22" s="301" t="s">
        <v>2146</v>
      </c>
      <c r="AA22" s="301" t="s">
        <v>2146</v>
      </c>
      <c r="AB22" s="1306" t="s">
        <v>2146</v>
      </c>
    </row>
    <row r="23" spans="2:28" s="84" customFormat="1" ht="18" customHeight="1" x14ac:dyDescent="0.2">
      <c r="B23" s="2642" t="s">
        <v>2198</v>
      </c>
      <c r="C23" s="3325">
        <f>Table3.A!C23</f>
        <v>1031.325</v>
      </c>
      <c r="D23" s="3325" t="s">
        <v>2146</v>
      </c>
      <c r="E23" s="3325">
        <v>100</v>
      </c>
      <c r="F23" s="3325" t="s">
        <v>2146</v>
      </c>
      <c r="G23" s="3298">
        <f>Table3.A!M10</f>
        <v>527.96992481202994</v>
      </c>
      <c r="H23" s="3299">
        <v>1.7131994888539299</v>
      </c>
      <c r="I23" s="3300">
        <v>0.19</v>
      </c>
      <c r="J23" s="3301">
        <f t="shared" si="0"/>
        <v>3.4416602332503907</v>
      </c>
      <c r="K23" s="3277">
        <v>3.5494702400569595</v>
      </c>
      <c r="M23" s="1664" t="s">
        <v>813</v>
      </c>
      <c r="N23" s="4487"/>
      <c r="O23" s="1692" t="s">
        <v>794</v>
      </c>
      <c r="P23" s="1693" t="s">
        <v>792</v>
      </c>
      <c r="Q23" s="3776">
        <v>9.2138383688242005</v>
      </c>
      <c r="R23" s="277" t="s">
        <v>2146</v>
      </c>
      <c r="S23" s="691">
        <v>1.91442851451639</v>
      </c>
      <c r="T23" s="3147">
        <v>2.4817724678243662</v>
      </c>
      <c r="U23" s="3147" t="s">
        <v>2146</v>
      </c>
      <c r="V23" s="3147" t="s">
        <v>2153</v>
      </c>
      <c r="W23" s="3147" t="s">
        <v>2146</v>
      </c>
      <c r="X23" s="3147">
        <v>86.389960648835</v>
      </c>
      <c r="Y23" s="278" t="s">
        <v>2146</v>
      </c>
      <c r="Z23" s="278" t="s">
        <v>2146</v>
      </c>
      <c r="AA23" s="278" t="s">
        <v>2146</v>
      </c>
      <c r="AB23" s="279" t="s">
        <v>2146</v>
      </c>
    </row>
    <row r="24" spans="2:28" s="84" customFormat="1" ht="18" customHeight="1" thickBot="1" x14ac:dyDescent="0.25">
      <c r="B24" s="1643" t="s">
        <v>811</v>
      </c>
      <c r="C24" s="4184">
        <f>C25</f>
        <v>74082.630999999994</v>
      </c>
      <c r="D24" s="3303"/>
      <c r="E24" s="3303"/>
      <c r="F24" s="3303"/>
      <c r="G24" s="3303"/>
      <c r="H24" s="3303"/>
      <c r="I24" s="3304"/>
      <c r="J24" s="3301">
        <f t="shared" si="0"/>
        <v>0.34113517921171904</v>
      </c>
      <c r="K24" s="3281">
        <f>K25</f>
        <v>25.272191602660648</v>
      </c>
      <c r="M24" s="1656"/>
      <c r="N24" s="4487"/>
      <c r="O24" s="1694"/>
      <c r="P24" s="1693" t="s">
        <v>793</v>
      </c>
      <c r="Q24" s="4208">
        <v>8.1395133796640202</v>
      </c>
      <c r="R24" s="304" t="s">
        <v>2146</v>
      </c>
      <c r="S24" s="1559">
        <v>4.9947013920665597</v>
      </c>
      <c r="T24" s="1560">
        <v>4.2127026892682569</v>
      </c>
      <c r="U24" s="1560" t="s">
        <v>2146</v>
      </c>
      <c r="V24" s="1560" t="s">
        <v>2153</v>
      </c>
      <c r="W24" s="1560" t="s">
        <v>2146</v>
      </c>
      <c r="X24" s="1560">
        <v>82.653082539001204</v>
      </c>
      <c r="Y24" s="305" t="s">
        <v>2146</v>
      </c>
      <c r="Z24" s="305" t="s">
        <v>2146</v>
      </c>
      <c r="AA24" s="305" t="s">
        <v>2146</v>
      </c>
      <c r="AB24" s="442" t="s">
        <v>2146</v>
      </c>
    </row>
    <row r="25" spans="2:28" s="84" customFormat="1" ht="18" customHeight="1" x14ac:dyDescent="0.2">
      <c r="B25" s="1644" t="s">
        <v>812</v>
      </c>
      <c r="C25" s="4184">
        <f>C26</f>
        <v>74082.630999999994</v>
      </c>
      <c r="D25" s="3250"/>
      <c r="E25" s="3250"/>
      <c r="F25" s="3250"/>
      <c r="G25" s="3250"/>
      <c r="H25" s="3250"/>
      <c r="I25" s="3260"/>
      <c r="J25" s="3301">
        <f t="shared" si="0"/>
        <v>0.34113517921171904</v>
      </c>
      <c r="K25" s="3281">
        <f>K26</f>
        <v>25.272191602660648</v>
      </c>
      <c r="M25" s="1656"/>
      <c r="N25" s="4487"/>
      <c r="O25" s="1695" t="s">
        <v>2026</v>
      </c>
      <c r="P25" s="1691" t="s">
        <v>791</v>
      </c>
      <c r="Q25" s="4209">
        <v>0.7</v>
      </c>
      <c r="R25" s="1308" t="s">
        <v>2146</v>
      </c>
      <c r="S25" s="692">
        <v>3.911363636364E-2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74082.630999999994</v>
      </c>
      <c r="D26" s="3325" t="s">
        <v>2146</v>
      </c>
      <c r="E26" s="3325">
        <v>100</v>
      </c>
      <c r="F26" s="3325" t="s">
        <v>2146</v>
      </c>
      <c r="G26" s="3305">
        <f>Table3.A!N10</f>
        <v>43.9156689602924</v>
      </c>
      <c r="H26" s="3033" t="s">
        <v>2147</v>
      </c>
      <c r="I26" s="3126" t="s">
        <v>2147</v>
      </c>
      <c r="J26" s="3301">
        <f t="shared" si="0"/>
        <v>0.34113517921171904</v>
      </c>
      <c r="K26" s="3277">
        <v>25.272191602660648</v>
      </c>
      <c r="M26" s="1656"/>
      <c r="N26" s="4487"/>
      <c r="O26" s="1696"/>
      <c r="P26" s="1693" t="s">
        <v>792</v>
      </c>
      <c r="Q26" s="3776">
        <v>0.74356388293717002</v>
      </c>
      <c r="R26" s="277" t="s">
        <v>2146</v>
      </c>
      <c r="S26" s="691">
        <v>6.5659353101330004E-2</v>
      </c>
      <c r="T26" s="3147">
        <v>2</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2563.1480000000001</v>
      </c>
      <c r="D27" s="3250"/>
      <c r="E27" s="3250"/>
      <c r="F27" s="3250"/>
      <c r="G27" s="3250"/>
      <c r="H27" s="3250"/>
      <c r="I27" s="3260"/>
      <c r="J27" s="3301">
        <f t="shared" si="0"/>
        <v>23.238863176627426</v>
      </c>
      <c r="K27" s="3281">
        <f>K28</f>
        <v>59.564645673446243</v>
      </c>
      <c r="M27" s="1656"/>
      <c r="N27" s="4488"/>
      <c r="O27" s="1697"/>
      <c r="P27" s="1693" t="s">
        <v>793</v>
      </c>
      <c r="Q27" s="4208">
        <v>0.8</v>
      </c>
      <c r="R27" s="304" t="s">
        <v>2146</v>
      </c>
      <c r="S27" s="1559">
        <v>0.28222222222221999</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
      <c r="B28" s="1644" t="s">
        <v>815</v>
      </c>
      <c r="C28" s="4184">
        <f>C29</f>
        <v>2563.1480000000001</v>
      </c>
      <c r="D28" s="3250"/>
      <c r="E28" s="3250"/>
      <c r="F28" s="3250"/>
      <c r="G28" s="3250"/>
      <c r="H28" s="3250"/>
      <c r="I28" s="3260"/>
      <c r="J28" s="3301">
        <f t="shared" si="0"/>
        <v>23.238863176627426</v>
      </c>
      <c r="K28" s="3281">
        <f>K29</f>
        <v>59.564645673446243</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2563.1480000000001</v>
      </c>
      <c r="D29" s="3325">
        <v>0.78727409986100005</v>
      </c>
      <c r="E29" s="3325">
        <v>99.212725900139006</v>
      </c>
      <c r="F29" s="3325" t="s">
        <v>2146</v>
      </c>
      <c r="G29" s="3305">
        <f>Table3.A!O10</f>
        <v>57.157241816088899</v>
      </c>
      <c r="H29" s="3033">
        <v>0.39637460862474999</v>
      </c>
      <c r="I29" s="3126">
        <v>0.45</v>
      </c>
      <c r="J29" s="3301">
        <f t="shared" si="0"/>
        <v>23.238863176627426</v>
      </c>
      <c r="K29" s="3277">
        <v>59.564645673446243</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97645.106999999989</v>
      </c>
      <c r="D30" s="3250"/>
      <c r="E30" s="3250"/>
      <c r="F30" s="3250"/>
      <c r="G30" s="3250"/>
      <c r="H30" s="3250"/>
      <c r="I30" s="3260"/>
      <c r="J30" s="3301">
        <f t="shared" si="0"/>
        <v>4.6534734989699976E-2</v>
      </c>
      <c r="K30" s="3281">
        <f>SUM(K32:K39)</f>
        <v>4.543889177285898</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5.1520000000000001</v>
      </c>
      <c r="D32" s="3325" t="s">
        <v>2146</v>
      </c>
      <c r="E32" s="3325">
        <v>30.906369136234275</v>
      </c>
      <c r="F32" s="3325">
        <v>69.093630863765725</v>
      </c>
      <c r="G32" s="3307" t="s">
        <v>2147</v>
      </c>
      <c r="H32" s="3307" t="s">
        <v>2147</v>
      </c>
      <c r="I32" s="3307" t="s">
        <v>2147</v>
      </c>
      <c r="J32" s="3301">
        <f t="shared" si="0"/>
        <v>8.9219319239120214</v>
      </c>
      <c r="K32" s="3277">
        <v>4.5965793271994737E-2</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2.7589999999999999</v>
      </c>
      <c r="D33" s="3325" t="s">
        <v>2146</v>
      </c>
      <c r="E33" s="3325">
        <v>17.4938433155952</v>
      </c>
      <c r="F33" s="3325">
        <v>82.5061566844048</v>
      </c>
      <c r="G33" s="3307" t="s">
        <v>2147</v>
      </c>
      <c r="H33" s="3307" t="s">
        <v>2147</v>
      </c>
      <c r="I33" s="3307" t="s">
        <v>2147</v>
      </c>
      <c r="J33" s="3287">
        <f t="shared" si="0"/>
        <v>10.069984507856596</v>
      </c>
      <c r="K33" s="3277">
        <v>2.7783087257176344E-2</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30.123000000000001</v>
      </c>
      <c r="D34" s="3325" t="s">
        <v>2146</v>
      </c>
      <c r="E34" s="3325">
        <v>98.491322971022257</v>
      </c>
      <c r="F34" s="3325">
        <v>1.50867702897774</v>
      </c>
      <c r="G34" s="3307" t="s">
        <v>2147</v>
      </c>
      <c r="H34" s="3307" t="s">
        <v>2147</v>
      </c>
      <c r="I34" s="3307" t="s">
        <v>2147</v>
      </c>
      <c r="J34" s="3287">
        <f t="shared" si="0"/>
        <v>1.0429605904073735</v>
      </c>
      <c r="K34" s="3277">
        <v>3.1417101864841313E-2</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460.32400000000001</v>
      </c>
      <c r="D35" s="3325" t="s">
        <v>2146</v>
      </c>
      <c r="E35" s="3325">
        <v>99.831102328981785</v>
      </c>
      <c r="F35" s="3325">
        <v>0.16889767101822001</v>
      </c>
      <c r="G35" s="3307" t="s">
        <v>2147</v>
      </c>
      <c r="H35" s="3307" t="s">
        <v>2147</v>
      </c>
      <c r="I35" s="3307" t="s">
        <v>2147</v>
      </c>
      <c r="J35" s="3287">
        <f t="shared" si="0"/>
        <v>0.35904662420392758</v>
      </c>
      <c r="K35" s="3277">
        <v>0.16527777824004877</v>
      </c>
      <c r="M35" s="1664"/>
      <c r="N35" s="4487"/>
      <c r="O35" s="1692" t="s">
        <v>794</v>
      </c>
      <c r="P35" s="1693" t="s">
        <v>792</v>
      </c>
      <c r="Q35" s="3776">
        <v>1.8</v>
      </c>
      <c r="R35" s="277" t="s">
        <v>2146</v>
      </c>
      <c r="S35" s="277" t="s">
        <v>2146</v>
      </c>
      <c r="T35" s="3147" t="s">
        <v>2153</v>
      </c>
      <c r="U35" s="3147" t="s">
        <v>2146</v>
      </c>
      <c r="V35" s="3147">
        <v>100</v>
      </c>
      <c r="W35" s="3147" t="s">
        <v>2146</v>
      </c>
      <c r="X35" s="278" t="s">
        <v>2146</v>
      </c>
      <c r="Y35" s="3147">
        <v>19</v>
      </c>
      <c r="Z35" s="278" t="s">
        <v>2146</v>
      </c>
      <c r="AA35" s="278" t="s">
        <v>2146</v>
      </c>
      <c r="AB35" s="279" t="s">
        <v>2146</v>
      </c>
    </row>
    <row r="36" spans="2:28" s="84" customFormat="1" ht="18" customHeight="1" thickBot="1" x14ac:dyDescent="0.25">
      <c r="B36" s="1644" t="s">
        <v>822</v>
      </c>
      <c r="C36" s="3307">
        <f>Table3.A!C36</f>
        <v>222.53</v>
      </c>
      <c r="D36" s="3325" t="s">
        <v>2146</v>
      </c>
      <c r="E36" s="3325">
        <v>97.11537488707107</v>
      </c>
      <c r="F36" s="3325">
        <v>2.88462511292893</v>
      </c>
      <c r="G36" s="3307" t="s">
        <v>2147</v>
      </c>
      <c r="H36" s="3307" t="s">
        <v>2147</v>
      </c>
      <c r="I36" s="3307" t="s">
        <v>2147</v>
      </c>
      <c r="J36" s="3287">
        <f t="shared" si="0"/>
        <v>3.2468513850301717</v>
      </c>
      <c r="K36" s="3277">
        <v>0.72252183871076414</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0.64600000000000002</v>
      </c>
      <c r="D37" s="3325" t="s">
        <v>2146</v>
      </c>
      <c r="E37" s="3325">
        <v>93.085004642196907</v>
      </c>
      <c r="F37" s="3325">
        <v>6.9149953578030896</v>
      </c>
      <c r="G37" s="3307" t="s">
        <v>2147</v>
      </c>
      <c r="H37" s="3307" t="s">
        <v>2147</v>
      </c>
      <c r="I37" s="3307" t="s">
        <v>2147</v>
      </c>
      <c r="J37" s="3287">
        <f t="shared" si="0"/>
        <v>1.1981759907957066</v>
      </c>
      <c r="K37" s="3277">
        <v>7.7402169005402646E-4</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96780.744999999995</v>
      </c>
      <c r="D38" s="3325">
        <v>0.88244159160529001</v>
      </c>
      <c r="E38" s="3325">
        <v>99.117558408394714</v>
      </c>
      <c r="F38" s="3325" t="s">
        <v>2146</v>
      </c>
      <c r="G38" s="3307" t="s">
        <v>2147</v>
      </c>
      <c r="H38" s="3307" t="s">
        <v>2147</v>
      </c>
      <c r="I38" s="3307" t="s">
        <v>2147</v>
      </c>
      <c r="J38" s="3287">
        <f t="shared" si="0"/>
        <v>3.6155062050136508E-2</v>
      </c>
      <c r="K38" s="3277">
        <v>3.4991138407334383</v>
      </c>
      <c r="M38" s="1656"/>
      <c r="N38" s="4487"/>
      <c r="O38" s="1696"/>
      <c r="P38" s="1693" t="s">
        <v>792</v>
      </c>
      <c r="Q38" s="3776">
        <v>0.76268405382133997</v>
      </c>
      <c r="R38" s="277" t="s">
        <v>2146</v>
      </c>
      <c r="S38" s="277" t="s">
        <v>2146</v>
      </c>
      <c r="T38" s="3147" t="s">
        <v>2153</v>
      </c>
      <c r="U38" s="3147" t="s">
        <v>2146</v>
      </c>
      <c r="V38" s="3147">
        <v>2.1316291521464085E-2</v>
      </c>
      <c r="W38" s="3147" t="s">
        <v>2146</v>
      </c>
      <c r="X38" s="278" t="s">
        <v>2146</v>
      </c>
      <c r="Y38" s="3147">
        <v>0.01</v>
      </c>
      <c r="Z38" s="278" t="s">
        <v>2146</v>
      </c>
      <c r="AA38" s="278" t="s">
        <v>2146</v>
      </c>
      <c r="AB38" s="279" t="s">
        <v>2146</v>
      </c>
    </row>
    <row r="39" spans="2:28" s="84" customFormat="1" ht="18" customHeight="1" thickBot="1" x14ac:dyDescent="0.25">
      <c r="B39" s="1644" t="s">
        <v>825</v>
      </c>
      <c r="C39" s="4184">
        <f>SUM(C40:C44)</f>
        <v>142.828</v>
      </c>
      <c r="D39" s="3294"/>
      <c r="E39" s="3294"/>
      <c r="F39" s="3294"/>
      <c r="G39" s="3294"/>
      <c r="H39" s="3294"/>
      <c r="I39" s="3295"/>
      <c r="J39" s="3287">
        <f t="shared" si="0"/>
        <v>0.35732290249517074</v>
      </c>
      <c r="K39" s="3281">
        <f>SUM(K40:K44)</f>
        <v>5.1035715517580252E-2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73</v>
      </c>
      <c r="R40" s="300" t="s">
        <v>2146</v>
      </c>
      <c r="S40" s="300" t="s">
        <v>2146</v>
      </c>
      <c r="T40" s="3773" t="s">
        <v>2153</v>
      </c>
      <c r="U40" s="3773" t="s">
        <v>2153</v>
      </c>
      <c r="V40" s="3773">
        <v>23</v>
      </c>
      <c r="W40" s="3773" t="s">
        <v>2153</v>
      </c>
      <c r="X40" s="301" t="s">
        <v>2146</v>
      </c>
      <c r="Y40" s="301" t="s">
        <v>2146</v>
      </c>
      <c r="Z40" s="3773" t="s">
        <v>2146</v>
      </c>
      <c r="AA40" s="301" t="s">
        <v>2146</v>
      </c>
      <c r="AB40" s="3775">
        <v>23</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66.446670857340294</v>
      </c>
      <c r="R41" s="277" t="s">
        <v>2146</v>
      </c>
      <c r="S41" s="277" t="s">
        <v>2146</v>
      </c>
      <c r="T41" s="3147" t="s">
        <v>2153</v>
      </c>
      <c r="U41" s="3147" t="s">
        <v>2153</v>
      </c>
      <c r="V41" s="3147">
        <v>26.477936516859259</v>
      </c>
      <c r="W41" s="3147" t="s">
        <v>2153</v>
      </c>
      <c r="X41" s="278" t="s">
        <v>2146</v>
      </c>
      <c r="Y41" s="278" t="s">
        <v>2146</v>
      </c>
      <c r="Z41" s="3147">
        <v>5.2166416870214896</v>
      </c>
      <c r="AA41" s="278" t="s">
        <v>2146</v>
      </c>
      <c r="AB41" s="2911">
        <v>22.0626392317489</v>
      </c>
    </row>
    <row r="42" spans="2:28" s="84" customFormat="1" ht="18" customHeight="1" thickBot="1" x14ac:dyDescent="0.25">
      <c r="B42" s="350" t="s">
        <v>828</v>
      </c>
      <c r="C42" s="3307">
        <f>Table3.A!C42</f>
        <v>9.8109999999999999</v>
      </c>
      <c r="D42" s="3325" t="s">
        <v>2146</v>
      </c>
      <c r="E42" s="3325">
        <v>100</v>
      </c>
      <c r="F42" s="3325" t="s">
        <v>2146</v>
      </c>
      <c r="G42" s="3307" t="s">
        <v>2147</v>
      </c>
      <c r="H42" s="3307" t="s">
        <v>2147</v>
      </c>
      <c r="I42" s="3307" t="s">
        <v>2147</v>
      </c>
      <c r="J42" s="3287">
        <f t="shared" si="0"/>
        <v>0.35731837387468801</v>
      </c>
      <c r="K42" s="3277">
        <v>3.5056505660845637E-3</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1.9130434782608694</v>
      </c>
      <c r="W43" s="3773" t="s">
        <v>2153</v>
      </c>
      <c r="X43" s="301" t="s">
        <v>2146</v>
      </c>
      <c r="Y43" s="301" t="s">
        <v>2146</v>
      </c>
      <c r="Z43" s="3773" t="s">
        <v>2146</v>
      </c>
      <c r="AA43" s="301" t="s">
        <v>2146</v>
      </c>
      <c r="AB43" s="3775">
        <v>3.8695652173910002E-2</v>
      </c>
    </row>
    <row r="44" spans="2:28" s="84" customFormat="1" ht="18" customHeight="1" x14ac:dyDescent="0.2">
      <c r="B44" s="2644" t="s">
        <v>2091</v>
      </c>
      <c r="C44" s="4184">
        <f>C45</f>
        <v>133.017</v>
      </c>
      <c r="D44" s="3294"/>
      <c r="E44" s="3294"/>
      <c r="F44" s="3294"/>
      <c r="G44" s="3294"/>
      <c r="H44" s="3294"/>
      <c r="I44" s="3295"/>
      <c r="J44" s="3287">
        <f t="shared" si="0"/>
        <v>0.35732323651484915</v>
      </c>
      <c r="K44" s="3281">
        <f>K45</f>
        <v>4.7530064951495692E-2</v>
      </c>
      <c r="M44" s="4491"/>
      <c r="N44" s="4492"/>
      <c r="O44" s="1696"/>
      <c r="P44" s="1693" t="s">
        <v>792</v>
      </c>
      <c r="Q44" s="3776">
        <v>0.75603517520653996</v>
      </c>
      <c r="R44" s="277" t="s">
        <v>2146</v>
      </c>
      <c r="S44" s="277" t="s">
        <v>2146</v>
      </c>
      <c r="T44" s="3147" t="s">
        <v>2153</v>
      </c>
      <c r="U44" s="3147" t="s">
        <v>2153</v>
      </c>
      <c r="V44" s="3147">
        <v>1.9194661190556073</v>
      </c>
      <c r="W44" s="3147" t="s">
        <v>2153</v>
      </c>
      <c r="X44" s="278" t="s">
        <v>2146</v>
      </c>
      <c r="Y44" s="278" t="s">
        <v>2146</v>
      </c>
      <c r="Z44" s="3147">
        <v>0.1</v>
      </c>
      <c r="AA44" s="278" t="s">
        <v>2146</v>
      </c>
      <c r="AB44" s="2911">
        <v>3.9403322929019997E-2</v>
      </c>
    </row>
    <row r="45" spans="2:28" s="84" customFormat="1" ht="18" customHeight="1" thickBot="1" x14ac:dyDescent="0.25">
      <c r="B45" s="2648" t="s">
        <v>2199</v>
      </c>
      <c r="C45" s="4186">
        <f>Table3.A!C45</f>
        <v>133.017</v>
      </c>
      <c r="D45" s="3040" t="s">
        <v>2146</v>
      </c>
      <c r="E45" s="3040">
        <v>100</v>
      </c>
      <c r="F45" s="3040" t="s">
        <v>2146</v>
      </c>
      <c r="G45" s="3040" t="s">
        <v>2147</v>
      </c>
      <c r="H45" s="3040" t="s">
        <v>2147</v>
      </c>
      <c r="I45" s="3308" t="s">
        <v>2147</v>
      </c>
      <c r="J45" s="3309">
        <f t="shared" si="0"/>
        <v>0.35732323651484915</v>
      </c>
      <c r="K45" s="3278">
        <v>4.7530064951495692E-2</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45.496044348495971</v>
      </c>
      <c r="U46" s="3773" t="s">
        <v>2146</v>
      </c>
      <c r="V46" s="3773" t="s">
        <v>2146</v>
      </c>
      <c r="W46" s="3773" t="s">
        <v>2153</v>
      </c>
      <c r="X46" s="3773">
        <v>2.5607981364210701</v>
      </c>
      <c r="Y46" s="3773">
        <v>18.376922335232202</v>
      </c>
      <c r="Z46" s="3773">
        <v>0.32614634516299001</v>
      </c>
      <c r="AA46" s="301" t="s">
        <v>2146</v>
      </c>
      <c r="AB46" s="3775">
        <v>97.439201863578901</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43.416426312508307</v>
      </c>
      <c r="U47" s="3147" t="s">
        <v>2146</v>
      </c>
      <c r="V47" s="3147" t="s">
        <v>2146</v>
      </c>
      <c r="W47" s="3147" t="s">
        <v>2153</v>
      </c>
      <c r="X47" s="3147">
        <v>2.6825445297241401</v>
      </c>
      <c r="Y47" s="3147">
        <v>18.768071896748399</v>
      </c>
      <c r="Z47" s="3147">
        <v>0.23573884805219</v>
      </c>
      <c r="AA47" s="278" t="s">
        <v>2146</v>
      </c>
      <c r="AB47" s="2911">
        <v>97.317455470275803</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1.9999999999999997E-2</v>
      </c>
      <c r="U50" s="3147" t="s">
        <v>2146</v>
      </c>
      <c r="V50" s="3147" t="s">
        <v>2146</v>
      </c>
      <c r="W50" s="3147" t="s">
        <v>2153</v>
      </c>
      <c r="X50" s="3147">
        <v>1.37520287095E-2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27843.383000000002</v>
      </c>
      <c r="D10" s="3490"/>
      <c r="E10" s="3491"/>
      <c r="F10" s="3478">
        <f>F15</f>
        <v>31167641.19109299</v>
      </c>
      <c r="G10" s="3478" t="str">
        <f t="shared" ref="G10:R10" si="0">G15</f>
        <v>NO</v>
      </c>
      <c r="H10" s="3478">
        <f t="shared" si="0"/>
        <v>6950552.5909699798</v>
      </c>
      <c r="I10" s="3478">
        <f t="shared" si="0"/>
        <v>7970882.9569772827</v>
      </c>
      <c r="J10" s="3478" t="str">
        <f t="shared" si="0"/>
        <v>NO</v>
      </c>
      <c r="K10" s="3478">
        <f t="shared" si="0"/>
        <v>88393980.702135071</v>
      </c>
      <c r="L10" s="3478">
        <f t="shared" si="0"/>
        <v>10512102.564412054</v>
      </c>
      <c r="M10" s="3478">
        <f t="shared" si="0"/>
        <v>1133986117.391206</v>
      </c>
      <c r="N10" s="3478">
        <f t="shared" si="0"/>
        <v>10512102.564412054</v>
      </c>
      <c r="O10" s="3478" t="str">
        <f t="shared" si="0"/>
        <v>NO</v>
      </c>
      <c r="P10" s="3478" t="str">
        <f t="shared" si="0"/>
        <v>NO</v>
      </c>
      <c r="Q10" s="3478" t="str">
        <f t="shared" si="0"/>
        <v>NO</v>
      </c>
      <c r="R10" s="3478">
        <f t="shared" si="0"/>
        <v>1289493379.9612055</v>
      </c>
      <c r="S10" s="2651"/>
      <c r="T10" s="2652"/>
      <c r="U10" s="3456">
        <f>IF(SUM(X10)=0,"NA",X10*1000/C10)</f>
        <v>3.4784381491340437E-2</v>
      </c>
      <c r="V10" s="3448"/>
      <c r="W10" s="3449"/>
      <c r="X10" s="3311">
        <f t="shared" ref="X10" si="1">X15</f>
        <v>0.96851485628150291</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27843.383000000002</v>
      </c>
      <c r="D15" s="3493"/>
      <c r="E15" s="3493"/>
      <c r="F15" s="2649">
        <f>F20</f>
        <v>31167641.19109299</v>
      </c>
      <c r="G15" s="2649" t="str">
        <f t="shared" ref="G15:R15" si="2">G20</f>
        <v>NO</v>
      </c>
      <c r="H15" s="2649">
        <f t="shared" si="2"/>
        <v>6950552.5909699798</v>
      </c>
      <c r="I15" s="2649">
        <f t="shared" si="2"/>
        <v>7970882.9569772827</v>
      </c>
      <c r="J15" s="2649" t="str">
        <f t="shared" si="2"/>
        <v>NO</v>
      </c>
      <c r="K15" s="2649">
        <f t="shared" si="2"/>
        <v>88393980.702135071</v>
      </c>
      <c r="L15" s="2649">
        <f t="shared" si="2"/>
        <v>10512102.564412054</v>
      </c>
      <c r="M15" s="2649">
        <f t="shared" si="2"/>
        <v>1133986117.391206</v>
      </c>
      <c r="N15" s="2649">
        <f t="shared" si="2"/>
        <v>10512102.564412054</v>
      </c>
      <c r="O15" s="2649" t="str">
        <f t="shared" si="2"/>
        <v>NO</v>
      </c>
      <c r="P15" s="2649" t="str">
        <f t="shared" si="2"/>
        <v>NO</v>
      </c>
      <c r="Q15" s="2649" t="str">
        <f t="shared" si="2"/>
        <v>NO</v>
      </c>
      <c r="R15" s="2649">
        <f t="shared" si="2"/>
        <v>1289493379.9612055</v>
      </c>
      <c r="S15" s="2657"/>
      <c r="T15" s="2658"/>
      <c r="U15" s="3456">
        <f>IF(SUM(X15)=0,"NA",X15*1000/C15)</f>
        <v>3.4784381491340437E-2</v>
      </c>
      <c r="V15" s="3454"/>
      <c r="W15" s="3455"/>
      <c r="X15" s="3314">
        <f t="shared" ref="X15" si="3">X20</f>
        <v>0.96851485628150291</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27843.383000000002</v>
      </c>
      <c r="D20" s="3492"/>
      <c r="E20" s="3492"/>
      <c r="F20" s="2649">
        <f>IF(SUM(F21:F23)=0,"NO",SUM(F21:F23))</f>
        <v>31167641.19109299</v>
      </c>
      <c r="G20" s="2649" t="str">
        <f t="shared" ref="G20:Q20" si="6">IF(SUM(G21:G23)=0,"NO",SUM(G21:G23))</f>
        <v>NO</v>
      </c>
      <c r="H20" s="2649">
        <f t="shared" si="6"/>
        <v>6950552.5909699798</v>
      </c>
      <c r="I20" s="2649">
        <f t="shared" si="6"/>
        <v>7970882.9569772827</v>
      </c>
      <c r="J20" s="2649" t="str">
        <f t="shared" si="6"/>
        <v>NO</v>
      </c>
      <c r="K20" s="2649">
        <f t="shared" si="6"/>
        <v>88393980.702135071</v>
      </c>
      <c r="L20" s="2649">
        <f t="shared" si="6"/>
        <v>10512102.564412054</v>
      </c>
      <c r="M20" s="2649">
        <f t="shared" si="6"/>
        <v>1133986117.391206</v>
      </c>
      <c r="N20" s="2649">
        <f t="shared" si="6"/>
        <v>10512102.564412054</v>
      </c>
      <c r="O20" s="2649" t="str">
        <f t="shared" si="6"/>
        <v>NO</v>
      </c>
      <c r="P20" s="2649" t="str">
        <f t="shared" si="6"/>
        <v>NO</v>
      </c>
      <c r="Q20" s="2649" t="str">
        <f t="shared" si="6"/>
        <v>NO</v>
      </c>
      <c r="R20" s="3482">
        <f>IF(SUM(F20:Q20)=0,"NO",SUM(F20:Q20))</f>
        <v>1289493379.9612055</v>
      </c>
      <c r="S20" s="2657"/>
      <c r="T20" s="2658"/>
      <c r="U20" s="3456">
        <f t="shared" si="4"/>
        <v>3.4784381491340437E-2</v>
      </c>
      <c r="V20" s="3454"/>
      <c r="W20" s="3455"/>
      <c r="X20" s="3314">
        <f t="shared" ref="X20" si="7">IF(SUM(X21:X23)=0,"NO",SUM(X21:X23))</f>
        <v>0.96851485628150291</v>
      </c>
      <c r="Y20" s="3173"/>
      <c r="Z20" s="3457"/>
    </row>
    <row r="21" spans="2:26" ht="18" customHeight="1" x14ac:dyDescent="0.2">
      <c r="B21" s="2647" t="s">
        <v>2196</v>
      </c>
      <c r="C21" s="3495">
        <f>Table3.A!C21</f>
        <v>2703.8820000000001</v>
      </c>
      <c r="D21" s="3307">
        <v>125.8551171813704</v>
      </c>
      <c r="E21" s="3494">
        <f>'Table3.B(a)'!G21</f>
        <v>449.92543095071699</v>
      </c>
      <c r="F21" s="3479">
        <v>29845438.0566811</v>
      </c>
      <c r="G21" s="3479" t="s">
        <v>2146</v>
      </c>
      <c r="H21" s="3479">
        <v>6950552.5909699798</v>
      </c>
      <c r="I21" s="3479">
        <v>7970882.9569772827</v>
      </c>
      <c r="J21" s="3479" t="s">
        <v>2146</v>
      </c>
      <c r="K21" s="3479" t="s">
        <v>2153</v>
      </c>
      <c r="L21" s="3479" t="s">
        <v>2146</v>
      </c>
      <c r="M21" s="3479">
        <v>295530468.123896</v>
      </c>
      <c r="N21" s="3479" t="s">
        <v>2146</v>
      </c>
      <c r="O21" s="3479" t="s">
        <v>2146</v>
      </c>
      <c r="P21" s="3479" t="s">
        <v>2146</v>
      </c>
      <c r="Q21" s="3479" t="s">
        <v>2146</v>
      </c>
      <c r="R21" s="3482">
        <f t="shared" ref="R21:R45" si="8">IF(SUM(F21:Q21)=0,"NO",SUM(F21:Q21))</f>
        <v>340297341.72852439</v>
      </c>
      <c r="S21" s="2657"/>
      <c r="T21" s="2658"/>
      <c r="U21" s="3456">
        <f t="shared" si="4"/>
        <v>2.3162388776779376E-2</v>
      </c>
      <c r="V21" s="3454"/>
      <c r="W21" s="3455"/>
      <c r="X21" s="3315">
        <v>6.2628366090535778E-2</v>
      </c>
      <c r="Y21" s="3173"/>
      <c r="Z21" s="3457"/>
    </row>
    <row r="22" spans="2:26" ht="18" customHeight="1" x14ac:dyDescent="0.2">
      <c r="B22" s="2647" t="s">
        <v>2197</v>
      </c>
      <c r="C22" s="3495">
        <f>Table3.A!C22</f>
        <v>24108.175999999999</v>
      </c>
      <c r="D22" s="3307">
        <v>34.778892481659746</v>
      </c>
      <c r="E22" s="3494">
        <f>'Table3.B(a)'!G22</f>
        <v>359.30378325903899</v>
      </c>
      <c r="F22" s="3483" t="s">
        <v>2146</v>
      </c>
      <c r="G22" s="3479" t="s">
        <v>2146</v>
      </c>
      <c r="H22" s="3483" t="s">
        <v>2146</v>
      </c>
      <c r="I22" s="3483" t="s">
        <v>2146</v>
      </c>
      <c r="J22" s="3483" t="s">
        <v>2146</v>
      </c>
      <c r="K22" s="3483" t="s">
        <v>2146</v>
      </c>
      <c r="L22" s="3483" t="s">
        <v>2146</v>
      </c>
      <c r="M22" s="3483">
        <v>838455649.26731002</v>
      </c>
      <c r="N22" s="3483" t="s">
        <v>2146</v>
      </c>
      <c r="O22" s="3483" t="s">
        <v>2146</v>
      </c>
      <c r="P22" s="3483" t="s">
        <v>2146</v>
      </c>
      <c r="Q22" s="3483" t="s">
        <v>2146</v>
      </c>
      <c r="R22" s="3482">
        <f t="shared" si="8"/>
        <v>838455649.26731002</v>
      </c>
      <c r="S22" s="2657"/>
      <c r="T22" s="2658"/>
      <c r="U22" s="3456" t="str">
        <f>IF(SUM(X22)=0,"NA",X22*1000/C22)</f>
        <v>NA</v>
      </c>
      <c r="V22" s="3454"/>
      <c r="W22" s="3455"/>
      <c r="X22" s="3315" t="s">
        <v>2147</v>
      </c>
      <c r="Y22" s="3173"/>
      <c r="Z22" s="3457"/>
    </row>
    <row r="23" spans="2:26" ht="18" customHeight="1" x14ac:dyDescent="0.2">
      <c r="B23" s="2647" t="s">
        <v>2198</v>
      </c>
      <c r="C23" s="3495">
        <f>Table3.A!C23</f>
        <v>1031.325</v>
      </c>
      <c r="D23" s="3307">
        <v>71.224643868591343</v>
      </c>
      <c r="E23" s="3494">
        <f>'Table3.B(a)'!G23</f>
        <v>527.96992481202994</v>
      </c>
      <c r="F23" s="3483">
        <v>1322203.1344118901</v>
      </c>
      <c r="G23" s="3479" t="s">
        <v>2146</v>
      </c>
      <c r="H23" s="3483" t="s">
        <v>2146</v>
      </c>
      <c r="I23" s="3483" t="s">
        <v>2153</v>
      </c>
      <c r="J23" s="3483" t="s">
        <v>2153</v>
      </c>
      <c r="K23" s="3483">
        <v>88393980.702135071</v>
      </c>
      <c r="L23" s="3483">
        <v>10512102.564412054</v>
      </c>
      <c r="M23" s="3483" t="s">
        <v>2146</v>
      </c>
      <c r="N23" s="3483">
        <v>10512102.564412054</v>
      </c>
      <c r="O23" s="3483" t="s">
        <v>2146</v>
      </c>
      <c r="P23" s="3483" t="s">
        <v>2146</v>
      </c>
      <c r="Q23" s="3483" t="s">
        <v>2146</v>
      </c>
      <c r="R23" s="3482">
        <f t="shared" si="8"/>
        <v>110740388.96537107</v>
      </c>
      <c r="S23" s="2657"/>
      <c r="T23" s="2658"/>
      <c r="U23" s="3456">
        <f t="shared" ref="U23:U30" si="9">IF(SUM(X23)=0,"NA",X23*1000/C23)</f>
        <v>0.87837150286375987</v>
      </c>
      <c r="V23" s="3454"/>
      <c r="W23" s="3455"/>
      <c r="X23" s="3315">
        <v>0.90588649019096712</v>
      </c>
      <c r="Y23" s="3173"/>
      <c r="Z23" s="3457"/>
    </row>
    <row r="24" spans="2:26" ht="18" customHeight="1" x14ac:dyDescent="0.2">
      <c r="B24" s="351" t="s">
        <v>811</v>
      </c>
      <c r="C24" s="3314">
        <f>C25</f>
        <v>74082.630999999994</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508130159.68083799</v>
      </c>
      <c r="N24" s="2649" t="str">
        <f t="shared" si="10"/>
        <v>NO</v>
      </c>
      <c r="O24" s="2649" t="str">
        <f t="shared" si="10"/>
        <v>NO</v>
      </c>
      <c r="P24" s="2649" t="str">
        <f t="shared" si="10"/>
        <v>NO</v>
      </c>
      <c r="Q24" s="2649" t="str">
        <f t="shared" si="10"/>
        <v>NO</v>
      </c>
      <c r="R24" s="3482">
        <f t="shared" si="8"/>
        <v>508130159.68083799</v>
      </c>
      <c r="S24" s="2657"/>
      <c r="T24" s="2658"/>
      <c r="U24" s="3456" t="str">
        <f t="shared" si="9"/>
        <v>NA</v>
      </c>
      <c r="V24" s="3454"/>
      <c r="W24" s="3455"/>
      <c r="X24" s="3314" t="str">
        <f t="shared" ref="X24:X25" si="11">X25</f>
        <v>NA</v>
      </c>
      <c r="Y24" s="3173"/>
      <c r="Z24" s="3457"/>
    </row>
    <row r="25" spans="2:26" ht="18" customHeight="1" x14ac:dyDescent="0.2">
      <c r="B25" s="350" t="s">
        <v>812</v>
      </c>
      <c r="C25" s="3314">
        <f>C26</f>
        <v>74082.630999999994</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508130159.68083799</v>
      </c>
      <c r="N25" s="2649" t="str">
        <f t="shared" si="10"/>
        <v>NO</v>
      </c>
      <c r="O25" s="2649" t="str">
        <f t="shared" si="10"/>
        <v>NO</v>
      </c>
      <c r="P25" s="2649" t="str">
        <f t="shared" si="10"/>
        <v>NO</v>
      </c>
      <c r="Q25" s="2649" t="str">
        <f t="shared" si="10"/>
        <v>NO</v>
      </c>
      <c r="R25" s="3482">
        <f t="shared" si="8"/>
        <v>508130159.68083799</v>
      </c>
      <c r="S25" s="2657"/>
      <c r="T25" s="2658"/>
      <c r="U25" s="3456" t="str">
        <f t="shared" si="9"/>
        <v>NA</v>
      </c>
      <c r="V25" s="3454"/>
      <c r="W25" s="3455"/>
      <c r="X25" s="3314" t="str">
        <f t="shared" si="11"/>
        <v>NA</v>
      </c>
      <c r="Y25" s="3173"/>
      <c r="Z25" s="3457"/>
    </row>
    <row r="26" spans="2:26" ht="18" customHeight="1" x14ac:dyDescent="0.2">
      <c r="B26" s="2642" t="s">
        <v>2201</v>
      </c>
      <c r="C26" s="3495">
        <f>Table3.A!C26</f>
        <v>74082.630999999994</v>
      </c>
      <c r="D26" s="3307">
        <v>6.8589648553346851</v>
      </c>
      <c r="E26" s="3494">
        <f>'Table3.B(a)'!G26</f>
        <v>43.9156689602924</v>
      </c>
      <c r="F26" s="3483" t="s">
        <v>2146</v>
      </c>
      <c r="G26" s="3479" t="s">
        <v>2146</v>
      </c>
      <c r="H26" s="3483" t="s">
        <v>2146</v>
      </c>
      <c r="I26" s="3483" t="s">
        <v>2146</v>
      </c>
      <c r="J26" s="3483" t="s">
        <v>2146</v>
      </c>
      <c r="K26" s="3483" t="s">
        <v>2146</v>
      </c>
      <c r="L26" s="3483" t="s">
        <v>2146</v>
      </c>
      <c r="M26" s="3479">
        <v>508130159.68083799</v>
      </c>
      <c r="N26" s="3483" t="s">
        <v>2146</v>
      </c>
      <c r="O26" s="3483" t="s">
        <v>2146</v>
      </c>
      <c r="P26" s="3483" t="s">
        <v>2146</v>
      </c>
      <c r="Q26" s="3483" t="s">
        <v>2146</v>
      </c>
      <c r="R26" s="3482">
        <f t="shared" si="8"/>
        <v>508130159.68083799</v>
      </c>
      <c r="S26" s="2657"/>
      <c r="T26" s="2658"/>
      <c r="U26" s="3456" t="str">
        <f t="shared" si="9"/>
        <v>NA</v>
      </c>
      <c r="V26" s="3454"/>
      <c r="W26" s="3455"/>
      <c r="X26" s="3315" t="s">
        <v>2147</v>
      </c>
      <c r="Y26" s="3173"/>
      <c r="Z26" s="3457"/>
    </row>
    <row r="27" spans="2:26" ht="18" customHeight="1" x14ac:dyDescent="0.2">
      <c r="B27" s="351" t="s">
        <v>814</v>
      </c>
      <c r="C27" s="3314">
        <f>C28</f>
        <v>2563.1480000000001</v>
      </c>
      <c r="D27" s="3492"/>
      <c r="E27" s="3492"/>
      <c r="F27" s="2649">
        <f>F28</f>
        <v>22196992.320340201</v>
      </c>
      <c r="G27" s="2649" t="str">
        <f t="shared" ref="G27:G28" si="12">G28</f>
        <v>NO</v>
      </c>
      <c r="H27" s="2649" t="str">
        <f t="shared" ref="H27:H28" si="13">H28</f>
        <v>NO</v>
      </c>
      <c r="I27" s="2649" t="str">
        <f t="shared" ref="I27:I28" si="14">I28</f>
        <v>IE</v>
      </c>
      <c r="J27" s="2649" t="str">
        <f t="shared" ref="J27:J28" si="15">J28</f>
        <v>IE</v>
      </c>
      <c r="K27" s="2649">
        <f t="shared" ref="K27:K28" si="16">K28</f>
        <v>7789285.5580290174</v>
      </c>
      <c r="L27" s="2649" t="str">
        <f t="shared" ref="L27:L28" si="17">L28</f>
        <v>IE</v>
      </c>
      <c r="M27" s="2649" t="str">
        <f t="shared" ref="M27:M28" si="18">M28</f>
        <v>NO</v>
      </c>
      <c r="N27" s="2649" t="str">
        <f t="shared" ref="N27:N28" si="19">N28</f>
        <v>NO</v>
      </c>
      <c r="O27" s="2649">
        <f t="shared" ref="O27:O28" si="20">O28</f>
        <v>1634906.2035447001</v>
      </c>
      <c r="P27" s="2649" t="str">
        <f t="shared" ref="P27:P28" si="21">P28</f>
        <v>NO</v>
      </c>
      <c r="Q27" s="2649">
        <f t="shared" ref="Q27:Q28" si="22">Q28</f>
        <v>6964954.7075970899</v>
      </c>
      <c r="R27" s="3482">
        <f t="shared" si="8"/>
        <v>38586138.78951101</v>
      </c>
      <c r="S27" s="2657"/>
      <c r="T27" s="2658"/>
      <c r="U27" s="3456">
        <f t="shared" si="9"/>
        <v>7.8732915251802135E-2</v>
      </c>
      <c r="V27" s="3454"/>
      <c r="W27" s="3455"/>
      <c r="X27" s="3314">
        <f t="shared" ref="X27:X28" si="23">X28</f>
        <v>0.20180411426182615</v>
      </c>
      <c r="Y27" s="3173"/>
      <c r="Z27" s="3457"/>
    </row>
    <row r="28" spans="2:26" ht="18" customHeight="1" x14ac:dyDescent="0.2">
      <c r="B28" s="350" t="s">
        <v>815</v>
      </c>
      <c r="C28" s="3314">
        <f>C29</f>
        <v>2563.1480000000001</v>
      </c>
      <c r="D28" s="3492"/>
      <c r="E28" s="3492"/>
      <c r="F28" s="2649">
        <f>F29</f>
        <v>22196992.320340201</v>
      </c>
      <c r="G28" s="2649" t="str">
        <f t="shared" si="12"/>
        <v>NO</v>
      </c>
      <c r="H28" s="2649" t="str">
        <f t="shared" si="13"/>
        <v>NO</v>
      </c>
      <c r="I28" s="2649" t="str">
        <f t="shared" si="14"/>
        <v>IE</v>
      </c>
      <c r="J28" s="2649" t="str">
        <f t="shared" si="15"/>
        <v>IE</v>
      </c>
      <c r="K28" s="2649">
        <f t="shared" si="16"/>
        <v>7789285.5580290174</v>
      </c>
      <c r="L28" s="2649" t="str">
        <f t="shared" si="17"/>
        <v>IE</v>
      </c>
      <c r="M28" s="2649" t="str">
        <f t="shared" si="18"/>
        <v>NO</v>
      </c>
      <c r="N28" s="2649" t="str">
        <f t="shared" si="19"/>
        <v>NO</v>
      </c>
      <c r="O28" s="2649">
        <f t="shared" si="20"/>
        <v>1634906.2035447001</v>
      </c>
      <c r="P28" s="2649" t="str">
        <f t="shared" si="21"/>
        <v>NO</v>
      </c>
      <c r="Q28" s="2649">
        <f t="shared" si="22"/>
        <v>6964954.7075970899</v>
      </c>
      <c r="R28" s="3482">
        <f t="shared" si="8"/>
        <v>38586138.78951101</v>
      </c>
      <c r="S28" s="2657"/>
      <c r="T28" s="2658"/>
      <c r="U28" s="3456">
        <f t="shared" si="9"/>
        <v>7.8732915251802135E-2</v>
      </c>
      <c r="V28" s="3454"/>
      <c r="W28" s="3455"/>
      <c r="X28" s="3314">
        <f t="shared" si="23"/>
        <v>0.20180411426182615</v>
      </c>
      <c r="Y28" s="3173"/>
      <c r="Z28" s="3457"/>
    </row>
    <row r="29" spans="2:26" ht="18" customHeight="1" x14ac:dyDescent="0.2">
      <c r="B29" s="2642" t="s">
        <v>817</v>
      </c>
      <c r="C29" s="3495">
        <f>Table3.A!C29</f>
        <v>2563.1480000000001</v>
      </c>
      <c r="D29" s="3307">
        <v>12.209608064468606</v>
      </c>
      <c r="E29" s="3494">
        <f>'Table3.B(a)'!G29</f>
        <v>57.157241816088899</v>
      </c>
      <c r="F29" s="3479">
        <v>22196992.320340201</v>
      </c>
      <c r="G29" s="3479" t="s">
        <v>2146</v>
      </c>
      <c r="H29" s="3479" t="s">
        <v>2146</v>
      </c>
      <c r="I29" s="3479" t="s">
        <v>2153</v>
      </c>
      <c r="J29" s="3479" t="s">
        <v>2153</v>
      </c>
      <c r="K29" s="3479">
        <v>7789285.5580290174</v>
      </c>
      <c r="L29" s="3479" t="s">
        <v>2153</v>
      </c>
      <c r="M29" s="3479" t="s">
        <v>2146</v>
      </c>
      <c r="N29" s="3479" t="s">
        <v>2146</v>
      </c>
      <c r="O29" s="3479">
        <v>1634906.2035447001</v>
      </c>
      <c r="P29" s="3479" t="s">
        <v>2146</v>
      </c>
      <c r="Q29" s="3479">
        <v>6964954.7075970899</v>
      </c>
      <c r="R29" s="3482">
        <f t="shared" si="8"/>
        <v>38586138.78951101</v>
      </c>
      <c r="S29" s="2657"/>
      <c r="T29" s="2658"/>
      <c r="U29" s="3456">
        <f t="shared" si="9"/>
        <v>7.8732915251802135E-2</v>
      </c>
      <c r="V29" s="3454"/>
      <c r="W29" s="3455"/>
      <c r="X29" s="3315">
        <v>0.20180411426182615</v>
      </c>
      <c r="Y29" s="3173"/>
      <c r="Z29" s="3457"/>
    </row>
    <row r="30" spans="2:26" ht="18" customHeight="1" x14ac:dyDescent="0.2">
      <c r="B30" s="351" t="s">
        <v>861</v>
      </c>
      <c r="C30" s="3314">
        <f>IF(SUM(C32:C39)=0,"NO",SUM(C32:C39))</f>
        <v>97645.106999999989</v>
      </c>
      <c r="D30" s="3492"/>
      <c r="E30" s="3492"/>
      <c r="F30" s="2649" t="str">
        <f>IF(SUM(F32:F39)=0,"NO",SUM(F32:F39))</f>
        <v>NO</v>
      </c>
      <c r="G30" s="2649" t="str">
        <f t="shared" ref="G30:Q30" si="24">IF(SUM(G32:G39)=0,"NO",SUM(G32:G39))</f>
        <v>NO</v>
      </c>
      <c r="H30" s="2649" t="str">
        <f t="shared" si="24"/>
        <v>NO</v>
      </c>
      <c r="I30" s="2649">
        <f t="shared" si="24"/>
        <v>23158440.556289446</v>
      </c>
      <c r="J30" s="2649" t="str">
        <f t="shared" si="24"/>
        <v>NO</v>
      </c>
      <c r="K30" s="2649" t="str">
        <f t="shared" si="24"/>
        <v>NO</v>
      </c>
      <c r="L30" s="2649" t="str">
        <f t="shared" si="24"/>
        <v>NO</v>
      </c>
      <c r="M30" s="2649">
        <f t="shared" si="24"/>
        <v>15458206.374681421</v>
      </c>
      <c r="N30" s="2649">
        <f t="shared" si="24"/>
        <v>10001410.4515907</v>
      </c>
      <c r="O30" s="2649">
        <f t="shared" si="24"/>
        <v>126637.159494408</v>
      </c>
      <c r="P30" s="2649" t="str">
        <f t="shared" si="24"/>
        <v>NO</v>
      </c>
      <c r="Q30" s="2649">
        <f t="shared" si="24"/>
        <v>62231733.752404198</v>
      </c>
      <c r="R30" s="3482">
        <f t="shared" si="8"/>
        <v>110976428.29446018</v>
      </c>
      <c r="S30" s="2657"/>
      <c r="T30" s="2658"/>
      <c r="U30" s="3456">
        <f t="shared" si="9"/>
        <v>4.4745398420181059E-3</v>
      </c>
      <c r="V30" s="3454"/>
      <c r="W30" s="3455"/>
      <c r="X30" s="3314">
        <f t="shared" ref="X30" si="25">IF(SUM(X32:X39)=0,"NO",SUM(X32:X39))</f>
        <v>0.43691692164962098</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5.1520000000000001</v>
      </c>
      <c r="D32" s="3307">
        <v>39.5</v>
      </c>
      <c r="E32" s="3494" t="str">
        <f>'Table3.B(a)'!G32</f>
        <v>NA</v>
      </c>
      <c r="F32" s="3479" t="s">
        <v>2146</v>
      </c>
      <c r="G32" s="3479" t="s">
        <v>2146</v>
      </c>
      <c r="H32" s="3479" t="s">
        <v>2146</v>
      </c>
      <c r="I32" s="3479" t="s">
        <v>2146</v>
      </c>
      <c r="J32" s="3479" t="s">
        <v>2146</v>
      </c>
      <c r="K32" s="3479" t="s">
        <v>2146</v>
      </c>
      <c r="L32" s="3479" t="s">
        <v>2146</v>
      </c>
      <c r="M32" s="3479">
        <v>203520.53326113807</v>
      </c>
      <c r="N32" s="3479" t="s">
        <v>2146</v>
      </c>
      <c r="O32" s="3479" t="s">
        <v>2146</v>
      </c>
      <c r="P32" s="3479" t="s">
        <v>2146</v>
      </c>
      <c r="Q32" s="3479" t="s">
        <v>2146</v>
      </c>
      <c r="R32" s="3482">
        <f t="shared" si="8"/>
        <v>203520.53326113807</v>
      </c>
      <c r="S32" s="2657"/>
      <c r="T32" s="2658"/>
      <c r="U32" s="3456" t="str">
        <f>IF(SUM(X32)=0,"NA",X32*1000/C32)</f>
        <v>NA</v>
      </c>
      <c r="V32" s="3454"/>
      <c r="W32" s="3455"/>
      <c r="X32" s="3315" t="s">
        <v>2147</v>
      </c>
      <c r="Y32" s="3173"/>
      <c r="Z32" s="3457"/>
    </row>
    <row r="33" spans="2:26" ht="18" customHeight="1" x14ac:dyDescent="0.2">
      <c r="B33" s="350" t="s">
        <v>819</v>
      </c>
      <c r="C33" s="3495">
        <f>Table3.A!C33</f>
        <v>2.7589999999999999</v>
      </c>
      <c r="D33" s="3307">
        <v>39.5</v>
      </c>
      <c r="E33" s="3494" t="str">
        <f>'Table3.B(a)'!G33</f>
        <v>NA</v>
      </c>
      <c r="F33" s="3479" t="s">
        <v>2146</v>
      </c>
      <c r="G33" s="3479" t="s">
        <v>2146</v>
      </c>
      <c r="H33" s="3479" t="s">
        <v>2146</v>
      </c>
      <c r="I33" s="3479" t="s">
        <v>2146</v>
      </c>
      <c r="J33" s="3479" t="s">
        <v>2146</v>
      </c>
      <c r="K33" s="3479" t="s">
        <v>2146</v>
      </c>
      <c r="L33" s="3479" t="s">
        <v>2146</v>
      </c>
      <c r="M33" s="3479">
        <v>108972.64962538239</v>
      </c>
      <c r="N33" s="3479" t="s">
        <v>2146</v>
      </c>
      <c r="O33" s="3479" t="s">
        <v>2146</v>
      </c>
      <c r="P33" s="3479" t="s">
        <v>2146</v>
      </c>
      <c r="Q33" s="3479" t="s">
        <v>2146</v>
      </c>
      <c r="R33" s="3482">
        <f t="shared" si="8"/>
        <v>108972.64962538239</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30.123000000000001</v>
      </c>
      <c r="D34" s="3307">
        <v>13.2</v>
      </c>
      <c r="E34" s="3494" t="str">
        <f>'Table3.B(a)'!G34</f>
        <v>NA</v>
      </c>
      <c r="F34" s="3479" t="s">
        <v>2146</v>
      </c>
      <c r="G34" s="3479" t="s">
        <v>2146</v>
      </c>
      <c r="H34" s="3479" t="s">
        <v>2146</v>
      </c>
      <c r="I34" s="3479" t="s">
        <v>2146</v>
      </c>
      <c r="J34" s="3479" t="s">
        <v>2146</v>
      </c>
      <c r="K34" s="3479" t="s">
        <v>2146</v>
      </c>
      <c r="L34" s="3479" t="s">
        <v>2146</v>
      </c>
      <c r="M34" s="3479">
        <v>397617.73268791614</v>
      </c>
      <c r="N34" s="3479" t="s">
        <v>2146</v>
      </c>
      <c r="O34" s="3479" t="s">
        <v>2146</v>
      </c>
      <c r="P34" s="3479" t="s">
        <v>2146</v>
      </c>
      <c r="Q34" s="3479" t="s">
        <v>2146</v>
      </c>
      <c r="R34" s="3482">
        <f t="shared" si="8"/>
        <v>397617.73268791614</v>
      </c>
      <c r="S34" s="2657"/>
      <c r="T34" s="2658"/>
      <c r="U34" s="3456" t="str">
        <f t="shared" si="26"/>
        <v>NA</v>
      </c>
      <c r="V34" s="3454"/>
      <c r="W34" s="3455"/>
      <c r="X34" s="3315" t="s">
        <v>2147</v>
      </c>
      <c r="Y34" s="3173"/>
      <c r="Z34" s="3457"/>
    </row>
    <row r="35" spans="2:26" ht="18" customHeight="1" x14ac:dyDescent="0.2">
      <c r="B35" s="350" t="s">
        <v>821</v>
      </c>
      <c r="C35" s="3495">
        <f>Table3.A!C35</f>
        <v>460.32400000000001</v>
      </c>
      <c r="D35" s="3307">
        <v>7</v>
      </c>
      <c r="E35" s="3494" t="str">
        <f>'Table3.B(a)'!G35</f>
        <v>NA</v>
      </c>
      <c r="F35" s="3479" t="s">
        <v>2146</v>
      </c>
      <c r="G35" s="3479" t="s">
        <v>2146</v>
      </c>
      <c r="H35" s="3479" t="s">
        <v>2146</v>
      </c>
      <c r="I35" s="3479" t="s">
        <v>2146</v>
      </c>
      <c r="J35" s="3479" t="s">
        <v>2146</v>
      </c>
      <c r="K35" s="3479" t="s">
        <v>2146</v>
      </c>
      <c r="L35" s="3479" t="s">
        <v>2146</v>
      </c>
      <c r="M35" s="3479">
        <v>3222265.8649999998</v>
      </c>
      <c r="N35" s="3479" t="s">
        <v>2146</v>
      </c>
      <c r="O35" s="3479" t="s">
        <v>2146</v>
      </c>
      <c r="P35" s="3479" t="s">
        <v>2146</v>
      </c>
      <c r="Q35" s="3479" t="s">
        <v>2146</v>
      </c>
      <c r="R35" s="3482">
        <f t="shared" si="8"/>
        <v>3222265.8649999998</v>
      </c>
      <c r="S35" s="2657"/>
      <c r="T35" s="2658"/>
      <c r="U35" s="3456" t="str">
        <f t="shared" si="26"/>
        <v>NA</v>
      </c>
      <c r="V35" s="3454"/>
      <c r="W35" s="3455"/>
      <c r="X35" s="3315" t="s">
        <v>2147</v>
      </c>
      <c r="Y35" s="3173"/>
      <c r="Z35" s="3457"/>
    </row>
    <row r="36" spans="2:26" ht="18" customHeight="1" x14ac:dyDescent="0.2">
      <c r="B36" s="350" t="s">
        <v>822</v>
      </c>
      <c r="C36" s="3495">
        <f>Table3.A!C36</f>
        <v>222.53</v>
      </c>
      <c r="D36" s="3307">
        <v>39.5</v>
      </c>
      <c r="E36" s="3494" t="str">
        <f>'Table3.B(a)'!G36</f>
        <v>NA</v>
      </c>
      <c r="F36" s="3479" t="s">
        <v>2146</v>
      </c>
      <c r="G36" s="3479" t="s">
        <v>2146</v>
      </c>
      <c r="H36" s="3479" t="s">
        <v>2146</v>
      </c>
      <c r="I36" s="3479" t="s">
        <v>2146</v>
      </c>
      <c r="J36" s="3479" t="s">
        <v>2146</v>
      </c>
      <c r="K36" s="3479" t="s">
        <v>2146</v>
      </c>
      <c r="L36" s="3479" t="s">
        <v>2146</v>
      </c>
      <c r="M36" s="3479">
        <v>8789933.999503253</v>
      </c>
      <c r="N36" s="3479" t="s">
        <v>2146</v>
      </c>
      <c r="O36" s="3479" t="s">
        <v>2146</v>
      </c>
      <c r="P36" s="3479" t="s">
        <v>2146</v>
      </c>
      <c r="Q36" s="3479" t="s">
        <v>2146</v>
      </c>
      <c r="R36" s="3482">
        <f t="shared" si="8"/>
        <v>8789933.999503253</v>
      </c>
      <c r="S36" s="2657"/>
      <c r="T36" s="2658"/>
      <c r="U36" s="3456" t="str">
        <f t="shared" si="26"/>
        <v>NA</v>
      </c>
      <c r="V36" s="3454"/>
      <c r="W36" s="3455"/>
      <c r="X36" s="3315" t="s">
        <v>2147</v>
      </c>
      <c r="Y36" s="3173"/>
      <c r="Z36" s="3457"/>
    </row>
    <row r="37" spans="2:26" ht="18" customHeight="1" x14ac:dyDescent="0.2">
      <c r="B37" s="350" t="s">
        <v>862</v>
      </c>
      <c r="C37" s="3495">
        <f>Table3.A!C37</f>
        <v>0.64600000000000002</v>
      </c>
      <c r="D37" s="3307">
        <v>13.2</v>
      </c>
      <c r="E37" s="3494" t="str">
        <f>'Table3.B(a)'!G37</f>
        <v>NA</v>
      </c>
      <c r="F37" s="3479" t="s">
        <v>2146</v>
      </c>
      <c r="G37" s="3479" t="s">
        <v>2146</v>
      </c>
      <c r="H37" s="3479" t="s">
        <v>2146</v>
      </c>
      <c r="I37" s="3479" t="s">
        <v>2146</v>
      </c>
      <c r="J37" s="3479" t="s">
        <v>2146</v>
      </c>
      <c r="K37" s="3479" t="s">
        <v>2146</v>
      </c>
      <c r="L37" s="3479" t="s">
        <v>2146</v>
      </c>
      <c r="M37" s="3479">
        <v>8532.5615250041683</v>
      </c>
      <c r="N37" s="3479" t="s">
        <v>2146</v>
      </c>
      <c r="O37" s="3479" t="s">
        <v>2146</v>
      </c>
      <c r="P37" s="3479" t="s">
        <v>2146</v>
      </c>
      <c r="Q37" s="3479" t="s">
        <v>2146</v>
      </c>
      <c r="R37" s="3482">
        <f t="shared" si="8"/>
        <v>8532.5615250041683</v>
      </c>
      <c r="S37" s="2657"/>
      <c r="T37" s="2658"/>
      <c r="U37" s="3456" t="str">
        <f t="shared" si="26"/>
        <v>NA</v>
      </c>
      <c r="V37" s="3454"/>
      <c r="W37" s="3455"/>
      <c r="X37" s="3315" t="s">
        <v>2147</v>
      </c>
      <c r="Y37" s="3173"/>
      <c r="Z37" s="3457"/>
    </row>
    <row r="38" spans="2:26" ht="18" customHeight="1" x14ac:dyDescent="0.2">
      <c r="B38" s="350" t="s">
        <v>824</v>
      </c>
      <c r="C38" s="3495">
        <f>Table3.A!C38</f>
        <v>96780.744999999995</v>
      </c>
      <c r="D38" s="3307">
        <v>0.66086802716722004</v>
      </c>
      <c r="E38" s="3494" t="str">
        <f>'Table3.B(a)'!G38</f>
        <v>NA</v>
      </c>
      <c r="F38" s="3479" t="s">
        <v>2146</v>
      </c>
      <c r="G38" s="3479" t="s">
        <v>2146</v>
      </c>
      <c r="H38" s="3479" t="s">
        <v>2146</v>
      </c>
      <c r="I38" s="3479">
        <v>23158440.556289446</v>
      </c>
      <c r="J38" s="3479" t="s">
        <v>2153</v>
      </c>
      <c r="K38" s="3479" t="s">
        <v>2153</v>
      </c>
      <c r="L38" s="3479" t="s">
        <v>2153</v>
      </c>
      <c r="M38" s="3479">
        <v>1727566.04496031</v>
      </c>
      <c r="N38" s="3479">
        <v>10001410.4515907</v>
      </c>
      <c r="O38" s="3479">
        <v>126637.159494408</v>
      </c>
      <c r="P38" s="3479" t="s">
        <v>2146</v>
      </c>
      <c r="Q38" s="3479">
        <v>62231733.752404198</v>
      </c>
      <c r="R38" s="3482">
        <f t="shared" si="8"/>
        <v>97245787.964739054</v>
      </c>
      <c r="S38" s="2657"/>
      <c r="T38" s="2658"/>
      <c r="U38" s="3456">
        <f t="shared" si="26"/>
        <v>4.5145025660798645E-3</v>
      </c>
      <c r="V38" s="3454"/>
      <c r="W38" s="3455"/>
      <c r="X38" s="3315">
        <v>0.43691692164962098</v>
      </c>
      <c r="Y38" s="3173"/>
      <c r="Z38" s="3457"/>
    </row>
    <row r="39" spans="2:26" ht="18" customHeight="1" x14ac:dyDescent="0.2">
      <c r="B39" s="350" t="s">
        <v>825</v>
      </c>
      <c r="C39" s="3314">
        <f>IF(SUM(C40:C44)=0,"NO",SUM(C40:C44))</f>
        <v>142.828</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999796.98811841803</v>
      </c>
      <c r="N39" s="2649" t="str">
        <f t="shared" si="27"/>
        <v>NO</v>
      </c>
      <c r="O39" s="2649" t="str">
        <f t="shared" si="27"/>
        <v>NO</v>
      </c>
      <c r="P39" s="2649" t="str">
        <f t="shared" si="27"/>
        <v>NO</v>
      </c>
      <c r="Q39" s="2649" t="str">
        <f t="shared" si="27"/>
        <v>NO</v>
      </c>
      <c r="R39" s="3482">
        <f t="shared" si="8"/>
        <v>999796.98811841803</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9.8109999999999999</v>
      </c>
      <c r="D42" s="3307">
        <v>7</v>
      </c>
      <c r="E42" s="3494" t="str">
        <f>'Table3.B(a)'!G42</f>
        <v>NA</v>
      </c>
      <c r="F42" s="3479" t="s">
        <v>2146</v>
      </c>
      <c r="G42" s="3479" t="s">
        <v>2146</v>
      </c>
      <c r="H42" s="3479" t="s">
        <v>2146</v>
      </c>
      <c r="I42" s="3479" t="s">
        <v>2146</v>
      </c>
      <c r="J42" s="3479" t="s">
        <v>2146</v>
      </c>
      <c r="K42" s="3479" t="s">
        <v>2146</v>
      </c>
      <c r="L42" s="3479" t="s">
        <v>2146</v>
      </c>
      <c r="M42" s="3479">
        <v>68676.197478991555</v>
      </c>
      <c r="N42" s="3479" t="s">
        <v>2146</v>
      </c>
      <c r="O42" s="3479" t="s">
        <v>2146</v>
      </c>
      <c r="P42" s="3479" t="s">
        <v>2146</v>
      </c>
      <c r="Q42" s="3479" t="s">
        <v>2146</v>
      </c>
      <c r="R42" s="3482">
        <f t="shared" si="8"/>
        <v>68676.197478991555</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133.017</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931120.79063942644</v>
      </c>
      <c r="N44" s="2649" t="str">
        <f t="shared" si="28"/>
        <v>NO</v>
      </c>
      <c r="O44" s="2649" t="str">
        <f t="shared" si="28"/>
        <v>NO</v>
      </c>
      <c r="P44" s="2649" t="str">
        <f t="shared" si="28"/>
        <v>NO</v>
      </c>
      <c r="Q44" s="2649" t="str">
        <f t="shared" si="28"/>
        <v>NO</v>
      </c>
      <c r="R44" s="3482">
        <f t="shared" si="8"/>
        <v>931120.79063942644</v>
      </c>
      <c r="S44" s="2657"/>
      <c r="T44" s="2658"/>
      <c r="U44" s="3456" t="str">
        <f t="shared" si="26"/>
        <v>NA</v>
      </c>
      <c r="V44" s="3454"/>
      <c r="W44" s="3455"/>
      <c r="X44" s="3314" t="str">
        <f>X45</f>
        <v>NA</v>
      </c>
      <c r="Y44" s="3173"/>
      <c r="Z44" s="3457"/>
    </row>
    <row r="45" spans="2:26" ht="18" customHeight="1" x14ac:dyDescent="0.2">
      <c r="B45" s="2646" t="s">
        <v>2199</v>
      </c>
      <c r="C45" s="3495">
        <f>Table3.A!C45</f>
        <v>133.017</v>
      </c>
      <c r="D45" s="3307">
        <v>7</v>
      </c>
      <c r="E45" s="3494" t="str">
        <f>'Table3.B(a)'!G45</f>
        <v>NA</v>
      </c>
      <c r="F45" s="3479" t="s">
        <v>2146</v>
      </c>
      <c r="G45" s="3479" t="s">
        <v>2146</v>
      </c>
      <c r="H45" s="3479" t="s">
        <v>2146</v>
      </c>
      <c r="I45" s="3479" t="s">
        <v>2146</v>
      </c>
      <c r="J45" s="3479" t="s">
        <v>2146</v>
      </c>
      <c r="K45" s="3479" t="s">
        <v>2146</v>
      </c>
      <c r="L45" s="3479" t="s">
        <v>2146</v>
      </c>
      <c r="M45" s="3479">
        <v>931120.79063942644</v>
      </c>
      <c r="N45" s="3479" t="s">
        <v>2146</v>
      </c>
      <c r="O45" s="3479" t="s">
        <v>2146</v>
      </c>
      <c r="P45" s="3479" t="s">
        <v>2146</v>
      </c>
      <c r="Q45" s="3479" t="s">
        <v>2146</v>
      </c>
      <c r="R45" s="3482">
        <f t="shared" si="8"/>
        <v>931120.79063942644</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104918589.85845099</v>
      </c>
      <c r="T46" s="3447">
        <v>358570.58593590697</v>
      </c>
      <c r="U46" s="3466"/>
      <c r="V46" s="3467">
        <f>IF(SUM(S46)=0,"NA",Y46*1000000/S46)</f>
        <v>3.561844807511135E-3</v>
      </c>
      <c r="W46" s="3468">
        <f>IF(SUM(T46)=0,"NA",Z46*1000000/T46)</f>
        <v>1.7285714285714286E-2</v>
      </c>
      <c r="X46" s="3316"/>
      <c r="Y46" s="3320">
        <v>0.37370373449871408</v>
      </c>
      <c r="Z46" s="3321">
        <v>6.1981486997492495E-3</v>
      </c>
    </row>
    <row r="47" spans="2:26" ht="18" customHeight="1" x14ac:dyDescent="0.2">
      <c r="B47" s="358" t="s">
        <v>863</v>
      </c>
      <c r="C47" s="359"/>
      <c r="D47" s="359"/>
      <c r="E47" s="359"/>
      <c r="F47" s="3485">
        <f>IF(SUM(F30,F27,F24,F10)=0,"NO",SUM(F30,F27,F24,F10))</f>
        <v>53364633.511433192</v>
      </c>
      <c r="G47" s="3485" t="str">
        <f t="shared" ref="G47:Q47" si="29">IF(SUM(G30,G27,G24,G10)=0,"NO",SUM(G30,G27,G24,G10))</f>
        <v>NO</v>
      </c>
      <c r="H47" s="3485">
        <f t="shared" si="29"/>
        <v>6950552.5909699798</v>
      </c>
      <c r="I47" s="3485">
        <f t="shared" si="29"/>
        <v>31129323.513266727</v>
      </c>
      <c r="J47" s="3485" t="str">
        <f t="shared" si="29"/>
        <v>NO</v>
      </c>
      <c r="K47" s="3485">
        <f t="shared" si="29"/>
        <v>96183266.260164082</v>
      </c>
      <c r="L47" s="3485">
        <f t="shared" si="29"/>
        <v>10512102.564412054</v>
      </c>
      <c r="M47" s="3409"/>
      <c r="N47" s="3485">
        <f t="shared" si="29"/>
        <v>20513513.016002752</v>
      </c>
      <c r="O47" s="3485">
        <f t="shared" si="29"/>
        <v>1761543.363039108</v>
      </c>
      <c r="P47" s="3409"/>
      <c r="Q47" s="3485">
        <f t="shared" si="29"/>
        <v>69196688.46000129</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3.47947517069832E-2</v>
      </c>
      <c r="J48" s="3486" t="str">
        <f t="shared" si="30"/>
        <v>NA</v>
      </c>
      <c r="K48" s="3486" t="str">
        <f t="shared" si="30"/>
        <v>NA</v>
      </c>
      <c r="L48" s="3486" t="str">
        <f t="shared" si="30"/>
        <v>NA</v>
      </c>
      <c r="M48" s="87"/>
      <c r="N48" s="3486">
        <f t="shared" si="30"/>
        <v>1.5714285714285906E-2</v>
      </c>
      <c r="O48" s="3486" t="str">
        <f t="shared" si="30"/>
        <v>NA</v>
      </c>
      <c r="P48" s="87"/>
      <c r="Q48" s="3486">
        <f t="shared" si="30"/>
        <v>2.9155095380309507E-3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1.0831370824504698</v>
      </c>
      <c r="J49" s="3487" t="s">
        <v>2153</v>
      </c>
      <c r="K49" s="3487" t="s">
        <v>2153</v>
      </c>
      <c r="L49" s="3487" t="s">
        <v>2153</v>
      </c>
      <c r="M49" s="3474"/>
      <c r="N49" s="3488">
        <v>0.32235520453719002</v>
      </c>
      <c r="O49" s="3488" t="s">
        <v>2147</v>
      </c>
      <c r="P49" s="3474"/>
      <c r="Q49" s="3488">
        <v>0.20174360520529</v>
      </c>
      <c r="R49" s="1312"/>
      <c r="S49" s="1313"/>
      <c r="T49" s="1314"/>
      <c r="U49" s="3473">
        <f>X49*1000/SUM(C10,C24,C27,C30)</f>
        <v>7.9513280956478982E-3</v>
      </c>
      <c r="V49" s="3474"/>
      <c r="W49" s="3475"/>
      <c r="X49" s="3319">
        <f>SUM(X10,X24,X27,X30)</f>
        <v>1.6072358921929499</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10.161289605189763</v>
      </c>
    </row>
    <row r="11" spans="1:9" ht="18" customHeight="1" x14ac:dyDescent="0.2">
      <c r="B11" s="439" t="s">
        <v>876</v>
      </c>
      <c r="C11" s="4147">
        <v>0.63947700473188995</v>
      </c>
      <c r="D11" s="243" t="s">
        <v>2146</v>
      </c>
      <c r="E11" s="283" t="s">
        <v>2146</v>
      </c>
      <c r="F11" s="2305">
        <f>IF(SUM(C11)=0,"NA",G11/C11)</f>
        <v>15.89000000000005</v>
      </c>
      <c r="G11" s="3093">
        <v>10.161289605189763</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0.63947700473188995</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34.052797719993308</v>
      </c>
      <c r="H10" s="397" t="s">
        <v>897</v>
      </c>
      <c r="I10" s="398" t="s">
        <v>898</v>
      </c>
      <c r="J10" s="399">
        <v>0.21</v>
      </c>
    </row>
    <row r="11" spans="2:10" ht="24" customHeight="1" x14ac:dyDescent="0.2">
      <c r="B11" s="2431" t="s">
        <v>1949</v>
      </c>
      <c r="C11" s="2432" t="s">
        <v>899</v>
      </c>
      <c r="D11" s="3720">
        <v>1411215.8067018916</v>
      </c>
      <c r="E11" s="3714">
        <f>IF(SUM(D11)=0,"NA",F11*1000/D11/(44/28))</f>
        <v>3.6856346268329342E-3</v>
      </c>
      <c r="F11" s="3425">
        <v>8.1733548963227296</v>
      </c>
      <c r="H11" s="397" t="s">
        <v>900</v>
      </c>
      <c r="I11" s="398" t="s">
        <v>901</v>
      </c>
      <c r="J11" s="399">
        <v>0.24</v>
      </c>
    </row>
    <row r="12" spans="2:10" ht="24" customHeight="1" thickBot="1" x14ac:dyDescent="0.25">
      <c r="B12" s="2431" t="s">
        <v>1950</v>
      </c>
      <c r="C12" s="2433" t="s">
        <v>902</v>
      </c>
      <c r="D12" s="3721">
        <f>IF(SUM(D13:D15)=0,"NO",SUM(D13:D15))</f>
        <v>117157.75027454278</v>
      </c>
      <c r="E12" s="3715">
        <f t="shared" ref="E12:E23" si="0">IF(SUM(D12)=0,"NA",F12*1000/D12/(44/28))</f>
        <v>9.0356900743833873E-3</v>
      </c>
      <c r="F12" s="3426">
        <f>IF(SUM(F13:F15)=0,"NO",SUM(F13:F15))</f>
        <v>1.6635160477457873</v>
      </c>
      <c r="H12" s="407" t="s">
        <v>903</v>
      </c>
      <c r="I12" s="408" t="s">
        <v>2147</v>
      </c>
      <c r="J12" s="2668" t="s">
        <v>2147</v>
      </c>
    </row>
    <row r="13" spans="2:10" ht="24" customHeight="1" x14ac:dyDescent="0.2">
      <c r="B13" s="2431" t="s">
        <v>904</v>
      </c>
      <c r="C13" s="2432" t="s">
        <v>905</v>
      </c>
      <c r="D13" s="3722">
        <v>103705.670565568</v>
      </c>
      <c r="E13" s="3714">
        <f t="shared" si="0"/>
        <v>9.0403195775031909E-3</v>
      </c>
      <c r="F13" s="3425">
        <v>1.4732652061474298</v>
      </c>
      <c r="H13" s="1436" t="s">
        <v>906</v>
      </c>
      <c r="I13" s="1078"/>
      <c r="J13" s="1078"/>
    </row>
    <row r="14" spans="2:10" ht="24" customHeight="1" x14ac:dyDescent="0.2">
      <c r="B14" s="2431" t="s">
        <v>907</v>
      </c>
      <c r="C14" s="2432" t="s">
        <v>908</v>
      </c>
      <c r="D14" s="3722">
        <v>13452.079708974779</v>
      </c>
      <c r="E14" s="3714">
        <f t="shared" si="0"/>
        <v>8.9999999999999993E-3</v>
      </c>
      <c r="F14" s="3425">
        <v>0.19025084159835759</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1657574.4834467256</v>
      </c>
      <c r="E16" s="3714">
        <f t="shared" si="0"/>
        <v>4.0000000000000001E-3</v>
      </c>
      <c r="F16" s="3425">
        <v>10.419039610236561</v>
      </c>
    </row>
    <row r="17" spans="2:11" ht="24" customHeight="1" x14ac:dyDescent="0.2">
      <c r="B17" s="2431" t="s">
        <v>913</v>
      </c>
      <c r="C17" s="2432" t="s">
        <v>914</v>
      </c>
      <c r="D17" s="3722">
        <v>859678.75954271632</v>
      </c>
      <c r="E17" s="3714">
        <f t="shared" si="0"/>
        <v>9.9999999999999985E-3</v>
      </c>
      <c r="F17" s="3425">
        <v>13.509237649956969</v>
      </c>
    </row>
    <row r="18" spans="2:11" ht="24" customHeight="1" x14ac:dyDescent="0.2">
      <c r="B18" s="2431" t="s">
        <v>1951</v>
      </c>
      <c r="C18" s="2432" t="s">
        <v>915</v>
      </c>
      <c r="D18" s="3722">
        <v>63524.845914491299</v>
      </c>
      <c r="E18" s="3716">
        <f t="shared" si="0"/>
        <v>2.0000000000000013E-3</v>
      </c>
      <c r="F18" s="3427">
        <v>0.19964951573125847</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10.803255125825189</v>
      </c>
    </row>
    <row r="22" spans="2:11" ht="24" customHeight="1" x14ac:dyDescent="0.2">
      <c r="B22" s="2438" t="s">
        <v>1953</v>
      </c>
      <c r="C22" s="2432" t="s">
        <v>919</v>
      </c>
      <c r="D22" s="3722">
        <v>527792.987021585</v>
      </c>
      <c r="E22" s="3714">
        <f t="shared" si="0"/>
        <v>2.8323562489865608E-3</v>
      </c>
      <c r="F22" s="3425">
        <v>2.3491250592257944</v>
      </c>
    </row>
    <row r="23" spans="2:11" ht="24" customHeight="1" thickBot="1" x14ac:dyDescent="0.25">
      <c r="B23" s="410" t="s">
        <v>920</v>
      </c>
      <c r="C23" s="411" t="s">
        <v>921</v>
      </c>
      <c r="D23" s="3725">
        <v>490365.96683334204</v>
      </c>
      <c r="E23" s="3719">
        <f t="shared" si="0"/>
        <v>1.0971195628061965E-2</v>
      </c>
      <c r="F23" s="3430">
        <v>8.4541300665993937</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21333885.270912401</v>
      </c>
      <c r="N9" s="4179">
        <v>9438982.0018096101</v>
      </c>
      <c r="O9" s="4179">
        <v>398551.41694621602</v>
      </c>
      <c r="P9" s="4180">
        <v>1297203.4013791</v>
      </c>
      <c r="Q9" s="4180">
        <v>1160123.38495525</v>
      </c>
      <c r="R9" s="4180">
        <v>25775.717357375499</v>
      </c>
      <c r="S9" s="4180">
        <v>666401.30915495602</v>
      </c>
      <c r="T9" s="4180">
        <v>89653.225867604095</v>
      </c>
      <c r="U9" s="4180">
        <v>4530540.7482558172</v>
      </c>
      <c r="V9" s="4180">
        <v>34362729.697093464</v>
      </c>
      <c r="W9" s="4180">
        <v>15932.871663693219</v>
      </c>
      <c r="X9" s="4181">
        <v>3953616.0735714277</v>
      </c>
    </row>
    <row r="10" spans="2:24" ht="18" customHeight="1" thickTop="1" x14ac:dyDescent="0.2">
      <c r="B10" s="437" t="s">
        <v>947</v>
      </c>
      <c r="C10" s="376"/>
      <c r="D10" s="438"/>
      <c r="E10" s="438"/>
      <c r="F10" s="4149">
        <f>IF(SUM(F11:F14)=0,"NO",SUM(F11:F14))</f>
        <v>3183.6233149285454</v>
      </c>
      <c r="G10" s="4150">
        <f>IF(SUM($F10)=0,"NA",I10/$F10*1000)</f>
        <v>1.8838917782551117</v>
      </c>
      <c r="H10" s="4151">
        <f>IF(SUM($F10)=0,"NA",J10/$F10*1000)</f>
        <v>7.644476490566815E-2</v>
      </c>
      <c r="I10" s="3192">
        <f>IF(SUM(I11:I14)=0,"NO",SUM(I11:I14))</f>
        <v>5.9976017880551709</v>
      </c>
      <c r="J10" s="420">
        <f>IF(SUM(J11:J14)=0,"NO",SUM(J11:J14))</f>
        <v>0.24337133585791657</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1796.0362454675901</v>
      </c>
      <c r="G11" s="4153">
        <f>IF(SUM($F11)=0,"NA",I11/$F11*1000)</f>
        <v>1.8666666666666687</v>
      </c>
      <c r="H11" s="4154">
        <f>IF(SUM($F11)=0,"NA",J11/$F11*1000)</f>
        <v>7.1657142857142919E-2</v>
      </c>
      <c r="I11" s="3326">
        <v>3.352600991539505</v>
      </c>
      <c r="J11" s="3327">
        <v>0.12869882581807773</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634.21851974469496</v>
      </c>
      <c r="G12" s="4155">
        <f t="shared" ref="G12:G28" si="0">IF(SUM($F12)=0,"NA",I12/$F12*1000)</f>
        <v>1.8666666666666685</v>
      </c>
      <c r="H12" s="4154">
        <f t="shared" ref="H12:H28" si="1">IF(SUM($F12)=0,"NA",J12/$F12*1000)</f>
        <v>8.3600000000000049E-2</v>
      </c>
      <c r="I12" s="3180">
        <v>1.1838745701900983</v>
      </c>
      <c r="J12" s="3327">
        <v>5.302066825065653E-2</v>
      </c>
      <c r="L12" s="1324" t="s">
        <v>952</v>
      </c>
      <c r="M12" s="4177">
        <v>0.13287092947199999</v>
      </c>
      <c r="N12" s="4177">
        <v>0.12828272213264999</v>
      </c>
      <c r="O12" s="4177">
        <v>0.15614842652125999</v>
      </c>
      <c r="P12" s="4178">
        <v>9.1502050208099997E-2</v>
      </c>
      <c r="Q12" s="4178">
        <v>0.12278179091116</v>
      </c>
      <c r="R12" s="4178">
        <v>0.10831240443677</v>
      </c>
      <c r="S12" s="4178">
        <v>0.81499999999999995</v>
      </c>
      <c r="T12" s="4178">
        <v>0.18109110694373001</v>
      </c>
      <c r="U12" s="4178">
        <v>0.13739824970711123</v>
      </c>
      <c r="V12" s="4178">
        <v>0.31896072295343258</v>
      </c>
      <c r="W12" s="4178">
        <v>7.1220128405422911E-2</v>
      </c>
      <c r="X12" s="4152">
        <v>0.13750100452610345</v>
      </c>
    </row>
    <row r="13" spans="2:24" ht="18" customHeight="1" thickBot="1" x14ac:dyDescent="0.25">
      <c r="B13" s="439" t="s">
        <v>953</v>
      </c>
      <c r="C13" s="440" t="s">
        <v>2147</v>
      </c>
      <c r="D13" s="440" t="s">
        <v>2147</v>
      </c>
      <c r="E13" s="440" t="s">
        <v>2147</v>
      </c>
      <c r="F13" s="4152">
        <v>41.133640434599201</v>
      </c>
      <c r="G13" s="4155">
        <f t="shared" si="0"/>
        <v>1.9599999999999995</v>
      </c>
      <c r="H13" s="4154">
        <f t="shared" si="1"/>
        <v>5.9714285714285699E-2</v>
      </c>
      <c r="I13" s="3180">
        <v>8.0621935251814408E-2</v>
      </c>
      <c r="J13" s="3327">
        <v>2.4562659573803517E-3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712.23490928166109</v>
      </c>
      <c r="G14" s="4157">
        <f t="shared" si="0"/>
        <v>1.938271029801232</v>
      </c>
      <c r="H14" s="4158">
        <f t="shared" si="1"/>
        <v>8.3112432514021006E-2</v>
      </c>
      <c r="I14" s="3199">
        <f>IF(SUM(I15:I19)=0,"NO",SUM(I15:I19))</f>
        <v>1.3805042910737524</v>
      </c>
      <c r="J14" s="3085">
        <f>IF(SUM(J15:J19)=0,"NO",SUM(J15:J19))</f>
        <v>5.9195575831801933E-2</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68.369339959551994</v>
      </c>
      <c r="G15" s="4159">
        <f t="shared" si="0"/>
        <v>1.866666666666666</v>
      </c>
      <c r="H15" s="4160">
        <f t="shared" si="1"/>
        <v>9.554285714285711E-2</v>
      </c>
      <c r="I15" s="3328">
        <v>0.127622767924497</v>
      </c>
      <c r="J15" s="3327">
        <v>6.5322020807069081E-3</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85.437867260468593</v>
      </c>
      <c r="G16" s="4161">
        <f t="shared" si="0"/>
        <v>1.8666666666666676</v>
      </c>
      <c r="H16" s="4162">
        <f t="shared" si="1"/>
        <v>7.1657142857142878E-2</v>
      </c>
      <c r="I16" s="3329">
        <v>0.15948401888620811</v>
      </c>
      <c r="J16" s="3327">
        <v>6.122233459693008E-3</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1.72173268087079</v>
      </c>
      <c r="G17" s="4161">
        <f t="shared" si="0"/>
        <v>1.8666666666666694</v>
      </c>
      <c r="H17" s="4162">
        <f t="shared" si="1"/>
        <v>7.1657142857142975E-2</v>
      </c>
      <c r="I17" s="3329">
        <v>3.213901004292146E-3</v>
      </c>
      <c r="J17" s="3327">
        <v>1.2337444467496996E-4</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546.41921872841397</v>
      </c>
      <c r="G18" s="4161">
        <f t="shared" si="0"/>
        <v>1.9599999999999991</v>
      </c>
      <c r="H18" s="4162">
        <f t="shared" si="1"/>
        <v>8.3599999999999952E-2</v>
      </c>
      <c r="I18" s="3329">
        <v>1.070981668707691</v>
      </c>
      <c r="J18" s="3327">
        <v>4.5680646685695388E-2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10.286750652355799</v>
      </c>
      <c r="G19" s="4161">
        <f t="shared" si="0"/>
        <v>1.8666666666666587</v>
      </c>
      <c r="H19" s="4162">
        <f t="shared" si="1"/>
        <v>7.1657142857142545E-2</v>
      </c>
      <c r="I19" s="3329">
        <v>1.9201934551064077E-2</v>
      </c>
      <c r="J19" s="3327">
        <v>7.3711916103166375E-4</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356.13306578655101</v>
      </c>
      <c r="G20" s="4165">
        <f t="shared" si="0"/>
        <v>1.8666666666666645</v>
      </c>
      <c r="H20" s="4166">
        <f t="shared" si="1"/>
        <v>0.10748571428571417</v>
      </c>
      <c r="I20" s="3220">
        <f>I21</f>
        <v>0.66478172280156111</v>
      </c>
      <c r="J20" s="449">
        <f>J21</f>
        <v>3.827921695682867E-2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356.13306578655101</v>
      </c>
      <c r="G21" s="4168">
        <f t="shared" si="0"/>
        <v>1.8666666666666645</v>
      </c>
      <c r="H21" s="4158">
        <f t="shared" si="1"/>
        <v>0.10748571428571417</v>
      </c>
      <c r="I21" s="3199">
        <f>I22</f>
        <v>0.66478172280156111</v>
      </c>
      <c r="J21" s="3085">
        <f>J22</f>
        <v>3.827921695682867E-2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356.13306578655101</v>
      </c>
      <c r="G22" s="4170">
        <f t="shared" si="0"/>
        <v>1.8666666666666645</v>
      </c>
      <c r="H22" s="4171">
        <f t="shared" si="1"/>
        <v>0.10748571428571417</v>
      </c>
      <c r="I22" s="3330">
        <v>0.66478172280156111</v>
      </c>
      <c r="J22" s="3331">
        <v>3.827921695682867E-2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526.09733312823903</v>
      </c>
      <c r="G26" s="4175">
        <f t="shared" si="0"/>
        <v>1.8666666666666676</v>
      </c>
      <c r="H26" s="4176">
        <f t="shared" si="1"/>
        <v>5.9714285714285747E-2</v>
      </c>
      <c r="I26" s="3332">
        <v>0.98204835517271327</v>
      </c>
      <c r="J26" s="3333">
        <v>3.1415526463943431E-2</v>
      </c>
      <c r="L26" s="159"/>
    </row>
    <row r="27" spans="2:24" ht="18" customHeight="1" x14ac:dyDescent="0.2">
      <c r="B27" s="446" t="s">
        <v>963</v>
      </c>
      <c r="C27" s="447"/>
      <c r="D27" s="448"/>
      <c r="E27" s="448"/>
      <c r="F27" s="4164">
        <f>IF(SUM(F28:F29)=0,"NO",SUM(F28:F29))</f>
        <v>521.51236699676247</v>
      </c>
      <c r="G27" s="4165">
        <f t="shared" si="0"/>
        <v>1.8667501085268623</v>
      </c>
      <c r="H27" s="4166">
        <f t="shared" si="1"/>
        <v>0.1075604543519182</v>
      </c>
      <c r="I27" s="3220">
        <f>IF(SUM(I28:I29)=0,"NO",SUM(I28:I29))</f>
        <v>0.97353326768930715</v>
      </c>
      <c r="J27" s="449">
        <f>IF(SUM(J28:J29)=0,"NO",SUM(J28:J29))</f>
        <v>5.6094107144316077E-2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0.46624245018555999</v>
      </c>
      <c r="G28" s="4161">
        <f t="shared" si="0"/>
        <v>1.9600000000000017</v>
      </c>
      <c r="H28" s="4162">
        <f t="shared" si="1"/>
        <v>0.19108571428571447</v>
      </c>
      <c r="I28" s="3329">
        <v>9.1383520236369828E-4</v>
      </c>
      <c r="J28" s="3327">
        <v>8.9092271624029374E-5</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521.04612454657695</v>
      </c>
      <c r="G29" s="4161">
        <f t="shared" ref="G29" si="2">IF(SUM($F29)=0,"NA",I29/$F29*1000)</f>
        <v>1.8666666666666665</v>
      </c>
      <c r="H29" s="4162">
        <f t="shared" ref="H29" si="3">IF(SUM($F29)=0,"NA",J29/$F29*1000)</f>
        <v>0.10748571428571424</v>
      </c>
      <c r="I29" s="3329">
        <v>0.97261943248694349</v>
      </c>
      <c r="J29" s="3327">
        <v>5.6005014872692049E-2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1318.3866247265748</v>
      </c>
    </row>
    <row r="11" spans="2:5" s="83" customFormat="1" ht="18" customHeight="1" x14ac:dyDescent="0.2">
      <c r="B11" s="1854" t="s">
        <v>972</v>
      </c>
      <c r="C11" s="4187">
        <v>3194748.5675054402</v>
      </c>
      <c r="D11" s="3594">
        <f>IF(SUM(C11)=0,"NA",E11*1000/(44/12)/C11)</f>
        <v>0.10800000000000008</v>
      </c>
      <c r="E11" s="3431">
        <v>1265.1204327321552</v>
      </c>
    </row>
    <row r="12" spans="2:5" s="83" customFormat="1" ht="18" customHeight="1" x14ac:dyDescent="0.2">
      <c r="B12" s="1854" t="s">
        <v>973</v>
      </c>
      <c r="C12" s="4187">
        <v>117628.69045510401</v>
      </c>
      <c r="D12" s="3594">
        <f t="shared" ref="D12:D16" si="0">IF(SUM(C12)=0,"NA",E12*1000/(44/12)/C12)</f>
        <v>0.12350000000000028</v>
      </c>
      <c r="E12" s="3431">
        <v>53.266191994419714</v>
      </c>
    </row>
    <row r="13" spans="2:5" s="83" customFormat="1" ht="18" customHeight="1" x14ac:dyDescent="0.2">
      <c r="B13" s="846" t="s">
        <v>974</v>
      </c>
      <c r="C13" s="4188">
        <v>1849537.670404</v>
      </c>
      <c r="D13" s="4189">
        <f t="shared" si="0"/>
        <v>0.2</v>
      </c>
      <c r="E13" s="3432">
        <v>1356.3276249629334</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-65525.354313199576</v>
      </c>
      <c r="D10" s="2989">
        <f t="shared" ref="D10:H10" si="0">IF(SUM(D11,D14,D17,D20,D23,D26,D29:D30)=0,"NO",SUM(D11,D14,D17,D20,D23,D26,D29:D30))</f>
        <v>553.10963708031409</v>
      </c>
      <c r="E10" s="2989">
        <f t="shared" si="0"/>
        <v>12.970667459593113</v>
      </c>
      <c r="F10" s="2989">
        <f t="shared" si="0"/>
        <v>716.10322072399185</v>
      </c>
      <c r="G10" s="2989">
        <f t="shared" si="0"/>
        <v>18887.967359157989</v>
      </c>
      <c r="H10" s="2990">
        <f t="shared" si="0"/>
        <v>529.63437579114498</v>
      </c>
      <c r="I10" s="2991">
        <f>IF(SUM(C10:E10)=0,"NO",SUM(C10)+28*SUM(D10)+265*SUM(E10))</f>
        <v>-46601.057598158601</v>
      </c>
    </row>
    <row r="11" spans="2:9" ht="18" customHeight="1" x14ac:dyDescent="0.2">
      <c r="B11" s="473" t="s">
        <v>981</v>
      </c>
      <c r="C11" s="2992">
        <f>IF(SUM(C12:C13)=0,"NO",SUM(C12:C13))</f>
        <v>-92396.129653850308</v>
      </c>
      <c r="D11" s="2992">
        <f t="shared" ref="D11:H11" si="1">IF(SUM(D12:D13)=0,"NO",SUM(D12:D13))</f>
        <v>229.74042865240904</v>
      </c>
      <c r="E11" s="2992">
        <f t="shared" si="1"/>
        <v>4.4896358264906517</v>
      </c>
      <c r="F11" s="2992">
        <f t="shared" si="1"/>
        <v>230.26035840685856</v>
      </c>
      <c r="G11" s="2992">
        <f t="shared" si="1"/>
        <v>6244.1655987666927</v>
      </c>
      <c r="H11" s="2993">
        <f t="shared" si="1"/>
        <v>228.12787981746212</v>
      </c>
      <c r="I11" s="2994">
        <f t="shared" ref="I11:I32" si="2">IF(SUM(C11:E11)=0,"NO",SUM(C11)+28*SUM(D11)+265*SUM(E11))</f>
        <v>-84773.644157562827</v>
      </c>
    </row>
    <row r="12" spans="2:9" ht="18" customHeight="1" x14ac:dyDescent="0.2">
      <c r="B12" s="474" t="s">
        <v>982</v>
      </c>
      <c r="C12" s="2995">
        <f>IF(SUM(Table4.A!U11,'Table4(IV)'!J12)=0,"NO",SUM(Table4.A!U11,'Table4(IV)'!J12))</f>
        <v>-52991.373720576681</v>
      </c>
      <c r="D12" s="2995">
        <f>'Table4(IV)'!K12</f>
        <v>222.83273006149818</v>
      </c>
      <c r="E12" s="2995">
        <f>IF(SUM('Table4(III)'!I12,'Table4(IV)'!L12)=0,"NO",SUM('Table4(III)'!I12,'Table4(IV)'!L12))</f>
        <v>3.6790242484725306</v>
      </c>
      <c r="F12" s="2905">
        <v>226.57535280589883</v>
      </c>
      <c r="G12" s="2905">
        <v>6101.0964961573472</v>
      </c>
      <c r="H12" s="2906">
        <v>211.07230742007636</v>
      </c>
      <c r="I12" s="2996">
        <f t="shared" si="2"/>
        <v>-45777.115853009505</v>
      </c>
    </row>
    <row r="13" spans="2:9" ht="18" customHeight="1" thickBot="1" x14ac:dyDescent="0.25">
      <c r="B13" s="475" t="s">
        <v>983</v>
      </c>
      <c r="C13" s="2997">
        <f>IF(SUM(Table4.A!U16,'Table4(IV)'!J19)=0,"NO",SUM(Table4.A!U16,'Table4(IV)'!J19))</f>
        <v>-39404.75593327362</v>
      </c>
      <c r="D13" s="2997">
        <f>'Table4(IV)'!K19</f>
        <v>6.9076985909108588</v>
      </c>
      <c r="E13" s="2997">
        <f>IF(SUM('Table4(III)'!I13,'Table4(IV)'!L19)=0,"NO",SUM('Table4(III)'!I13,'Table4(IV)'!L19))</f>
        <v>0.81061157801812134</v>
      </c>
      <c r="F13" s="2908">
        <v>3.6850056009597272</v>
      </c>
      <c r="G13" s="2908">
        <v>143.06910260934561</v>
      </c>
      <c r="H13" s="2907">
        <v>17.05557239738576</v>
      </c>
      <c r="I13" s="2998">
        <f t="shared" si="2"/>
        <v>-38996.528304553314</v>
      </c>
    </row>
    <row r="14" spans="2:9" ht="18" customHeight="1" x14ac:dyDescent="0.2">
      <c r="B14" s="473" t="s">
        <v>984</v>
      </c>
      <c r="C14" s="2992">
        <f>IF(SUM(C15:C16)=0,"NO",SUM(C15:C16))</f>
        <v>-2908.4745050085494</v>
      </c>
      <c r="D14" s="2992">
        <f t="shared" ref="D14" si="3">IF(SUM(D15:D16)=0,"NO",SUM(D15:D16))</f>
        <v>0.80982720000000008</v>
      </c>
      <c r="E14" s="2992">
        <f t="shared" ref="E14" si="4">IF(SUM(E15:E16)=0,"NO",SUM(E15:E16))</f>
        <v>7.7234494380934424E-2</v>
      </c>
      <c r="F14" s="2992">
        <f t="shared" ref="F14" si="5">IF(SUM(F15:F16)=0,"NO",SUM(F15:F16))</f>
        <v>0.60978060000000001</v>
      </c>
      <c r="G14" s="2992">
        <f t="shared" ref="G14" si="6">IF(SUM(G15:G16)=0,"NO",SUM(G15:G16))</f>
        <v>23.882404000000001</v>
      </c>
      <c r="H14" s="2993">
        <f t="shared" ref="H14" si="7">IF(SUM(H15:H16)=0,"NO",SUM(H15:H16))</f>
        <v>2.8868839999999998</v>
      </c>
      <c r="I14" s="2999">
        <f t="shared" si="2"/>
        <v>-2865.3322023976016</v>
      </c>
    </row>
    <row r="15" spans="2:9" ht="18" customHeight="1" x14ac:dyDescent="0.2">
      <c r="B15" s="474" t="s">
        <v>985</v>
      </c>
      <c r="C15" s="2995">
        <f>IF(SUM(Table4.B!S11,'Table4(IV)'!J26)=0,"NO",SUM(Table4.B!S11,'Table4(IV)'!J26))</f>
        <v>-4100.6280118169279</v>
      </c>
      <c r="D15" s="2995" t="str">
        <f>'Table4(IV)'!K26</f>
        <v>IE</v>
      </c>
      <c r="E15" s="2995" t="str">
        <f>'Table4(IV)'!L26</f>
        <v>IE</v>
      </c>
      <c r="F15" s="2905" t="s">
        <v>2153</v>
      </c>
      <c r="G15" s="2905" t="s">
        <v>2153</v>
      </c>
      <c r="H15" s="2906" t="s">
        <v>2153</v>
      </c>
      <c r="I15" s="2996">
        <f t="shared" si="2"/>
        <v>-4100.6280118169279</v>
      </c>
    </row>
    <row r="16" spans="2:9" ht="18" customHeight="1" thickBot="1" x14ac:dyDescent="0.25">
      <c r="B16" s="475" t="s">
        <v>986</v>
      </c>
      <c r="C16" s="2997">
        <f>IF(SUM(Table4.B!S13,'Table4(IV)'!J31)=0,"IE",SUM(Table4.B!S13,'Table4(IV)'!J31))</f>
        <v>1192.1535068083788</v>
      </c>
      <c r="D16" s="2997">
        <f>'Table4(IV)'!K31</f>
        <v>0.80982720000000008</v>
      </c>
      <c r="E16" s="2997">
        <f>IF(SUM('Table4(III)'!I21,'Table4(IV)'!L31)=0,"IE",SUM('Table4(III)'!I21,'Table4(IV)'!L31))</f>
        <v>7.7234494380934424E-2</v>
      </c>
      <c r="F16" s="2908">
        <v>0.60978060000000001</v>
      </c>
      <c r="G16" s="2908">
        <v>23.882404000000001</v>
      </c>
      <c r="H16" s="2907">
        <v>2.8868839999999998</v>
      </c>
      <c r="I16" s="2998">
        <f t="shared" si="2"/>
        <v>1235.2958094193264</v>
      </c>
    </row>
    <row r="17" spans="2:9" ht="18" customHeight="1" x14ac:dyDescent="0.2">
      <c r="B17" s="473" t="s">
        <v>987</v>
      </c>
      <c r="C17" s="2992">
        <f>IF(SUM(C18:C19)=0,"NO",SUM(C18:C19))</f>
        <v>32004.618977773825</v>
      </c>
      <c r="D17" s="2992">
        <f t="shared" ref="D17" si="8">IF(SUM(D18:D19)=0,"NO",SUM(D18:D19))</f>
        <v>230.90755958100902</v>
      </c>
      <c r="E17" s="2992">
        <f t="shared" ref="E17" si="9">IF(SUM(E18:E19)=0,"NO",SUM(E18:E19))</f>
        <v>7.8781397149614172</v>
      </c>
      <c r="F17" s="2992">
        <f t="shared" ref="F17" si="10">IF(SUM(F18:F19)=0,"NO",SUM(F18:F19))</f>
        <v>464.29129601540194</v>
      </c>
      <c r="G17" s="2992">
        <f t="shared" ref="G17" si="11">IF(SUM(G18:G19)=0,"NO",SUM(G18:G19))</f>
        <v>12106.531645451229</v>
      </c>
      <c r="H17" s="2993">
        <f t="shared" ref="H17" si="12">IF(SUM(H18:H19)=0,"NO",SUM(H18:H19))</f>
        <v>294.80906444040738</v>
      </c>
      <c r="I17" s="2999">
        <f t="shared" si="2"/>
        <v>40557.737670506853</v>
      </c>
    </row>
    <row r="18" spans="2:9" ht="18" customHeight="1" x14ac:dyDescent="0.2">
      <c r="B18" s="474" t="s">
        <v>988</v>
      </c>
      <c r="C18" s="2995">
        <f>IF(SUM(Table4.C!S11,'Table4(IV)'!J37)=0,"IE",SUM(Table4.C!S11,'Table4(IV)'!J37))</f>
        <v>-10521.210317107618</v>
      </c>
      <c r="D18" s="2995">
        <f>'Table4(IV)'!K37</f>
        <v>187.03287024765967</v>
      </c>
      <c r="E18" s="2995">
        <f>IF(SUM('Table4(III)'!I29,'Table4(IV)'!L37)=0,"NO",SUM('Table4(III)'!I29,'Table4(IV)'!L37))</f>
        <v>6.6739880418090598</v>
      </c>
      <c r="F18" s="2905">
        <v>430.48447118168764</v>
      </c>
      <c r="G18" s="2905">
        <v>10804.435998128323</v>
      </c>
      <c r="H18" s="2906">
        <v>141.58345772865439</v>
      </c>
      <c r="I18" s="2996">
        <f t="shared" si="2"/>
        <v>-3515.6831190937464</v>
      </c>
    </row>
    <row r="19" spans="2:9" ht="18" customHeight="1" thickBot="1" x14ac:dyDescent="0.25">
      <c r="B19" s="475" t="s">
        <v>989</v>
      </c>
      <c r="C19" s="2997">
        <f>IF(SUM(Table4.C!S15,'Table4(IV)'!J42)=0,"IE",SUM(Table4.C!S15,'Table4(IV)'!J42))</f>
        <v>42525.829294881441</v>
      </c>
      <c r="D19" s="2997">
        <f>'Table4(IV)'!K42</f>
        <v>43.874689333349338</v>
      </c>
      <c r="E19" s="2997">
        <f>IF(SUM('Table4(III)'!I30,'Table4(IV)'!L42)=0,"NO",SUM('Table4(III)'!I30,'Table4(IV)'!L42))</f>
        <v>1.2041516731523574</v>
      </c>
      <c r="F19" s="2908">
        <v>33.806824833714316</v>
      </c>
      <c r="G19" s="2908">
        <v>1302.0956473229051</v>
      </c>
      <c r="H19" s="2907">
        <v>153.22560671175302</v>
      </c>
      <c r="I19" s="2998">
        <f t="shared" si="2"/>
        <v>44073.420789600597</v>
      </c>
    </row>
    <row r="20" spans="2:9" ht="18" customHeight="1" x14ac:dyDescent="0.2">
      <c r="B20" s="473" t="s">
        <v>2027</v>
      </c>
      <c r="C20" s="2992">
        <f>IF(SUM(C21:C22)=0,"NO",SUM(C21:C22))</f>
        <v>-689.68753926071963</v>
      </c>
      <c r="D20" s="2992">
        <f t="shared" ref="D20" si="13">IF(SUM(D21:D22)=0,"NO",SUM(D21:D22))</f>
        <v>90.670087246895918</v>
      </c>
      <c r="E20" s="2992">
        <f t="shared" ref="E20" si="14">IF(SUM(E21:E22)=0,"NO",SUM(E21:E22))</f>
        <v>0.2741344942480905</v>
      </c>
      <c r="F20" s="2992">
        <f t="shared" ref="F20" si="15">IF(SUM(F21:F22)=0,"NO",SUM(F21:F22))</f>
        <v>20.202563073159972</v>
      </c>
      <c r="G20" s="2992">
        <f t="shared" ref="G20" si="16">IF(SUM(G21:G22)=0,"NO",SUM(G21:G22))</f>
        <v>484.43563627340126</v>
      </c>
      <c r="H20" s="2993">
        <f t="shared" ref="H20" si="17">IF(SUM(H21:H22)=0,"NO",SUM(H21:H22))</f>
        <v>0.31084619994209917</v>
      </c>
      <c r="I20" s="2999">
        <f t="shared" si="2"/>
        <v>1921.72054462811</v>
      </c>
    </row>
    <row r="21" spans="2:9" ht="18" customHeight="1" x14ac:dyDescent="0.2">
      <c r="B21" s="474" t="s">
        <v>990</v>
      </c>
      <c r="C21" s="2995">
        <f>IF(SUM(Table4.D!S11,'Table4(IV)'!J49)=0,"IE",SUM(Table4.D!S11,'Table4(IV)'!J49))</f>
        <v>-691.59420592738627</v>
      </c>
      <c r="D21" s="2995">
        <f>IF(SUM('Table4(IV)'!K49,'Table4(II)'!J270)=0,"NO",SUM('Table4(IV)'!K49,'Table4(II)'!J270))</f>
        <v>89.900192538720617</v>
      </c>
      <c r="E21" s="2995">
        <f>IF(SUM('Table4(II)'!I270,'Table4(III)'!I38,'Table4(IV)'!L49)=0,"NO",SUM('Table4(II)'!I270,'Table4(III)'!I38,'Table4(IV)'!L49))</f>
        <v>0.2741344942480905</v>
      </c>
      <c r="F21" s="2905">
        <v>20.202563073159972</v>
      </c>
      <c r="G21" s="2905">
        <v>484.43563627340126</v>
      </c>
      <c r="H21" s="2906">
        <v>0.31084619994209917</v>
      </c>
      <c r="I21" s="2996">
        <f t="shared" si="2"/>
        <v>1898.2568261325353</v>
      </c>
    </row>
    <row r="22" spans="2:9" ht="18" customHeight="1" thickBot="1" x14ac:dyDescent="0.25">
      <c r="B22" s="475" t="s">
        <v>991</v>
      </c>
      <c r="C22" s="2997">
        <f>IF(SUM(Table4.D!S23,'Table4(II)'!H320,'Table4(IV)'!J54)=0,"NO",SUM(Table4.D!S23,'Table4(II)'!H320,'Table4(IV)'!J54))</f>
        <v>1.906666666666667</v>
      </c>
      <c r="D22" s="2997">
        <f>IF(SUM('Table4(IV)'!K54,'Table4(II)'!J320)=0,"NO",SUM('Table4(IV)'!K54,'Table4(II)'!J320))</f>
        <v>0.76989470817529559</v>
      </c>
      <c r="E22" s="2997" t="str">
        <f>IF(SUM('Table4(II)'!I320,'Table4(III)'!I39,'Table4(IV)'!L54)=0,"NO",SUM('Table4(II)'!I320,'Table4(III)'!I39,'Table4(IV)'!L54))</f>
        <v>NO</v>
      </c>
      <c r="F22" s="2908" t="s">
        <v>2153</v>
      </c>
      <c r="G22" s="2908" t="s">
        <v>2153</v>
      </c>
      <c r="H22" s="2907" t="s">
        <v>2153</v>
      </c>
      <c r="I22" s="2998">
        <f t="shared" si="2"/>
        <v>23.463718495574945</v>
      </c>
    </row>
    <row r="23" spans="2:9" ht="18" customHeight="1" x14ac:dyDescent="0.2">
      <c r="B23" s="473" t="s">
        <v>992</v>
      </c>
      <c r="C23" s="2992">
        <f>IF(SUM(C24:C25)=0,"NO",SUM(C24:C25))</f>
        <v>3625.8625635434787</v>
      </c>
      <c r="D23" s="2992">
        <f t="shared" ref="D23" si="18">IF(SUM(D24:D25)=0,"NO",SUM(D24:D25))</f>
        <v>0.98173440000000001</v>
      </c>
      <c r="E23" s="2992">
        <f t="shared" ref="E23" si="19">IF(SUM(E24:E25)=0,"NO",SUM(E24:E25))</f>
        <v>4.0960516634874961E-2</v>
      </c>
      <c r="F23" s="2992">
        <f>IF(SUM(F24:F25)=0,"NO",SUM(F24:F25))</f>
        <v>0.73922262857142873</v>
      </c>
      <c r="G23" s="2992">
        <f t="shared" ref="G23" si="20">IF(SUM(G24:G25)=0,"NO",SUM(G24:G25))</f>
        <v>28.952074666666665</v>
      </c>
      <c r="H23" s="2993">
        <f t="shared" ref="H23" si="21">IF(SUM(H24:H25)=0,"NO",SUM(H24:H25))</f>
        <v>3.4997013333333333</v>
      </c>
      <c r="I23" s="2999">
        <f t="shared" si="2"/>
        <v>3664.2056636517204</v>
      </c>
    </row>
    <row r="24" spans="2:9" ht="18" customHeight="1" x14ac:dyDescent="0.2">
      <c r="B24" s="474" t="s">
        <v>993</v>
      </c>
      <c r="C24" s="2995">
        <f>IF(SUM(Table4.E!S11,'Table4(IV)'!J60)=0,"IE",SUM(Table4.E!S11,'Table4(IV)'!J60))</f>
        <v>-65.787210103387679</v>
      </c>
      <c r="D24" s="2995" t="str">
        <f>'Table4(IV)'!K60</f>
        <v>IE</v>
      </c>
      <c r="E24" s="2995">
        <f>IF(SUM('Table4(III)'!I47,'Table4(IV)'!L60)=0,"IE",SUM('Table4(III)'!I47,'Table4(IV)'!L60))</f>
        <v>1.2655406651804294E-4</v>
      </c>
      <c r="F24" s="2905" t="s">
        <v>2154</v>
      </c>
      <c r="G24" s="2905" t="s">
        <v>2154</v>
      </c>
      <c r="H24" s="2906" t="s">
        <v>2154</v>
      </c>
      <c r="I24" s="2996">
        <f t="shared" si="2"/>
        <v>-65.753673275760391</v>
      </c>
    </row>
    <row r="25" spans="2:9" ht="18" customHeight="1" thickBot="1" x14ac:dyDescent="0.25">
      <c r="B25" s="475" t="s">
        <v>994</v>
      </c>
      <c r="C25" s="2997">
        <f>IF(SUM(Table4.E!S13,'Table4(IV)'!J65)=0,"IE",SUM(Table4.E!S13,'Table4(IV)'!J65))</f>
        <v>3691.6497736468664</v>
      </c>
      <c r="D25" s="2997">
        <f>'Table4(IV)'!K65</f>
        <v>0.98173440000000001</v>
      </c>
      <c r="E25" s="2997">
        <f>IF(SUM('Table4(III)'!I48,'Table4(IV)'!L65)=0,"NO",SUM('Table4(III)'!I48,'Table4(IV)'!L65))</f>
        <v>4.0833962568356919E-2</v>
      </c>
      <c r="F25" s="2908">
        <v>0.73922262857142873</v>
      </c>
      <c r="G25" s="2908">
        <v>28.952074666666665</v>
      </c>
      <c r="H25" s="2907">
        <v>3.4997013333333333</v>
      </c>
      <c r="I25" s="2998">
        <f t="shared" si="2"/>
        <v>3729.9593369274812</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-5161.5441563973091</v>
      </c>
      <c r="D29" s="3004"/>
      <c r="E29" s="3004"/>
      <c r="F29" s="3004"/>
      <c r="G29" s="3004"/>
      <c r="H29" s="3005"/>
      <c r="I29" s="3006">
        <f t="shared" si="2"/>
        <v>-5161.5441563973091</v>
      </c>
    </row>
    <row r="30" spans="2:9" ht="18" customHeight="1" x14ac:dyDescent="0.2">
      <c r="B30" s="1168" t="s">
        <v>2063</v>
      </c>
      <c r="C30" s="3007" t="str">
        <f>IF(SUM(C31:C32)=0,"NO",SUM(C31:C32))</f>
        <v>NO</v>
      </c>
      <c r="D30" s="3007" t="str">
        <f t="shared" ref="D30" si="27">IF(SUM(D31:D32)=0,"NO",SUM(D31:D32))</f>
        <v>NO</v>
      </c>
      <c r="E30" s="3007">
        <f t="shared" ref="E30" si="28">IF(SUM(E31:E32)=0,"NO",SUM(E31:E32))</f>
        <v>0.21056241287714289</v>
      </c>
      <c r="F30" s="3007" t="str">
        <f t="shared" ref="F30" si="29">IF(SUM(F31:F32)=0,"NO",SUM(F31:F32))</f>
        <v>NO</v>
      </c>
      <c r="G30" s="3007" t="str">
        <f t="shared" ref="G30" si="30">IF(SUM(G31:G32)=0,"NO",SUM(G31:G32))</f>
        <v>NO</v>
      </c>
      <c r="H30" s="3008" t="str">
        <f t="shared" ref="H30" si="31">IF(SUM(H31:H32)=0,"NO",SUM(H31:H32))</f>
        <v>NO</v>
      </c>
      <c r="I30" s="3009">
        <f t="shared" si="2"/>
        <v>55.799039412442866</v>
      </c>
    </row>
    <row r="31" spans="2:9" ht="18" customHeight="1" x14ac:dyDescent="0.2">
      <c r="B31" s="2677" t="s">
        <v>2218</v>
      </c>
      <c r="C31" s="3010" t="s">
        <v>2146</v>
      </c>
      <c r="D31" s="3010" t="s">
        <v>2146</v>
      </c>
      <c r="E31" s="3010">
        <v>0.21056241287714289</v>
      </c>
      <c r="F31" s="3010" t="s">
        <v>2146</v>
      </c>
      <c r="G31" s="3010" t="s">
        <v>2146</v>
      </c>
      <c r="H31" s="3011" t="s">
        <v>2146</v>
      </c>
      <c r="I31" s="3012">
        <f t="shared" si="2"/>
        <v>55.799039412442866</v>
      </c>
    </row>
    <row r="32" spans="2:9" ht="18" customHeight="1" thickBot="1" x14ac:dyDescent="0.25">
      <c r="B32" s="2676" t="s">
        <v>2219</v>
      </c>
      <c r="C32" s="3013" t="s">
        <v>2146</v>
      </c>
      <c r="D32" s="3013" t="s">
        <v>2146</v>
      </c>
      <c r="E32" s="3013" t="s">
        <v>2146</v>
      </c>
      <c r="F32" s="3014" t="s">
        <v>2146</v>
      </c>
      <c r="G32" s="3014" t="s">
        <v>2146</v>
      </c>
      <c r="H32" s="3014" t="s">
        <v>2146</v>
      </c>
      <c r="I32" s="2998" t="str">
        <f t="shared" si="2"/>
        <v>NO</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v>-14807.799864277433</v>
      </c>
      <c r="D35" s="3013" t="s">
        <v>2146</v>
      </c>
      <c r="E35" s="3013" t="s">
        <v>2146</v>
      </c>
      <c r="F35" s="3013" t="s">
        <v>2146</v>
      </c>
      <c r="G35" s="3013" t="s">
        <v>2146</v>
      </c>
      <c r="H35" s="3013" t="s">
        <v>2146</v>
      </c>
      <c r="I35" s="3018">
        <f t="shared" ref="I35" si="32">IF(SUM(C35:E35)=0,"NO",SUM(C35)+28*SUM(D35)+265*SUM(E35))</f>
        <v>-14807.799864277433</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392802.7484247142</v>
      </c>
      <c r="D10" s="3765">
        <f t="shared" ref="D10:I10" si="0">IF(SUM(D11,D37,D47)=0,"NO",SUM(D11,D37,D47))</f>
        <v>1430.3765588980289</v>
      </c>
      <c r="E10" s="3765">
        <f t="shared" si="0"/>
        <v>10.253157524371714</v>
      </c>
      <c r="F10" s="3765">
        <f t="shared" si="0"/>
        <v>2741.2533523861457</v>
      </c>
      <c r="G10" s="3765">
        <f t="shared" si="0"/>
        <v>2214.4751901761674</v>
      </c>
      <c r="H10" s="3765">
        <f t="shared" si="0"/>
        <v>759.24079613583206</v>
      </c>
      <c r="I10" s="3766">
        <f t="shared" si="0"/>
        <v>641.38587777548821</v>
      </c>
      <c r="J10" s="3028">
        <f t="shared" ref="J10:J40" si="1">IF(SUM(C10:E10)=0,"NO",SUM(C10,IFERROR(28*D10,0),IFERROR(265*E10,0)))</f>
        <v>435570.37881781755</v>
      </c>
    </row>
    <row r="11" spans="2:10" s="83" customFormat="1" ht="18" customHeight="1" thickBot="1" x14ac:dyDescent="0.25">
      <c r="B11" s="18" t="s">
        <v>75</v>
      </c>
      <c r="C11" s="3029">
        <f>IF(SUM(C12,C16,C24,C30,C34)=0,"NO",SUM(C12,C16,C24,C30,C34))</f>
        <v>375877.12066882144</v>
      </c>
      <c r="D11" s="3029">
        <f t="shared" ref="D11:I11" si="2">IF(SUM(D12,D16,D24,D30,D34)=0,"NO",SUM(D12,D16,D24,D30,D34))</f>
        <v>90.31721273105795</v>
      </c>
      <c r="E11" s="3029">
        <f t="shared" si="2"/>
        <v>10.000031713248097</v>
      </c>
      <c r="F11" s="3029">
        <f t="shared" si="2"/>
        <v>2737.2581932848552</v>
      </c>
      <c r="G11" s="3029">
        <f t="shared" si="2"/>
        <v>2191.504793126182</v>
      </c>
      <c r="H11" s="3029">
        <f t="shared" si="2"/>
        <v>532.24801741034219</v>
      </c>
      <c r="I11" s="3030">
        <f t="shared" si="2"/>
        <v>641.38587777548821</v>
      </c>
      <c r="J11" s="3031">
        <f t="shared" si="1"/>
        <v>381056.01102930179</v>
      </c>
    </row>
    <row r="12" spans="2:10" s="83" customFormat="1" ht="18" customHeight="1" x14ac:dyDescent="0.2">
      <c r="B12" s="26" t="s">
        <v>76</v>
      </c>
      <c r="C12" s="3029">
        <f>IF(SUM(C13:C15)=0,"NO",SUM(C13:C15))</f>
        <v>212993.00937885189</v>
      </c>
      <c r="D12" s="3029">
        <f t="shared" ref="D12:I12" si="3">IF(SUM(D13:D15)=0,"NO",SUM(D13:D15))</f>
        <v>38.13249127726661</v>
      </c>
      <c r="E12" s="3029">
        <f t="shared" si="3"/>
        <v>3.0129441502913004</v>
      </c>
      <c r="F12" s="3029">
        <f t="shared" si="3"/>
        <v>1199.1785403744361</v>
      </c>
      <c r="G12" s="3029">
        <f t="shared" si="3"/>
        <v>251.19134655056831</v>
      </c>
      <c r="H12" s="3029">
        <f>IF(SUM(H13:H15)=0,"NO",SUM(H13:H15))</f>
        <v>76.863992584503762</v>
      </c>
      <c r="I12" s="3030">
        <f t="shared" si="3"/>
        <v>543.06947930929209</v>
      </c>
      <c r="J12" s="3031">
        <f t="shared" si="1"/>
        <v>214859.14933444254</v>
      </c>
    </row>
    <row r="13" spans="2:10" s="83" customFormat="1" ht="18" customHeight="1" x14ac:dyDescent="0.2">
      <c r="B13" s="20" t="s">
        <v>77</v>
      </c>
      <c r="C13" s="3032">
        <f>'Table1.A(a)s1'!H24</f>
        <v>182369.58665547601</v>
      </c>
      <c r="D13" s="3032">
        <f>'Table1.A(a)s1'!I24</f>
        <v>24.950121932651498</v>
      </c>
      <c r="E13" s="3032">
        <f>'Table1.A(a)s1'!J24</f>
        <v>2.2413596882569222</v>
      </c>
      <c r="F13" s="3033">
        <v>680.95427647521535</v>
      </c>
      <c r="G13" s="3033">
        <v>100.07625078375237</v>
      </c>
      <c r="H13" s="3033">
        <v>13.477244459966727</v>
      </c>
      <c r="I13" s="3034">
        <v>525.87342565458005</v>
      </c>
      <c r="J13" s="3035">
        <f t="shared" si="1"/>
        <v>183662.15038697835</v>
      </c>
    </row>
    <row r="14" spans="2:10" s="83" customFormat="1" ht="18" customHeight="1" x14ac:dyDescent="0.2">
      <c r="B14" s="20" t="s">
        <v>78</v>
      </c>
      <c r="C14" s="3032">
        <f>'Table1.A(a)s1'!H53</f>
        <v>3075.1994340628144</v>
      </c>
      <c r="D14" s="3032">
        <f>'Table1.A(a)s1'!I53</f>
        <v>5.0167970033116349E-2</v>
      </c>
      <c r="E14" s="3032">
        <f>'Table1.A(a)s1'!J53</f>
        <v>7.2369951356281194E-3</v>
      </c>
      <c r="F14" s="3033">
        <v>19.774947775982771</v>
      </c>
      <c r="G14" s="3033">
        <v>2.5491361717378136</v>
      </c>
      <c r="H14" s="3033">
        <v>4.6261268706293393E-2</v>
      </c>
      <c r="I14" s="3034">
        <v>5.7450928938753512</v>
      </c>
      <c r="J14" s="3035">
        <f t="shared" si="1"/>
        <v>3078.5219409346828</v>
      </c>
    </row>
    <row r="15" spans="2:10" s="83" customFormat="1" ht="18" customHeight="1" thickBot="1" x14ac:dyDescent="0.25">
      <c r="B15" s="21" t="s">
        <v>79</v>
      </c>
      <c r="C15" s="3036">
        <f>'Table1.A(a)s1'!H60</f>
        <v>27548.223289313049</v>
      </c>
      <c r="D15" s="3036">
        <f>'Table1.A(a)s1'!I60</f>
        <v>13.132201374581994</v>
      </c>
      <c r="E15" s="3036">
        <f>'Table1.A(a)s1'!J60</f>
        <v>0.76434746689875033</v>
      </c>
      <c r="F15" s="3037">
        <v>498.44931612323791</v>
      </c>
      <c r="G15" s="3037">
        <v>148.56595959507814</v>
      </c>
      <c r="H15" s="3037">
        <v>63.34048685583074</v>
      </c>
      <c r="I15" s="3038">
        <v>11.450960760836638</v>
      </c>
      <c r="J15" s="3039">
        <f t="shared" si="1"/>
        <v>28118.477006529512</v>
      </c>
    </row>
    <row r="16" spans="2:10" s="83" customFormat="1" ht="18" customHeight="1" x14ac:dyDescent="0.2">
      <c r="B16" s="25" t="s">
        <v>80</v>
      </c>
      <c r="C16" s="3029">
        <f>IF(SUM(C17:C23)=0,"NO",SUM(C17:C23))</f>
        <v>41202.854256055114</v>
      </c>
      <c r="D16" s="3029">
        <f t="shared" ref="D16:I16" si="4">IF(SUM(D17:D23)=0,"NO",SUM(D17:D23))</f>
        <v>2.3685642924102206</v>
      </c>
      <c r="E16" s="3029">
        <f t="shared" si="4"/>
        <v>1.5040470815150182</v>
      </c>
      <c r="F16" s="3029">
        <f t="shared" si="4"/>
        <v>787.79420644007371</v>
      </c>
      <c r="G16" s="3029">
        <f t="shared" si="4"/>
        <v>249.37283213993283</v>
      </c>
      <c r="H16" s="3029">
        <f t="shared" si="4"/>
        <v>102.16663921289634</v>
      </c>
      <c r="I16" s="3030">
        <f t="shared" si="4"/>
        <v>61.111160864040293</v>
      </c>
      <c r="J16" s="3031">
        <f t="shared" si="1"/>
        <v>41667.746532844081</v>
      </c>
    </row>
    <row r="17" spans="2:10" s="83" customFormat="1" ht="18" customHeight="1" x14ac:dyDescent="0.2">
      <c r="B17" s="20" t="s">
        <v>81</v>
      </c>
      <c r="C17" s="3032">
        <f>'Table1.A(a)s2'!H17</f>
        <v>1548.2113369611609</v>
      </c>
      <c r="D17" s="3032">
        <f>'Table1.A(a)s2'!I17</f>
        <v>3.4349557004766537E-2</v>
      </c>
      <c r="E17" s="3032">
        <f>'Table1.A(a)s2'!J17</f>
        <v>1.9744503957533965E-2</v>
      </c>
      <c r="F17" s="3033">
        <v>17.541806316384019</v>
      </c>
      <c r="G17" s="3033">
        <v>2.7821576613895953</v>
      </c>
      <c r="H17" s="3033">
        <v>0.27410498135832428</v>
      </c>
      <c r="I17" s="3034">
        <v>7.3852304754081457</v>
      </c>
      <c r="J17" s="3035">
        <f t="shared" si="1"/>
        <v>1554.405418106041</v>
      </c>
    </row>
    <row r="18" spans="2:10" s="83" customFormat="1" ht="18" customHeight="1" x14ac:dyDescent="0.2">
      <c r="B18" s="20" t="s">
        <v>82</v>
      </c>
      <c r="C18" s="3032">
        <f>'Table1.A(a)s2'!H24</f>
        <v>12259.232226541404</v>
      </c>
      <c r="D18" s="3032">
        <f>'Table1.A(a)s2'!I24</f>
        <v>0.20897714954619148</v>
      </c>
      <c r="E18" s="3032">
        <f>'Table1.A(a)s2'!J24</f>
        <v>0.13514915309544726</v>
      </c>
      <c r="F18" s="3033">
        <v>76.952034250124598</v>
      </c>
      <c r="G18" s="3033">
        <v>12.940774367668087</v>
      </c>
      <c r="H18" s="3033">
        <v>1.3053383481838725</v>
      </c>
      <c r="I18" s="3034">
        <v>22.817349707341002</v>
      </c>
      <c r="J18" s="3035">
        <f t="shared" si="1"/>
        <v>12300.89811229899</v>
      </c>
    </row>
    <row r="19" spans="2:10" s="83" customFormat="1" ht="18" customHeight="1" x14ac:dyDescent="0.2">
      <c r="B19" s="20" t="s">
        <v>83</v>
      </c>
      <c r="C19" s="3032">
        <f>'Table1.A(a)s2'!H31</f>
        <v>7112.3362329107122</v>
      </c>
      <c r="D19" s="3032">
        <f>'Table1.A(a)s2'!I31</f>
        <v>0.17769100456369946</v>
      </c>
      <c r="E19" s="3032">
        <f>'Table1.A(a)s2'!J31</f>
        <v>7.5921768776407272E-2</v>
      </c>
      <c r="F19" s="3033">
        <v>48.024049884923784</v>
      </c>
      <c r="G19" s="3033">
        <v>12.127515562616731</v>
      </c>
      <c r="H19" s="3033">
        <v>6.2139039160701905</v>
      </c>
      <c r="I19" s="3034">
        <v>6.7291828593599368</v>
      </c>
      <c r="J19" s="3035">
        <f t="shared" si="1"/>
        <v>7137.4308497642442</v>
      </c>
    </row>
    <row r="20" spans="2:10" s="83" customFormat="1" ht="18" customHeight="1" x14ac:dyDescent="0.2">
      <c r="B20" s="20" t="s">
        <v>84</v>
      </c>
      <c r="C20" s="3032">
        <f>'Table1.A(a)s2'!H38</f>
        <v>998.30599372598238</v>
      </c>
      <c r="D20" s="3032">
        <f>'Table1.A(a)s2'!I38</f>
        <v>0.20948110733520175</v>
      </c>
      <c r="E20" s="3032">
        <f>'Table1.A(a)s2'!J38</f>
        <v>0.13845232349288944</v>
      </c>
      <c r="F20" s="3033">
        <v>7.8983292949013819</v>
      </c>
      <c r="G20" s="3033">
        <v>5.710378787368505</v>
      </c>
      <c r="H20" s="3033">
        <v>0.50847771040255541</v>
      </c>
      <c r="I20" s="3034">
        <v>1.325253679638553</v>
      </c>
      <c r="J20" s="3035">
        <f t="shared" si="1"/>
        <v>1040.8613304569838</v>
      </c>
    </row>
    <row r="21" spans="2:10" s="83" customFormat="1" ht="18" customHeight="1" x14ac:dyDescent="0.2">
      <c r="B21" s="20" t="s">
        <v>85</v>
      </c>
      <c r="C21" s="3032">
        <f>'Table1.A(a)s2'!H45</f>
        <v>2523.2465172004277</v>
      </c>
      <c r="D21" s="3032">
        <f>'Table1.A(a)s2'!I45</f>
        <v>0.84467887705264166</v>
      </c>
      <c r="E21" s="3032">
        <f>'Table1.A(a)s2'!J45</f>
        <v>0.54075044892106183</v>
      </c>
      <c r="F21" s="3033">
        <v>23.429494373246929</v>
      </c>
      <c r="G21" s="3033">
        <v>23.36416309413735</v>
      </c>
      <c r="H21" s="3033">
        <v>1.6667095002140666</v>
      </c>
      <c r="I21" s="3034">
        <v>2.9965825582227188</v>
      </c>
      <c r="J21" s="3035">
        <f t="shared" si="1"/>
        <v>2690.1963947219833</v>
      </c>
    </row>
    <row r="22" spans="2:10" s="83" customFormat="1" ht="18" customHeight="1" x14ac:dyDescent="0.2">
      <c r="B22" s="20" t="s">
        <v>86</v>
      </c>
      <c r="C22" s="3032">
        <f>'Table1.A(a)s2'!H52</f>
        <v>4928.9200618486893</v>
      </c>
      <c r="D22" s="3032">
        <f>'Table1.A(a)s2'!I52</f>
        <v>0.28799645111745847</v>
      </c>
      <c r="E22" s="3032">
        <f>'Table1.A(a)s2'!J52</f>
        <v>4.7816347510090104E-2</v>
      </c>
      <c r="F22" s="3033">
        <v>74.732184315198452</v>
      </c>
      <c r="G22" s="3033">
        <v>23.031793560793428</v>
      </c>
      <c r="H22" s="3033">
        <v>15.103186594471186</v>
      </c>
      <c r="I22" s="3034">
        <v>7.9799122944023528</v>
      </c>
      <c r="J22" s="3035">
        <f t="shared" si="1"/>
        <v>4949.6552945701515</v>
      </c>
    </row>
    <row r="23" spans="2:10" s="83" customFormat="1" ht="18" customHeight="1" thickBot="1" x14ac:dyDescent="0.25">
      <c r="B23" s="3060" t="s">
        <v>2115</v>
      </c>
      <c r="C23" s="3032">
        <f>'Table1.A(a)s2'!H59</f>
        <v>11832.601886866736</v>
      </c>
      <c r="D23" s="3032">
        <f>'Table1.A(a)s2'!I59</f>
        <v>0.60539014579026129</v>
      </c>
      <c r="E23" s="3032">
        <f>'Table1.A(a)s2'!J59</f>
        <v>0.54621253576158846</v>
      </c>
      <c r="F23" s="3033">
        <v>539.21630800529454</v>
      </c>
      <c r="G23" s="3033">
        <v>169.4160491059591</v>
      </c>
      <c r="H23" s="3033">
        <v>77.094918162196151</v>
      </c>
      <c r="I23" s="3034">
        <v>11.877649289667588</v>
      </c>
      <c r="J23" s="3035">
        <f t="shared" si="1"/>
        <v>11994.299132925686</v>
      </c>
    </row>
    <row r="24" spans="2:10" s="83" customFormat="1" ht="18" customHeight="1" x14ac:dyDescent="0.2">
      <c r="B24" s="25" t="s">
        <v>87</v>
      </c>
      <c r="C24" s="3029">
        <f>IF(SUM(C25:C29)=0,"NO",SUM(C25:C29))</f>
        <v>98511.309671759809</v>
      </c>
      <c r="D24" s="3029">
        <f t="shared" ref="D24:I24" si="5">IF(SUM(D25:D29)=0,"NO",SUM(D25:D29))</f>
        <v>13.740095915565117</v>
      </c>
      <c r="E24" s="3029">
        <f t="shared" si="5"/>
        <v>4.7239156075148996</v>
      </c>
      <c r="F24" s="3029">
        <f t="shared" si="5"/>
        <v>304.00583327354633</v>
      </c>
      <c r="G24" s="3029">
        <f t="shared" si="5"/>
        <v>1025.9524834430783</v>
      </c>
      <c r="H24" s="3029">
        <f t="shared" si="5"/>
        <v>230.56616479127365</v>
      </c>
      <c r="I24" s="3030">
        <f t="shared" si="5"/>
        <v>27.743527684796636</v>
      </c>
      <c r="J24" s="3031">
        <f t="shared" si="1"/>
        <v>100147.86999338708</v>
      </c>
    </row>
    <row r="25" spans="2:10" s="83" customFormat="1" ht="18" customHeight="1" x14ac:dyDescent="0.2">
      <c r="B25" s="20" t="s">
        <v>88</v>
      </c>
      <c r="C25" s="1878">
        <f>'Table1.A(a)s3'!H16</f>
        <v>9010.5997718617236</v>
      </c>
      <c r="D25" s="1878">
        <f>'Table1.A(a)s3'!I16</f>
        <v>3.7278371294444453E-2</v>
      </c>
      <c r="E25" s="1878">
        <f>'Table1.A(a)s3'!J16</f>
        <v>6.5050279121204507E-2</v>
      </c>
      <c r="F25" s="3033">
        <v>30.439849313602728</v>
      </c>
      <c r="G25" s="3033">
        <v>19.820803678200949</v>
      </c>
      <c r="H25" s="3033">
        <v>1.9756444170177614</v>
      </c>
      <c r="I25" s="3034">
        <v>1.0622635078239964</v>
      </c>
      <c r="J25" s="3035">
        <f t="shared" si="1"/>
        <v>9028.8818902250878</v>
      </c>
    </row>
    <row r="26" spans="2:10" s="83" customFormat="1" ht="18" customHeight="1" x14ac:dyDescent="0.2">
      <c r="B26" s="20" t="s">
        <v>89</v>
      </c>
      <c r="C26" s="1878">
        <f>'Table1.A(a)s3'!H20</f>
        <v>83392.009474173858</v>
      </c>
      <c r="D26" s="1878">
        <f>'Table1.A(a)s3'!I20</f>
        <v>8.5731170382025379</v>
      </c>
      <c r="E26" s="1878">
        <f>'Table1.A(a)s3'!J20</f>
        <v>3.0916861417356598</v>
      </c>
      <c r="F26" s="3033">
        <v>171.19066715920289</v>
      </c>
      <c r="G26" s="3033">
        <v>727.98864062298071</v>
      </c>
      <c r="H26" s="3033">
        <v>181.76279412925538</v>
      </c>
      <c r="I26" s="3034">
        <v>17.269939164275552</v>
      </c>
      <c r="J26" s="3035">
        <f t="shared" si="1"/>
        <v>84451.353578803479</v>
      </c>
    </row>
    <row r="27" spans="2:10" s="83" customFormat="1" ht="18" customHeight="1" x14ac:dyDescent="0.2">
      <c r="B27" s="20" t="s">
        <v>90</v>
      </c>
      <c r="C27" s="1878">
        <f>'Table1.A(a)s3'!H81</f>
        <v>3562.5293421000006</v>
      </c>
      <c r="D27" s="1878">
        <f>'Table1.A(a)s3'!I81</f>
        <v>0.20385686</v>
      </c>
      <c r="E27" s="1878">
        <f>'Table1.A(a)s3'!J81</f>
        <v>1.5289264499999999</v>
      </c>
      <c r="F27" s="3033">
        <v>77.975248949999994</v>
      </c>
      <c r="G27" s="3033">
        <v>10.294771430000001</v>
      </c>
      <c r="H27" s="3033">
        <v>3.6184592649999994</v>
      </c>
      <c r="I27" s="3034">
        <v>2.9081312871120102</v>
      </c>
      <c r="J27" s="3035">
        <f t="shared" si="1"/>
        <v>3973.4028434300008</v>
      </c>
    </row>
    <row r="28" spans="2:10" s="83" customFormat="1" ht="18" customHeight="1" x14ac:dyDescent="0.2">
      <c r="B28" s="20" t="s">
        <v>91</v>
      </c>
      <c r="C28" s="1878">
        <f>'Table1.A(a)s3'!H88</f>
        <v>1737.6115901932542</v>
      </c>
      <c r="D28" s="1878">
        <f>'Table1.A(a)s3'!I88</f>
        <v>4.7743044448470195</v>
      </c>
      <c r="E28" s="1878">
        <f>'Table1.A(a)s3'!J88</f>
        <v>3.6623885437723984E-2</v>
      </c>
      <c r="F28" s="3033">
        <v>21.345879823533206</v>
      </c>
      <c r="G28" s="3033">
        <v>262.68716779847358</v>
      </c>
      <c r="H28" s="3033">
        <v>42.480367146938583</v>
      </c>
      <c r="I28" s="3034">
        <v>6.4981711926007275</v>
      </c>
      <c r="J28" s="3035">
        <f t="shared" si="1"/>
        <v>1880.9974442899675</v>
      </c>
    </row>
    <row r="29" spans="2:10" s="83" customFormat="1" ht="18" customHeight="1" thickBot="1" x14ac:dyDescent="0.25">
      <c r="B29" s="22" t="s">
        <v>92</v>
      </c>
      <c r="C29" s="1881">
        <f>'Table1.A(a)s3'!H99</f>
        <v>808.55949343097575</v>
      </c>
      <c r="D29" s="1881">
        <f>'Table1.A(a)s3'!I99</f>
        <v>0.15153920122111597</v>
      </c>
      <c r="E29" s="1881">
        <f>'Table1.A(a)s3'!J99</f>
        <v>1.6288512203115493E-3</v>
      </c>
      <c r="F29" s="3040">
        <v>3.0541880272074748</v>
      </c>
      <c r="G29" s="3040">
        <v>5.1610999134232403</v>
      </c>
      <c r="H29" s="3040">
        <v>0.72889983306191231</v>
      </c>
      <c r="I29" s="3041">
        <v>5.0225329843507195E-3</v>
      </c>
      <c r="J29" s="3042">
        <f t="shared" si="1"/>
        <v>813.23423663854953</v>
      </c>
    </row>
    <row r="30" spans="2:10" ht="18" customHeight="1" x14ac:dyDescent="0.2">
      <c r="B30" s="26" t="s">
        <v>93</v>
      </c>
      <c r="C30" s="3029">
        <f>IF(SUM(C31:C33)=0,"NO",SUM(C31:C33))</f>
        <v>22249.420221504901</v>
      </c>
      <c r="D30" s="3029">
        <f t="shared" ref="D30" si="6">IF(SUM(D31:D33)=0,"NO",SUM(D31:D33))</f>
        <v>36.039131203241482</v>
      </c>
      <c r="E30" s="3029">
        <f t="shared" ref="E30" si="7">IF(SUM(E31:E33)=0,"NO",SUM(E31:E33))</f>
        <v>0.73332096634122079</v>
      </c>
      <c r="F30" s="3029">
        <f t="shared" ref="F30" si="8">IF(SUM(F31:F33)=0,"NO",SUM(F31:F33))</f>
        <v>437.35320131097245</v>
      </c>
      <c r="G30" s="3029">
        <f t="shared" ref="G30" si="9">IF(SUM(G31:G33)=0,"NO",SUM(G31:G33))</f>
        <v>661.84666652685678</v>
      </c>
      <c r="H30" s="3029">
        <f t="shared" ref="H30" si="10">IF(SUM(H31:H33)=0,"NO",SUM(H31:H33))</f>
        <v>122.13309484934126</v>
      </c>
      <c r="I30" s="3030">
        <f t="shared" ref="I30" si="11">IF(SUM(I31:I33)=0,"NO",SUM(I31:I33))</f>
        <v>9.1133319935322312</v>
      </c>
      <c r="J30" s="3043">
        <f t="shared" si="1"/>
        <v>23452.845951276086</v>
      </c>
    </row>
    <row r="31" spans="2:10" ht="18" customHeight="1" x14ac:dyDescent="0.2">
      <c r="B31" s="20" t="s">
        <v>94</v>
      </c>
      <c r="C31" s="3032">
        <f>'Table1.A(a)s4'!H17</f>
        <v>5362.8035775909411</v>
      </c>
      <c r="D31" s="3032">
        <f>'Table1.A(a)s4'!I17</f>
        <v>0.1164277687287405</v>
      </c>
      <c r="E31" s="3032">
        <f>'Table1.A(a)s4'!J17</f>
        <v>9.7221012165126339E-2</v>
      </c>
      <c r="F31" s="3033">
        <v>37.800248627838691</v>
      </c>
      <c r="G31" s="3033">
        <v>13.207142823965315</v>
      </c>
      <c r="H31" s="3033">
        <v>4.9178494621864219</v>
      </c>
      <c r="I31" s="3034">
        <v>2.8953912932173891</v>
      </c>
      <c r="J31" s="3035">
        <f t="shared" si="1"/>
        <v>5391.8271233391042</v>
      </c>
    </row>
    <row r="32" spans="2:10" ht="18" customHeight="1" x14ac:dyDescent="0.2">
      <c r="B32" s="20" t="s">
        <v>95</v>
      </c>
      <c r="C32" s="3032">
        <f>'Table1.A(a)s4'!H38</f>
        <v>9262.5867015827625</v>
      </c>
      <c r="D32" s="3032">
        <f>'Table1.A(a)s4'!I38</f>
        <v>35.210156590150163</v>
      </c>
      <c r="E32" s="3032">
        <f>'Table1.A(a)s4'!J38</f>
        <v>0.2437532989204535</v>
      </c>
      <c r="F32" s="3033">
        <v>12.62100706390429</v>
      </c>
      <c r="G32" s="3033">
        <v>481.46178304336536</v>
      </c>
      <c r="H32" s="3033">
        <v>57.104713236954048</v>
      </c>
      <c r="I32" s="3034">
        <v>0.48078457260569646</v>
      </c>
      <c r="J32" s="3035">
        <f t="shared" si="1"/>
        <v>10313.065710320887</v>
      </c>
    </row>
    <row r="33" spans="2:10" ht="18" customHeight="1" thickBot="1" x14ac:dyDescent="0.25">
      <c r="B33" s="20" t="s">
        <v>96</v>
      </c>
      <c r="C33" s="3032">
        <f>'Table1.A(a)s4'!H59</f>
        <v>7624.0299423311953</v>
      </c>
      <c r="D33" s="3032">
        <f>'Table1.A(a)s4'!I59</f>
        <v>0.71254684436258053</v>
      </c>
      <c r="E33" s="3032">
        <f>'Table1.A(a)s4'!J59</f>
        <v>0.392346655255641</v>
      </c>
      <c r="F33" s="3033">
        <v>386.93194561922945</v>
      </c>
      <c r="G33" s="3033">
        <v>167.17774065952611</v>
      </c>
      <c r="H33" s="3033">
        <v>60.110532150200783</v>
      </c>
      <c r="I33" s="3034">
        <v>5.7371561277091461</v>
      </c>
      <c r="J33" s="3035">
        <f t="shared" si="1"/>
        <v>7747.9531176160926</v>
      </c>
    </row>
    <row r="34" spans="2:10" ht="18" customHeight="1" x14ac:dyDescent="0.2">
      <c r="B34" s="25" t="s">
        <v>2116</v>
      </c>
      <c r="C34" s="3029">
        <f>IF(SUM(C35:C36)=0,"NO",SUM(C35:C36))</f>
        <v>920.52714064979261</v>
      </c>
      <c r="D34" s="3029">
        <f t="shared" ref="D34:E34" si="12">IF(SUM(D35:D36)=0,"NO",SUM(D35:D36))</f>
        <v>3.6930042574526749E-2</v>
      </c>
      <c r="E34" s="3029">
        <f t="shared" si="12"/>
        <v>2.5803907585655421E-2</v>
      </c>
      <c r="F34" s="3029">
        <f t="shared" ref="F34:I34" si="13">IF(SUM(F35:F36)=0,"NO",SUM(F35:F36))</f>
        <v>8.9264118858267487</v>
      </c>
      <c r="G34" s="3029">
        <f t="shared" si="13"/>
        <v>3.141464465745627</v>
      </c>
      <c r="H34" s="3029">
        <f t="shared" si="13"/>
        <v>0.518125972327099</v>
      </c>
      <c r="I34" s="3030">
        <f t="shared" si="13"/>
        <v>0.34837792382705768</v>
      </c>
      <c r="J34" s="3031">
        <f t="shared" si="1"/>
        <v>928.39921735207804</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920.52714064979261</v>
      </c>
      <c r="D36" s="3044">
        <f>'Table1.A(a)s4'!I108</f>
        <v>3.6930042574526749E-2</v>
      </c>
      <c r="E36" s="3044">
        <f>'Table1.A(a)s4'!J108</f>
        <v>2.5803907585655421E-2</v>
      </c>
      <c r="F36" s="3040">
        <v>8.9264118858267487</v>
      </c>
      <c r="G36" s="3040">
        <v>3.141464465745627</v>
      </c>
      <c r="H36" s="3040">
        <v>0.518125972327099</v>
      </c>
      <c r="I36" s="3041">
        <v>0.34837792382705768</v>
      </c>
      <c r="J36" s="3042">
        <f t="shared" si="1"/>
        <v>928.39921735207804</v>
      </c>
    </row>
    <row r="37" spans="2:10" ht="18" customHeight="1" thickBot="1" x14ac:dyDescent="0.25">
      <c r="B37" s="18" t="s">
        <v>99</v>
      </c>
      <c r="C37" s="3029">
        <f>IF(SUM(C38,C42)=0,"NO",SUM(C38,C42))</f>
        <v>16925.627755892769</v>
      </c>
      <c r="D37" s="3029">
        <f t="shared" ref="D37:I37" si="14">IF(SUM(D38,D42)=0,"NO",SUM(D38,D42))</f>
        <v>1340.059346166971</v>
      </c>
      <c r="E37" s="3029">
        <f t="shared" si="14"/>
        <v>0.2531258111236166</v>
      </c>
      <c r="F37" s="3029">
        <f t="shared" si="14"/>
        <v>3.9951591012905681</v>
      </c>
      <c r="G37" s="3029">
        <f t="shared" si="14"/>
        <v>22.970397049985291</v>
      </c>
      <c r="H37" s="3029">
        <f t="shared" si="14"/>
        <v>226.99277872548987</v>
      </c>
      <c r="I37" s="3030" t="str">
        <f t="shared" si="14"/>
        <v>NO</v>
      </c>
      <c r="J37" s="3031">
        <f t="shared" si="1"/>
        <v>54514.367788515716</v>
      </c>
    </row>
    <row r="38" spans="2:10" ht="18" customHeight="1" x14ac:dyDescent="0.2">
      <c r="B38" s="26" t="s">
        <v>100</v>
      </c>
      <c r="C38" s="3029">
        <f>IF(SUM(C39:C41)=0,"NO",SUM(C39:C41))</f>
        <v>2361.4971654210785</v>
      </c>
      <c r="D38" s="3029">
        <f t="shared" ref="D38" si="15">IF(SUM(D39:D41)=0,"NO",SUM(D39:D41))</f>
        <v>1066.0864761177477</v>
      </c>
      <c r="E38" s="3029">
        <f t="shared" ref="E38" si="16">IF(SUM(E39:E41)=0,"NO",SUM(E39:E41))</f>
        <v>1.5778380369077659E-3</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32212.336623797797</v>
      </c>
    </row>
    <row r="39" spans="2:10" ht="18" customHeight="1" x14ac:dyDescent="0.2">
      <c r="B39" s="20" t="s">
        <v>101</v>
      </c>
      <c r="C39" s="3032">
        <f>'Table1.B.1'!G10</f>
        <v>2361.4971654210785</v>
      </c>
      <c r="D39" s="3032">
        <f>SUM('Table1.B.1'!F10,'Table1.B.1'!H10)</f>
        <v>1066.0864761177477</v>
      </c>
      <c r="E39" s="3033">
        <v>1.5778380369077659E-3</v>
      </c>
      <c r="F39" s="3033" t="s">
        <v>2146</v>
      </c>
      <c r="G39" s="3033" t="s">
        <v>2146</v>
      </c>
      <c r="H39" s="3033" t="s">
        <v>2146</v>
      </c>
      <c r="I39" s="2931"/>
      <c r="J39" s="3035">
        <f t="shared" si="1"/>
        <v>32212.336623797797</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14564.13059047169</v>
      </c>
      <c r="D42" s="3029">
        <f t="shared" ref="D42:I42" si="21">IF(SUM(D43:D46)=0,"NO",SUM(D43:D46))</f>
        <v>273.97287004922333</v>
      </c>
      <c r="E42" s="3029">
        <f t="shared" si="21"/>
        <v>0.25154797308670884</v>
      </c>
      <c r="F42" s="3029">
        <f t="shared" si="21"/>
        <v>3.9951591012905681</v>
      </c>
      <c r="G42" s="3029">
        <f t="shared" si="21"/>
        <v>22.970397049985291</v>
      </c>
      <c r="H42" s="3029">
        <f t="shared" si="21"/>
        <v>226.99277872548987</v>
      </c>
      <c r="I42" s="3030" t="str">
        <f t="shared" si="21"/>
        <v>NO</v>
      </c>
      <c r="J42" s="3031">
        <f t="shared" ref="J42:J59" si="22">IF(SUM(C42:E42)=0,"NO",SUM(C42,IFERROR(28*D42,0),IFERROR(265*E42,0)))</f>
        <v>22302.031164717922</v>
      </c>
    </row>
    <row r="43" spans="2:10" ht="18" customHeight="1" x14ac:dyDescent="0.2">
      <c r="B43" s="20" t="s">
        <v>103</v>
      </c>
      <c r="C43" s="3032">
        <f>'Table1.B.2'!I10</f>
        <v>134.98463159685932</v>
      </c>
      <c r="D43" s="3032">
        <f>'Table1.B.2'!J10</f>
        <v>2.465809229571212</v>
      </c>
      <c r="E43" s="3032">
        <f>'Table1.B.2'!K10</f>
        <v>4.4281264012308238E-3</v>
      </c>
      <c r="F43" s="3033">
        <v>8.125232224501526E-2</v>
      </c>
      <c r="G43" s="3033">
        <v>0.46432616902108853</v>
      </c>
      <c r="H43" s="3033">
        <v>97.266819316255138</v>
      </c>
      <c r="I43" s="3034" t="s">
        <v>2146</v>
      </c>
      <c r="J43" s="3035">
        <f t="shared" si="22"/>
        <v>205.20074352117942</v>
      </c>
    </row>
    <row r="44" spans="2:10" ht="18" customHeight="1" x14ac:dyDescent="0.2">
      <c r="B44" s="20" t="s">
        <v>104</v>
      </c>
      <c r="C44" s="3032">
        <f>SUM('Table1.B.2'!I21,'Table1.B.2'!L21)</f>
        <v>109.88422940542152</v>
      </c>
      <c r="D44" s="3032">
        <f>'Table1.B.2'!J21</f>
        <v>185.11085008333873</v>
      </c>
      <c r="E44" s="3032">
        <f>'Table1.B.2'!K21</f>
        <v>2.845383633E-3</v>
      </c>
      <c r="F44" s="3033">
        <v>5.269228950000001E-2</v>
      </c>
      <c r="G44" s="3033">
        <v>0.30561527909999997</v>
      </c>
      <c r="H44" s="3033">
        <v>91.464827920029208</v>
      </c>
      <c r="I44" s="3034" t="s">
        <v>2146</v>
      </c>
      <c r="J44" s="3035">
        <f t="shared" si="22"/>
        <v>5293.74205840165</v>
      </c>
    </row>
    <row r="45" spans="2:10" ht="18" customHeight="1" x14ac:dyDescent="0.2">
      <c r="B45" s="20" t="s">
        <v>105</v>
      </c>
      <c r="C45" s="3032">
        <f>'Table1.B.2'!I35</f>
        <v>14319.26172946941</v>
      </c>
      <c r="D45" s="3032">
        <f>'Table1.B.2'!J35</f>
        <v>86.396210736313378</v>
      </c>
      <c r="E45" s="3032">
        <f>'Table1.B.2'!K35</f>
        <v>0.24427446305247805</v>
      </c>
      <c r="F45" s="3033">
        <v>3.8612144895455529</v>
      </c>
      <c r="G45" s="3033">
        <v>22.200455601864203</v>
      </c>
      <c r="H45" s="3033">
        <v>38.261131489205518</v>
      </c>
      <c r="I45" s="3034" t="s">
        <v>2146</v>
      </c>
      <c r="J45" s="3035">
        <f t="shared" si="22"/>
        <v>16803.088362795093</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16922.532561538646</v>
      </c>
      <c r="D52" s="3032">
        <f t="shared" ref="D52:I52" si="23">IF(SUM(D53:D54)=0,"NO",SUM(D53:D54))</f>
        <v>0.2727685039635539</v>
      </c>
      <c r="E52" s="3032">
        <f t="shared" si="23"/>
        <v>0.13996125113980071</v>
      </c>
      <c r="F52" s="3032">
        <f t="shared" si="23"/>
        <v>142.69559529876514</v>
      </c>
      <c r="G52" s="3032">
        <f t="shared" si="23"/>
        <v>24.534255962431025</v>
      </c>
      <c r="H52" s="3032">
        <f t="shared" si="23"/>
        <v>13.257550825467753</v>
      </c>
      <c r="I52" s="3055">
        <f t="shared" si="23"/>
        <v>42.500583398411692</v>
      </c>
      <c r="J52" s="3035">
        <f t="shared" si="22"/>
        <v>16967.259811201675</v>
      </c>
    </row>
    <row r="53" spans="2:10" ht="18" customHeight="1" x14ac:dyDescent="0.2">
      <c r="B53" s="164" t="s">
        <v>111</v>
      </c>
      <c r="C53" s="3032">
        <f>Table1.D!G10</f>
        <v>14415.981132621524</v>
      </c>
      <c r="D53" s="3032">
        <f>Table1.D!H10</f>
        <v>3.3506509302325571E-2</v>
      </c>
      <c r="E53" s="3032">
        <f>Table1.D!I10</f>
        <v>7.160068123659262E-2</v>
      </c>
      <c r="F53" s="3033">
        <v>75.369989795230723</v>
      </c>
      <c r="G53" s="3033">
        <v>22.737083511319572</v>
      </c>
      <c r="H53" s="3033">
        <v>11.146084289693967</v>
      </c>
      <c r="I53" s="3034">
        <v>1.6984345587283984</v>
      </c>
      <c r="J53" s="3035">
        <f t="shared" si="22"/>
        <v>14435.893495409686</v>
      </c>
    </row>
    <row r="54" spans="2:10" ht="18" customHeight="1" x14ac:dyDescent="0.2">
      <c r="B54" s="164" t="s">
        <v>112</v>
      </c>
      <c r="C54" s="3032">
        <f>Table1.D!G14</f>
        <v>2506.5514289171228</v>
      </c>
      <c r="D54" s="3032">
        <f>Table1.D!H14</f>
        <v>0.2392619946612283</v>
      </c>
      <c r="E54" s="3032">
        <f>Table1.D!I14</f>
        <v>6.8360569903208088E-2</v>
      </c>
      <c r="F54" s="3033">
        <v>67.325605503534419</v>
      </c>
      <c r="G54" s="3033">
        <v>1.7971724511114533</v>
      </c>
      <c r="H54" s="3033">
        <v>2.1114665357737872</v>
      </c>
      <c r="I54" s="3034">
        <v>40.802148839683291</v>
      </c>
      <c r="J54" s="3035">
        <f t="shared" si="22"/>
        <v>2531.3663157919873</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16465.223251645039</v>
      </c>
      <c r="D56" s="3056"/>
      <c r="E56" s="3056"/>
      <c r="F56" s="3056"/>
      <c r="G56" s="3056"/>
      <c r="H56" s="3056"/>
      <c r="I56" s="2971"/>
      <c r="J56" s="3039">
        <f t="shared" si="22"/>
        <v>16465.223251645039</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132832.77889695001</v>
      </c>
      <c r="D10" s="3549" t="s">
        <v>2146</v>
      </c>
      <c r="E10" s="3549">
        <v>14.952358311999999</v>
      </c>
      <c r="F10" s="3549">
        <v>487.54124014199999</v>
      </c>
      <c r="G10" s="3549" t="s">
        <v>2146</v>
      </c>
      <c r="H10" s="3549" t="s">
        <v>2146</v>
      </c>
      <c r="I10" s="3549" t="s">
        <v>2146</v>
      </c>
      <c r="J10" s="3549">
        <v>11.187436915999999</v>
      </c>
      <c r="K10" s="3549" t="s">
        <v>2146</v>
      </c>
      <c r="L10" s="3549" t="s">
        <v>2146</v>
      </c>
      <c r="M10" s="3550">
        <f>IF(SUM(C10:L10)=0,"NO",SUM(C10:L10))</f>
        <v>133346.45993231999</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15.330394192</v>
      </c>
      <c r="D12" s="3549" t="s">
        <v>2146</v>
      </c>
      <c r="E12" s="3549">
        <v>39956.294777451003</v>
      </c>
      <c r="F12" s="3549" t="s">
        <v>2153</v>
      </c>
      <c r="G12" s="3549" t="s">
        <v>2146</v>
      </c>
      <c r="H12" s="3549" t="s">
        <v>2153</v>
      </c>
      <c r="I12" s="3549" t="s">
        <v>2146</v>
      </c>
      <c r="J12" s="3549" t="s">
        <v>2153</v>
      </c>
      <c r="K12" s="3549" t="s">
        <v>2146</v>
      </c>
      <c r="L12" s="3549" t="s">
        <v>2146</v>
      </c>
      <c r="M12" s="3550">
        <f t="shared" si="0"/>
        <v>39971.625171643005</v>
      </c>
    </row>
    <row r="13" spans="2:13" ht="18" customHeight="1" x14ac:dyDescent="0.2">
      <c r="B13" s="2277" t="s">
        <v>1961</v>
      </c>
      <c r="C13" s="3549">
        <v>538.47936515200001</v>
      </c>
      <c r="D13" s="3549" t="s">
        <v>2146</v>
      </c>
      <c r="E13" s="3549" t="s">
        <v>2153</v>
      </c>
      <c r="F13" s="3549">
        <v>519594.20181661297</v>
      </c>
      <c r="G13" s="3549" t="s">
        <v>2146</v>
      </c>
      <c r="H13" s="3549" t="s">
        <v>2153</v>
      </c>
      <c r="I13" s="3549" t="s">
        <v>2146</v>
      </c>
      <c r="J13" s="3549" t="s">
        <v>2153</v>
      </c>
      <c r="K13" s="3549" t="s">
        <v>2146</v>
      </c>
      <c r="L13" s="3549" t="s">
        <v>2146</v>
      </c>
      <c r="M13" s="3550">
        <f t="shared" si="0"/>
        <v>520132.68118176499</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4.9605516170000001</v>
      </c>
      <c r="D15" s="3549" t="s">
        <v>2146</v>
      </c>
      <c r="E15" s="3549">
        <v>0.63304705100000003</v>
      </c>
      <c r="F15" s="3549">
        <v>2.443871627</v>
      </c>
      <c r="G15" s="3549" t="s">
        <v>2146</v>
      </c>
      <c r="H15" s="3549">
        <v>13132.138429954</v>
      </c>
      <c r="I15" s="3549" t="s">
        <v>2146</v>
      </c>
      <c r="J15" s="3549" t="s">
        <v>2146</v>
      </c>
      <c r="K15" s="3549" t="s">
        <v>2146</v>
      </c>
      <c r="L15" s="3549" t="s">
        <v>2146</v>
      </c>
      <c r="M15" s="3550">
        <f t="shared" si="0"/>
        <v>13140.175900249</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5.8735256959999997</v>
      </c>
      <c r="D17" s="3549" t="s">
        <v>2146</v>
      </c>
      <c r="E17" s="3549" t="s">
        <v>2146</v>
      </c>
      <c r="F17" s="3549" t="s">
        <v>2146</v>
      </c>
      <c r="G17" s="3549" t="s">
        <v>2146</v>
      </c>
      <c r="H17" s="3549" t="s">
        <v>2146</v>
      </c>
      <c r="I17" s="3549" t="s">
        <v>2146</v>
      </c>
      <c r="J17" s="3549">
        <v>1539.5554425079999</v>
      </c>
      <c r="K17" s="3549" t="s">
        <v>2146</v>
      </c>
      <c r="L17" s="3549" t="s">
        <v>2146</v>
      </c>
      <c r="M17" s="3550">
        <f t="shared" si="0"/>
        <v>1545.4289682039998</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133397.42273360697</v>
      </c>
      <c r="D20" s="3551" t="str">
        <f t="shared" ref="D20:L20" si="1">IF(SUM(D10:D19)=0,"NO",SUM(D10:D19))</f>
        <v>NO</v>
      </c>
      <c r="E20" s="3551">
        <f t="shared" si="1"/>
        <v>39971.880182814006</v>
      </c>
      <c r="F20" s="3551">
        <f t="shared" si="1"/>
        <v>520084.18692838197</v>
      </c>
      <c r="G20" s="3551" t="str">
        <f t="shared" si="1"/>
        <v>NO</v>
      </c>
      <c r="H20" s="3551">
        <f t="shared" si="1"/>
        <v>13132.138429954</v>
      </c>
      <c r="I20" s="3551" t="str">
        <f t="shared" si="1"/>
        <v>NO</v>
      </c>
      <c r="J20" s="3551">
        <f t="shared" si="1"/>
        <v>1550.742879424</v>
      </c>
      <c r="K20" s="3551">
        <f t="shared" si="1"/>
        <v>60692.328845821001</v>
      </c>
      <c r="L20" s="3551" t="str">
        <f t="shared" si="1"/>
        <v>NO</v>
      </c>
      <c r="M20" s="3550">
        <f t="shared" si="0"/>
        <v>768828.70000000193</v>
      </c>
    </row>
    <row r="21" spans="2:13" ht="18" customHeight="1" thickBot="1" x14ac:dyDescent="0.25">
      <c r="B21" s="2279" t="s">
        <v>1968</v>
      </c>
      <c r="C21" s="3552">
        <f>IF(SUM(C20)=0,"NO",C20-M10)</f>
        <v>50.962801286979811</v>
      </c>
      <c r="D21" s="3552" t="str">
        <f>IF(SUM(D20)=0,"NO",D20-M11)</f>
        <v>NO</v>
      </c>
      <c r="E21" s="3552">
        <f>IF(SUM(E20)=0,"NO",E20-M12)</f>
        <v>0.2550111710006604</v>
      </c>
      <c r="F21" s="3552">
        <f>IF(SUM(F20)=0,"NO",F20-M13)</f>
        <v>-48.494253383018076</v>
      </c>
      <c r="G21" s="3552" t="str">
        <f>IF(SUM(G20)=0,"NO",G20-M14)</f>
        <v>NO</v>
      </c>
      <c r="H21" s="3552">
        <f>IF(SUM(H20)=0,"NO",H20-M15)</f>
        <v>-8.0374702949993662</v>
      </c>
      <c r="I21" s="3552" t="str">
        <f>IF(SUM(I20)=0,"NO",I20-M16)</f>
        <v>NO</v>
      </c>
      <c r="J21" s="3552">
        <f>IF(SUM(J20)=0,"NO",J20-M17)</f>
        <v>5.3139112200001364</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133569.87565136436</v>
      </c>
      <c r="E10" s="3556">
        <f t="shared" ref="E10:U10" si="0">IF(SUM(E11,E16)=0,"IE",SUM(E11,E16))</f>
        <v>133397.42273360689</v>
      </c>
      <c r="F10" s="3557">
        <f t="shared" si="0"/>
        <v>172.4529177574818</v>
      </c>
      <c r="G10" s="3558">
        <f t="shared" ref="G10:K11" si="1">IFERROR(IF(SUM($D10)=0,"NA",N10/$D10),"NA")</f>
        <v>0.15644066704734397</v>
      </c>
      <c r="H10" s="3078">
        <f t="shared" si="1"/>
        <v>-7.0453604107108894E-3</v>
      </c>
      <c r="I10" s="3078">
        <f t="shared" si="1"/>
        <v>0.14939530663663306</v>
      </c>
      <c r="J10" s="3078">
        <f t="shared" si="1"/>
        <v>2.1143343524385173E-2</v>
      </c>
      <c r="K10" s="3078">
        <f t="shared" si="1"/>
        <v>6.6223067701825346E-3</v>
      </c>
      <c r="L10" s="3078">
        <f>IFERROR(IF(SUM(E10)=0,"NA",S10/E10),"NA")</f>
        <v>1.1603816247561623E-2</v>
      </c>
      <c r="M10" s="3128">
        <f>IFERROR(IF(SUM(F10)=0,"NA",T10/F10),"NA")</f>
        <v>-7.1565723483728944E-2</v>
      </c>
      <c r="N10" s="3559">
        <f t="shared" si="0"/>
        <v>20895.760444330226</v>
      </c>
      <c r="O10" s="3560">
        <f t="shared" si="0"/>
        <v>-941.04791397769884</v>
      </c>
      <c r="P10" s="3560">
        <f t="shared" si="0"/>
        <v>19954.712530352524</v>
      </c>
      <c r="Q10" s="3560">
        <f t="shared" si="0"/>
        <v>2824.1137654062072</v>
      </c>
      <c r="R10" s="3560">
        <f t="shared" si="0"/>
        <v>884.54069181846944</v>
      </c>
      <c r="S10" s="3560">
        <f t="shared" si="0"/>
        <v>1547.9191812990739</v>
      </c>
      <c r="T10" s="3561">
        <f t="shared" si="0"/>
        <v>-12.341717826194191</v>
      </c>
      <c r="U10" s="3562">
        <f t="shared" si="0"/>
        <v>-92396.129653850308</v>
      </c>
      <c r="W10" s="2396"/>
    </row>
    <row r="11" spans="2:23" ht="18" customHeight="1" x14ac:dyDescent="0.2">
      <c r="B11" s="502" t="s">
        <v>982</v>
      </c>
      <c r="C11" s="2256"/>
      <c r="D11" s="3563">
        <f>IF(SUM(D12:D15)=0,"IE",SUM(D12:D15))</f>
        <v>119264.371274658</v>
      </c>
      <c r="E11" s="3564">
        <f t="shared" ref="E11:U11" si="2">IF(SUM(E12:E15)=0,"IE",SUM(E12:E15))</f>
        <v>119264.371274658</v>
      </c>
      <c r="F11" s="3565" t="str">
        <f t="shared" si="2"/>
        <v>IE</v>
      </c>
      <c r="G11" s="3558">
        <f t="shared" si="1"/>
        <v>8.7544361799514595E-2</v>
      </c>
      <c r="H11" s="3078">
        <f t="shared" si="1"/>
        <v>-7.8904362125930081E-3</v>
      </c>
      <c r="I11" s="3078">
        <f t="shared" si="1"/>
        <v>7.9653925586921595E-2</v>
      </c>
      <c r="J11" s="3078">
        <f t="shared" si="1"/>
        <v>1.0714290490358665E-2</v>
      </c>
      <c r="K11" s="3078">
        <f t="shared" si="1"/>
        <v>7.467295016924903E-3</v>
      </c>
      <c r="L11" s="3078">
        <f t="shared" ref="L11:L28" si="3">IFERROR(IF(SUM(E11)=0,"NA",S11/E11),"NA")</f>
        <v>2.3342278034470174E-2</v>
      </c>
      <c r="M11" s="3128" t="str">
        <f t="shared" ref="M11:M28" si="4">IFERROR(IF(SUM(F11)=0,"NA",T11/F11),"NA")</f>
        <v>NA</v>
      </c>
      <c r="N11" s="3109">
        <f t="shared" si="2"/>
        <v>10440.923268660295</v>
      </c>
      <c r="O11" s="3109">
        <f t="shared" si="2"/>
        <v>-941.04791397769884</v>
      </c>
      <c r="P11" s="3109">
        <f t="shared" si="2"/>
        <v>9499.8753546825974</v>
      </c>
      <c r="Q11" s="3109">
        <f t="shared" si="2"/>
        <v>1277.8331189866733</v>
      </c>
      <c r="R11" s="3566">
        <f t="shared" si="2"/>
        <v>890.58224531593521</v>
      </c>
      <c r="S11" s="3566">
        <f t="shared" si="2"/>
        <v>2783.9021138993448</v>
      </c>
      <c r="T11" s="3566" t="str">
        <f t="shared" si="2"/>
        <v>IE</v>
      </c>
      <c r="U11" s="3567">
        <f t="shared" si="2"/>
        <v>-52991.373720576681</v>
      </c>
      <c r="W11" s="2397"/>
    </row>
    <row r="12" spans="2:23" ht="18" customHeight="1" x14ac:dyDescent="0.2">
      <c r="B12" s="500"/>
      <c r="C12" s="508" t="s">
        <v>2220</v>
      </c>
      <c r="D12" s="3568">
        <f>IF(SUM(E12:F12)=0,E12,SUM(E12:F12))</f>
        <v>12254.208439429043</v>
      </c>
      <c r="E12" s="3569">
        <v>12254.208439429043</v>
      </c>
      <c r="F12" s="3554" t="s">
        <v>2153</v>
      </c>
      <c r="G12" s="3558">
        <f>IFERROR(IF(SUM($D12)=0,"NA",N12/$D12),"NA")</f>
        <v>0.59612392929022817</v>
      </c>
      <c r="H12" s="3078" t="str">
        <f>IFERROR(IF(SUM($D12)=0,"NA",O12/$D12),"NA")</f>
        <v>NA</v>
      </c>
      <c r="I12" s="3078">
        <f>IFERROR(IF(SUM($D12)=0,"NA",P12/$D12),"NA")</f>
        <v>0.59612392929022817</v>
      </c>
      <c r="J12" s="3078">
        <f>IFERROR(IF(SUM($D12)=0,"NA",Q12/$D12),"NA")</f>
        <v>4.1580327143583257E-2</v>
      </c>
      <c r="K12" s="3078">
        <f>IFERROR(IF(SUM($D12)=0,"NA",R12/$D12),"NA")</f>
        <v>4.9268488009286314E-2</v>
      </c>
      <c r="L12" s="3078">
        <f t="shared" si="3"/>
        <v>0.19492021296169174</v>
      </c>
      <c r="M12" s="3128" t="str">
        <f t="shared" si="4"/>
        <v>NA</v>
      </c>
      <c r="N12" s="2905">
        <v>7305.0268852539166</v>
      </c>
      <c r="O12" s="2905" t="s">
        <v>2153</v>
      </c>
      <c r="P12" s="3109">
        <f>IF(SUM(N12:O12)=0,N12,SUM(N12:O12))</f>
        <v>7305.0268852539166</v>
      </c>
      <c r="Q12" s="2905">
        <v>509.53399579711851</v>
      </c>
      <c r="R12" s="2906">
        <v>603.74632156130497</v>
      </c>
      <c r="S12" s="2906">
        <v>2388.5929186904691</v>
      </c>
      <c r="T12" s="2906" t="s">
        <v>2153</v>
      </c>
      <c r="U12" s="3570">
        <f>IF(SUM(P12:T12)=0,P12,SUM(P12:T12)*-44/12)</f>
        <v>-39625.300444776964</v>
      </c>
      <c r="W12" s="2398"/>
    </row>
    <row r="13" spans="2:23" ht="18" customHeight="1" x14ac:dyDescent="0.2">
      <c r="B13" s="500"/>
      <c r="C13" s="508" t="s">
        <v>2221</v>
      </c>
      <c r="D13" s="3568">
        <f t="shared" ref="D13:D15" si="5">IF(SUM(E13:F13)=0,E13,SUM(E13:F13))</f>
        <v>682.2489423766441</v>
      </c>
      <c r="E13" s="3569">
        <v>682.2489423766441</v>
      </c>
      <c r="F13" s="3554" t="s">
        <v>2153</v>
      </c>
      <c r="G13" s="3558" t="str">
        <f t="shared" ref="G13:K28" si="6">IFERROR(IF(SUM($D13)=0,"NA",N13/$D13),"NA")</f>
        <v>NA</v>
      </c>
      <c r="H13" s="3078">
        <f t="shared" si="6"/>
        <v>-1.3793321697202157</v>
      </c>
      <c r="I13" s="3078">
        <f t="shared" si="6"/>
        <v>-1.3793321697202157</v>
      </c>
      <c r="J13" s="3078">
        <f t="shared" si="6"/>
        <v>6.2200985596123741E-2</v>
      </c>
      <c r="K13" s="3078">
        <f t="shared" si="6"/>
        <v>-2.4711763372462864E-2</v>
      </c>
      <c r="L13" s="3078">
        <f t="shared" si="3"/>
        <v>0.57942075194986586</v>
      </c>
      <c r="M13" s="3128" t="str">
        <f t="shared" si="4"/>
        <v>NA</v>
      </c>
      <c r="N13" s="2905" t="s">
        <v>2153</v>
      </c>
      <c r="O13" s="2905">
        <v>-941.04791397769884</v>
      </c>
      <c r="P13" s="3109">
        <f t="shared" ref="P13:P15" si="7">IF(SUM(N13:O13)=0,N13,SUM(N13:O13))</f>
        <v>-941.04791397769884</v>
      </c>
      <c r="Q13" s="2905">
        <v>42.436556637740296</v>
      </c>
      <c r="R13" s="2906">
        <v>-16.859574425124681</v>
      </c>
      <c r="S13" s="2906">
        <v>395.30919520887585</v>
      </c>
      <c r="T13" s="2906" t="s">
        <v>2153</v>
      </c>
      <c r="U13" s="3570">
        <f t="shared" ref="U13:U15" si="8">IF(SUM(P13:T13)=0,P13,SUM(P13:T13)*-44/12)</f>
        <v>1907.259700706094</v>
      </c>
      <c r="W13" s="2398"/>
    </row>
    <row r="14" spans="2:23" ht="18" customHeight="1" x14ac:dyDescent="0.2">
      <c r="B14" s="500"/>
      <c r="C14" s="508" t="s">
        <v>2222</v>
      </c>
      <c r="D14" s="3568">
        <f t="shared" si="5"/>
        <v>106327.91389285232</v>
      </c>
      <c r="E14" s="3569">
        <v>106327.91389285232</v>
      </c>
      <c r="F14" s="3554" t="s">
        <v>2153</v>
      </c>
      <c r="G14" s="3558">
        <f t="shared" si="6"/>
        <v>7.6212894549664012E-3</v>
      </c>
      <c r="H14" s="3078" t="str">
        <f t="shared" si="6"/>
        <v>NA</v>
      </c>
      <c r="I14" s="3078">
        <f t="shared" si="6"/>
        <v>7.6212894549664012E-3</v>
      </c>
      <c r="J14" s="3078">
        <f t="shared" si="6"/>
        <v>5.8241739871220284E-3</v>
      </c>
      <c r="K14" s="3078">
        <f t="shared" si="6"/>
        <v>2.8562160872053965E-3</v>
      </c>
      <c r="L14" s="3078" t="str">
        <f t="shared" si="3"/>
        <v>NA</v>
      </c>
      <c r="M14" s="3128" t="str">
        <f t="shared" si="4"/>
        <v>NA</v>
      </c>
      <c r="N14" s="2905">
        <v>810.35580892017083</v>
      </c>
      <c r="O14" s="2905" t="s">
        <v>2153</v>
      </c>
      <c r="P14" s="3109">
        <f t="shared" si="7"/>
        <v>810.35580892017083</v>
      </c>
      <c r="Q14" s="2905">
        <v>619.27227019970144</v>
      </c>
      <c r="R14" s="2906">
        <v>303.69549817975496</v>
      </c>
      <c r="S14" s="2906" t="s">
        <v>2147</v>
      </c>
      <c r="T14" s="2906" t="s">
        <v>2147</v>
      </c>
      <c r="U14" s="3570">
        <f t="shared" si="8"/>
        <v>-6355.5197834319661</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v>2325.5405744862082</v>
      </c>
      <c r="O15" s="2905" t="s">
        <v>2153</v>
      </c>
      <c r="P15" s="3109">
        <f t="shared" si="7"/>
        <v>2325.5405744862082</v>
      </c>
      <c r="Q15" s="2905">
        <v>106.59029635211323</v>
      </c>
      <c r="R15" s="2906" t="s">
        <v>2147</v>
      </c>
      <c r="S15" s="2906" t="s">
        <v>2147</v>
      </c>
      <c r="T15" s="2906" t="s">
        <v>2147</v>
      </c>
      <c r="U15" s="3570">
        <f t="shared" si="8"/>
        <v>-8917.8131930738436</v>
      </c>
      <c r="W15" s="2398"/>
    </row>
    <row r="16" spans="2:23" ht="18" customHeight="1" x14ac:dyDescent="0.2">
      <c r="B16" s="485" t="s">
        <v>1041</v>
      </c>
      <c r="C16" s="504"/>
      <c r="D16" s="3568">
        <f>IF(SUM(D17,D19,D23,D25,D27)=0,"IE",SUM(D17,D19,D23,D25,D27))</f>
        <v>14305.504376706362</v>
      </c>
      <c r="E16" s="3571">
        <f t="shared" ref="E16:T16" si="9">IF(SUM(E17,E19,E23,E25,E27)=0,"IE",SUM(E17,E19,E23,E25,E27))</f>
        <v>14133.051458948879</v>
      </c>
      <c r="F16" s="3572">
        <f t="shared" si="9"/>
        <v>172.4529177574818</v>
      </c>
      <c r="G16" s="3558">
        <f t="shared" si="6"/>
        <v>0.73082618412906364</v>
      </c>
      <c r="H16" s="3078" t="str">
        <f t="shared" si="6"/>
        <v>NA</v>
      </c>
      <c r="I16" s="3078">
        <f t="shared" si="6"/>
        <v>0.73082618412906364</v>
      </c>
      <c r="J16" s="3078">
        <f t="shared" si="6"/>
        <v>0.10808990761187988</v>
      </c>
      <c r="K16" s="3078">
        <f t="shared" si="6"/>
        <v>-4.2232369711502201E-4</v>
      </c>
      <c r="L16" s="3078">
        <f t="shared" si="3"/>
        <v>-8.7453366754541975E-2</v>
      </c>
      <c r="M16" s="3128">
        <f t="shared" si="4"/>
        <v>-7.1565723483728944E-2</v>
      </c>
      <c r="N16" s="3078">
        <f t="shared" si="9"/>
        <v>10454.837175669929</v>
      </c>
      <c r="O16" s="3078" t="str">
        <f t="shared" si="9"/>
        <v>IE</v>
      </c>
      <c r="P16" s="3078">
        <f t="shared" si="9"/>
        <v>10454.837175669929</v>
      </c>
      <c r="Q16" s="3078">
        <f t="shared" si="9"/>
        <v>1546.2806464195339</v>
      </c>
      <c r="R16" s="3573">
        <f t="shared" si="9"/>
        <v>-6.0415534974657596</v>
      </c>
      <c r="S16" s="3573">
        <f t="shared" si="9"/>
        <v>-1235.9829326002709</v>
      </c>
      <c r="T16" s="3573">
        <f t="shared" si="9"/>
        <v>-12.341717826194191</v>
      </c>
      <c r="U16" s="3570">
        <f>IF(SUM(U17,U19,U23,U25,U27)=0,"IE",SUM(U17,U19,U23,U25,U27))</f>
        <v>-39404.75593327362</v>
      </c>
      <c r="W16" s="2019"/>
    </row>
    <row r="17" spans="2:23" ht="18" customHeight="1" x14ac:dyDescent="0.2">
      <c r="B17" s="487" t="s">
        <v>1042</v>
      </c>
      <c r="C17" s="504"/>
      <c r="D17" s="3568">
        <f>D18</f>
        <v>104.718</v>
      </c>
      <c r="E17" s="3571">
        <f t="shared" ref="E17:U17" si="10">E18</f>
        <v>104.718</v>
      </c>
      <c r="F17" s="3572" t="str">
        <f t="shared" si="10"/>
        <v>NO</v>
      </c>
      <c r="G17" s="3558">
        <f t="shared" si="6"/>
        <v>1.3024599400294121</v>
      </c>
      <c r="H17" s="3078" t="str">
        <f t="shared" si="6"/>
        <v>NA</v>
      </c>
      <c r="I17" s="3078">
        <f t="shared" si="6"/>
        <v>1.3024599400294121</v>
      </c>
      <c r="J17" s="3078">
        <f t="shared" si="6"/>
        <v>0.10110009740445768</v>
      </c>
      <c r="K17" s="3078">
        <f t="shared" si="6"/>
        <v>3.9305563513436087E-2</v>
      </c>
      <c r="L17" s="3078">
        <f t="shared" si="3"/>
        <v>-0.2579690215626731</v>
      </c>
      <c r="M17" s="3128" t="str">
        <f t="shared" si="4"/>
        <v>NA</v>
      </c>
      <c r="N17" s="3078">
        <f t="shared" si="10"/>
        <v>136.39099999999999</v>
      </c>
      <c r="O17" s="3078" t="str">
        <f t="shared" si="10"/>
        <v>IE</v>
      </c>
      <c r="P17" s="3078">
        <f t="shared" si="10"/>
        <v>136.39099999999999</v>
      </c>
      <c r="Q17" s="3078">
        <f t="shared" si="10"/>
        <v>10.587</v>
      </c>
      <c r="R17" s="3573">
        <f t="shared" si="10"/>
        <v>4.1160000000000005</v>
      </c>
      <c r="S17" s="3573">
        <f t="shared" si="10"/>
        <v>-27.013999999999999</v>
      </c>
      <c r="T17" s="3573" t="str">
        <f t="shared" si="10"/>
        <v>NO</v>
      </c>
      <c r="U17" s="3570">
        <f t="shared" si="10"/>
        <v>-454.96</v>
      </c>
      <c r="W17" s="2019"/>
    </row>
    <row r="18" spans="2:23" ht="18" customHeight="1" x14ac:dyDescent="0.2">
      <c r="B18" s="488"/>
      <c r="C18" s="508" t="s">
        <v>278</v>
      </c>
      <c r="D18" s="3568">
        <f>IF(SUM(E18:F18)=0,E18,SUM(E18:F18))</f>
        <v>104.718</v>
      </c>
      <c r="E18" s="3569">
        <v>104.718</v>
      </c>
      <c r="F18" s="3554" t="s">
        <v>2146</v>
      </c>
      <c r="G18" s="3558">
        <f t="shared" si="6"/>
        <v>1.3024599400294121</v>
      </c>
      <c r="H18" s="3078" t="str">
        <f t="shared" si="6"/>
        <v>NA</v>
      </c>
      <c r="I18" s="3078">
        <f t="shared" si="6"/>
        <v>1.3024599400294121</v>
      </c>
      <c r="J18" s="3078">
        <f t="shared" si="6"/>
        <v>0.10110009740445768</v>
      </c>
      <c r="K18" s="3078">
        <f t="shared" si="6"/>
        <v>3.9305563513436087E-2</v>
      </c>
      <c r="L18" s="3078">
        <f t="shared" si="3"/>
        <v>-0.2579690215626731</v>
      </c>
      <c r="M18" s="3128" t="str">
        <f t="shared" si="4"/>
        <v>NA</v>
      </c>
      <c r="N18" s="2905">
        <v>136.39099999999999</v>
      </c>
      <c r="O18" s="2905" t="s">
        <v>2153</v>
      </c>
      <c r="P18" s="3109">
        <f>IF(SUM(N18:O18)=0,N18,SUM(N18:O18))</f>
        <v>136.39099999999999</v>
      </c>
      <c r="Q18" s="2905">
        <v>10.587</v>
      </c>
      <c r="R18" s="2906">
        <v>4.1160000000000005</v>
      </c>
      <c r="S18" s="2906">
        <v>-27.013999999999999</v>
      </c>
      <c r="T18" s="2906" t="s">
        <v>2146</v>
      </c>
      <c r="U18" s="3570">
        <f t="shared" ref="U18" si="11">IF(SUM(P18:T18)=0,P18,SUM(P18:T18)*-44/12)</f>
        <v>-454.96</v>
      </c>
      <c r="W18" s="2398"/>
    </row>
    <row r="19" spans="2:23" ht="18" customHeight="1" x14ac:dyDescent="0.2">
      <c r="B19" s="487" t="s">
        <v>1043</v>
      </c>
      <c r="C19" s="504"/>
      <c r="D19" s="3563">
        <f>IF(SUM(D20:D22)=0,"IE",SUM(D20:D22))</f>
        <v>13951.486458948879</v>
      </c>
      <c r="E19" s="3571">
        <f t="shared" ref="E19:U19" si="12">IF(SUM(E20:E22)=0,"IE",SUM(E20:E22))</f>
        <v>13951.486458948879</v>
      </c>
      <c r="F19" s="3572" t="str">
        <f t="shared" si="12"/>
        <v>IE</v>
      </c>
      <c r="G19" s="3558">
        <f t="shared" si="6"/>
        <v>0.64662996049289601</v>
      </c>
      <c r="H19" s="3078" t="str">
        <f t="shared" si="6"/>
        <v>NA</v>
      </c>
      <c r="I19" s="3078">
        <f t="shared" si="6"/>
        <v>0.64662996049289601</v>
      </c>
      <c r="J19" s="3078">
        <f t="shared" si="6"/>
        <v>0.11484384371877977</v>
      </c>
      <c r="K19" s="3078">
        <f t="shared" si="6"/>
        <v>-5.6214697397098537E-3</v>
      </c>
      <c r="L19" s="3078">
        <f t="shared" si="3"/>
        <v>-8.4509843167571777E-2</v>
      </c>
      <c r="M19" s="3128" t="str">
        <f t="shared" si="4"/>
        <v>NA</v>
      </c>
      <c r="N19" s="3078">
        <f t="shared" si="12"/>
        <v>9021.4491377672875</v>
      </c>
      <c r="O19" s="3078" t="str">
        <f t="shared" si="12"/>
        <v>IE</v>
      </c>
      <c r="P19" s="3078">
        <f t="shared" si="12"/>
        <v>9021.4491377672875</v>
      </c>
      <c r="Q19" s="3078">
        <f t="shared" si="12"/>
        <v>1602.2423305361972</v>
      </c>
      <c r="R19" s="3573">
        <f t="shared" si="12"/>
        <v>-78.427858952952903</v>
      </c>
      <c r="S19" s="3573">
        <f t="shared" si="12"/>
        <v>-1179.037932600271</v>
      </c>
      <c r="T19" s="3573" t="str">
        <f t="shared" si="12"/>
        <v>IE</v>
      </c>
      <c r="U19" s="3570">
        <f t="shared" si="12"/>
        <v>-34342.827481417626</v>
      </c>
      <c r="W19" s="2019"/>
    </row>
    <row r="20" spans="2:23" ht="18" customHeight="1" x14ac:dyDescent="0.2">
      <c r="B20" s="496"/>
      <c r="C20" s="508" t="s">
        <v>2223</v>
      </c>
      <c r="D20" s="3568">
        <f>IF(SUM(E20:F20)=0,E20,SUM(E20:F20))</f>
        <v>3899.1940000000013</v>
      </c>
      <c r="E20" s="3569">
        <v>3899.1940000000013</v>
      </c>
      <c r="F20" s="3554" t="s">
        <v>2146</v>
      </c>
      <c r="G20" s="3558">
        <f t="shared" si="6"/>
        <v>1.2009312693854155</v>
      </c>
      <c r="H20" s="3078" t="str">
        <f t="shared" si="6"/>
        <v>NA</v>
      </c>
      <c r="I20" s="3078">
        <f t="shared" si="6"/>
        <v>1.2009312693854155</v>
      </c>
      <c r="J20" s="3078">
        <f t="shared" si="6"/>
        <v>0.11162127352473356</v>
      </c>
      <c r="K20" s="3078">
        <f t="shared" si="6"/>
        <v>4.3887275165072577E-2</v>
      </c>
      <c r="L20" s="3078">
        <f t="shared" si="3"/>
        <v>-0.26672461026560862</v>
      </c>
      <c r="M20" s="3128" t="str">
        <f t="shared" si="4"/>
        <v>NA</v>
      </c>
      <c r="N20" s="2905">
        <v>4682.663999999997</v>
      </c>
      <c r="O20" s="2905" t="s">
        <v>2153</v>
      </c>
      <c r="P20" s="3109">
        <f>IF(SUM(N20:O20)=0,N20,SUM(N20:O20))</f>
        <v>4682.663999999997</v>
      </c>
      <c r="Q20" s="2905">
        <v>435.23300000000006</v>
      </c>
      <c r="R20" s="2906">
        <v>171.12500000000006</v>
      </c>
      <c r="S20" s="2906">
        <v>-1040.011</v>
      </c>
      <c r="T20" s="2906" t="s">
        <v>2146</v>
      </c>
      <c r="U20" s="3570">
        <f t="shared" ref="U20:U22" si="13">IF(SUM(P20:T20)=0,P20,SUM(P20:T20)*-44/12)</f>
        <v>-15579.706999999988</v>
      </c>
      <c r="W20" s="2398"/>
    </row>
    <row r="21" spans="2:23" ht="18" customHeight="1" x14ac:dyDescent="0.2">
      <c r="B21" s="500"/>
      <c r="C21" s="508" t="s">
        <v>2291</v>
      </c>
      <c r="D21" s="3568">
        <f>IF(SUM(E21:F21)=0,E21,SUM(E21:F21))</f>
        <v>10052.292458948878</v>
      </c>
      <c r="E21" s="3569">
        <v>10052.292458948878</v>
      </c>
      <c r="F21" s="3554" t="s">
        <v>2146</v>
      </c>
      <c r="G21" s="3558">
        <f t="shared" si="6"/>
        <v>0.43149174050560463</v>
      </c>
      <c r="H21" s="3078" t="str">
        <f t="shared" si="6"/>
        <v>NA</v>
      </c>
      <c r="I21" s="3078">
        <f t="shared" si="6"/>
        <v>0.43149174050560463</v>
      </c>
      <c r="J21" s="3078">
        <f t="shared" si="6"/>
        <v>0.11608742677357119</v>
      </c>
      <c r="K21" s="3078">
        <f t="shared" si="6"/>
        <v>-2.4825467421691744E-2</v>
      </c>
      <c r="L21" s="3078">
        <f t="shared" si="3"/>
        <v>-1.3830370850034775E-2</v>
      </c>
      <c r="M21" s="3128" t="str">
        <f t="shared" si="4"/>
        <v>NA</v>
      </c>
      <c r="N21" s="2905">
        <v>4337.4811691832156</v>
      </c>
      <c r="O21" s="2905" t="s">
        <v>2153</v>
      </c>
      <c r="P21" s="3109">
        <f t="shared" ref="P21:P28" si="14">IF(SUM(N21:O21)=0,N21,SUM(N21:O21))</f>
        <v>4337.4811691832156</v>
      </c>
      <c r="Q21" s="2905">
        <v>1166.9447647347497</v>
      </c>
      <c r="R21" s="2906">
        <v>-249.55285895295296</v>
      </c>
      <c r="S21" s="2906">
        <v>-139.02693260027095</v>
      </c>
      <c r="T21" s="2906" t="s">
        <v>2146</v>
      </c>
      <c r="U21" s="3570">
        <f t="shared" si="13"/>
        <v>-18758.10252200405</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v>1.3039685840756488</v>
      </c>
      <c r="O22" s="2905" t="s">
        <v>2153</v>
      </c>
      <c r="P22" s="3109">
        <f t="shared" si="14"/>
        <v>1.3039685840756488</v>
      </c>
      <c r="Q22" s="2905">
        <v>6.4565801447236087E-2</v>
      </c>
      <c r="R22" s="2906" t="s">
        <v>2147</v>
      </c>
      <c r="S22" s="2906" t="s">
        <v>2147</v>
      </c>
      <c r="T22" s="2906" t="s">
        <v>2147</v>
      </c>
      <c r="U22" s="3570">
        <f t="shared" si="13"/>
        <v>-5.0179594135839114</v>
      </c>
      <c r="W22" s="2398"/>
    </row>
    <row r="23" spans="2:23" ht="18" customHeight="1" x14ac:dyDescent="0.2">
      <c r="B23" s="487" t="s">
        <v>1044</v>
      </c>
      <c r="C23" s="504"/>
      <c r="D23" s="3568">
        <f>D24</f>
        <v>172.4529177574818</v>
      </c>
      <c r="E23" s="3571" t="str">
        <f t="shared" ref="E23" si="15">E24</f>
        <v>NO</v>
      </c>
      <c r="F23" s="3572">
        <f t="shared" ref="F23" si="16">F24</f>
        <v>172.4529177574818</v>
      </c>
      <c r="G23" s="3558">
        <f t="shared" si="6"/>
        <v>6.8153966496264147</v>
      </c>
      <c r="H23" s="3078" t="str">
        <f t="shared" si="6"/>
        <v>NA</v>
      </c>
      <c r="I23" s="3078">
        <f t="shared" si="6"/>
        <v>6.8153966496264147</v>
      </c>
      <c r="J23" s="3078">
        <f t="shared" si="6"/>
        <v>-0.44618371853163391</v>
      </c>
      <c r="K23" s="3078">
        <f t="shared" si="6"/>
        <v>0.36776011841490364</v>
      </c>
      <c r="L23" s="3078" t="str">
        <f t="shared" si="3"/>
        <v>NA</v>
      </c>
      <c r="M23" s="3128">
        <f t="shared" si="4"/>
        <v>-7.1565723483728944E-2</v>
      </c>
      <c r="N23" s="3078">
        <f t="shared" ref="N23" si="17">N24</f>
        <v>1175.335037902641</v>
      </c>
      <c r="O23" s="3078" t="str">
        <f t="shared" ref="O23" si="18">O24</f>
        <v>IE</v>
      </c>
      <c r="P23" s="3078">
        <f t="shared" ref="P23" si="19">P24</f>
        <v>1175.335037902641</v>
      </c>
      <c r="Q23" s="3078">
        <f t="shared" ref="Q23" si="20">Q24</f>
        <v>-76.945684116663273</v>
      </c>
      <c r="R23" s="3573">
        <f t="shared" ref="R23" si="21">R24</f>
        <v>63.421305455487143</v>
      </c>
      <c r="S23" s="3573" t="str">
        <f t="shared" ref="S23" si="22">S24</f>
        <v>NO</v>
      </c>
      <c r="T23" s="3573">
        <f t="shared" ref="T23" si="23">T24</f>
        <v>-12.341717826194191</v>
      </c>
      <c r="U23" s="3570">
        <f t="shared" ref="U23" si="24">U24</f>
        <v>-4214.7194518559927</v>
      </c>
      <c r="W23" s="2019"/>
    </row>
    <row r="24" spans="2:23" ht="18" customHeight="1" x14ac:dyDescent="0.2">
      <c r="B24" s="488"/>
      <c r="C24" s="508" t="s">
        <v>278</v>
      </c>
      <c r="D24" s="3568">
        <f>IF(SUM(E24:F24)=0,E24,SUM(E24:F24))</f>
        <v>172.4529177574818</v>
      </c>
      <c r="E24" s="3569" t="s">
        <v>2146</v>
      </c>
      <c r="F24" s="3554">
        <v>172.4529177574818</v>
      </c>
      <c r="G24" s="3558">
        <f t="shared" si="6"/>
        <v>6.8153966496264147</v>
      </c>
      <c r="H24" s="3078" t="str">
        <f t="shared" si="6"/>
        <v>NA</v>
      </c>
      <c r="I24" s="3078">
        <f t="shared" si="6"/>
        <v>6.8153966496264147</v>
      </c>
      <c r="J24" s="3078">
        <f t="shared" si="6"/>
        <v>-0.44618371853163391</v>
      </c>
      <c r="K24" s="3078">
        <f t="shared" si="6"/>
        <v>0.36776011841490364</v>
      </c>
      <c r="L24" s="3078" t="str">
        <f t="shared" si="3"/>
        <v>NA</v>
      </c>
      <c r="M24" s="3128">
        <f t="shared" si="4"/>
        <v>-7.1565723483728944E-2</v>
      </c>
      <c r="N24" s="2905">
        <v>1175.335037902641</v>
      </c>
      <c r="O24" s="2905" t="s">
        <v>2153</v>
      </c>
      <c r="P24" s="3109">
        <f t="shared" si="14"/>
        <v>1175.335037902641</v>
      </c>
      <c r="Q24" s="2905">
        <v>-76.945684116663273</v>
      </c>
      <c r="R24" s="2906">
        <v>63.421305455487143</v>
      </c>
      <c r="S24" s="2906" t="s">
        <v>2146</v>
      </c>
      <c r="T24" s="2906">
        <v>-12.341717826194191</v>
      </c>
      <c r="U24" s="3570">
        <f t="shared" ref="U24" si="25">IF(SUM(P24:T24)=0,P24,SUM(P24:T24)*-44/12)</f>
        <v>-4214.7194518559927</v>
      </c>
      <c r="W24" s="2398"/>
    </row>
    <row r="25" spans="2:23" ht="18" customHeight="1" x14ac:dyDescent="0.2">
      <c r="B25" s="487" t="s">
        <v>1045</v>
      </c>
      <c r="C25" s="504"/>
      <c r="D25" s="3568">
        <f>D26</f>
        <v>76.846999999999994</v>
      </c>
      <c r="E25" s="3571">
        <f t="shared" ref="E25" si="26">E26</f>
        <v>76.846999999999994</v>
      </c>
      <c r="F25" s="3572" t="str">
        <f t="shared" ref="F25" si="27">F26</f>
        <v>NO</v>
      </c>
      <c r="G25" s="3558">
        <f t="shared" si="6"/>
        <v>1.5831717568675423</v>
      </c>
      <c r="H25" s="3078" t="str">
        <f t="shared" si="6"/>
        <v>NA</v>
      </c>
      <c r="I25" s="3078">
        <f t="shared" si="6"/>
        <v>1.5831717568675423</v>
      </c>
      <c r="J25" s="3078">
        <f t="shared" si="6"/>
        <v>0.13529480656369147</v>
      </c>
      <c r="K25" s="3078">
        <f t="shared" si="6"/>
        <v>6.3099405311853429E-2</v>
      </c>
      <c r="L25" s="3078">
        <f t="shared" si="3"/>
        <v>-0.38948820383359145</v>
      </c>
      <c r="M25" s="3128" t="str">
        <f t="shared" si="4"/>
        <v>NA</v>
      </c>
      <c r="N25" s="3078">
        <f t="shared" ref="N25" si="28">N26</f>
        <v>121.66200000000001</v>
      </c>
      <c r="O25" s="3078" t="str">
        <f t="shared" ref="O25" si="29">O26</f>
        <v>IE</v>
      </c>
      <c r="P25" s="3078">
        <f t="shared" ref="P25" si="30">P26</f>
        <v>121.66200000000001</v>
      </c>
      <c r="Q25" s="3078">
        <f t="shared" ref="Q25" si="31">Q26</f>
        <v>10.396999999999998</v>
      </c>
      <c r="R25" s="3573">
        <f t="shared" ref="R25" si="32">R26</f>
        <v>4.8490000000000002</v>
      </c>
      <c r="S25" s="3573">
        <f t="shared" ref="S25" si="33">S26</f>
        <v>-29.931000000000001</v>
      </c>
      <c r="T25" s="3573" t="str">
        <f t="shared" ref="T25" si="34">T26</f>
        <v>NO</v>
      </c>
      <c r="U25" s="3570">
        <f t="shared" ref="U25" si="35">U26</f>
        <v>-392.24899999999997</v>
      </c>
      <c r="W25" s="2019"/>
    </row>
    <row r="26" spans="2:23" ht="18" customHeight="1" x14ac:dyDescent="0.2">
      <c r="B26" s="488"/>
      <c r="C26" s="508" t="s">
        <v>278</v>
      </c>
      <c r="D26" s="3568">
        <f>IF(SUM(E26:F26)=0,E26,SUM(E26:F26))</f>
        <v>76.846999999999994</v>
      </c>
      <c r="E26" s="3569">
        <v>76.846999999999994</v>
      </c>
      <c r="F26" s="3554" t="s">
        <v>2146</v>
      </c>
      <c r="G26" s="3558">
        <f t="shared" si="6"/>
        <v>1.5831717568675423</v>
      </c>
      <c r="H26" s="3078" t="str">
        <f t="shared" si="6"/>
        <v>NA</v>
      </c>
      <c r="I26" s="3078">
        <f t="shared" si="6"/>
        <v>1.5831717568675423</v>
      </c>
      <c r="J26" s="3078">
        <f t="shared" si="6"/>
        <v>0.13529480656369147</v>
      </c>
      <c r="K26" s="3078">
        <f t="shared" si="6"/>
        <v>6.3099405311853429E-2</v>
      </c>
      <c r="L26" s="3078">
        <f t="shared" si="3"/>
        <v>-0.38948820383359145</v>
      </c>
      <c r="M26" s="3128" t="str">
        <f t="shared" si="4"/>
        <v>NA</v>
      </c>
      <c r="N26" s="2905">
        <v>121.66200000000001</v>
      </c>
      <c r="O26" s="2905" t="s">
        <v>2153</v>
      </c>
      <c r="P26" s="3109">
        <f t="shared" si="14"/>
        <v>121.66200000000001</v>
      </c>
      <c r="Q26" s="2905">
        <v>10.396999999999998</v>
      </c>
      <c r="R26" s="2906">
        <v>4.8490000000000002</v>
      </c>
      <c r="S26" s="2906">
        <v>-29.931000000000001</v>
      </c>
      <c r="T26" s="2906" t="s">
        <v>2146</v>
      </c>
      <c r="U26" s="3570">
        <f t="shared" ref="U26" si="36">IF(SUM(P26:T26)=0,P26,SUM(P26:T26)*-44/12)</f>
        <v>-392.24899999999997</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39971.880182813809</v>
      </c>
      <c r="E10" s="3583">
        <f t="shared" ref="E10:F10" si="0">IF(SUM(E11,E13)=0,"IE",SUM(E11,E13))</f>
        <v>39968.880182813809</v>
      </c>
      <c r="F10" s="3584">
        <f t="shared" si="0"/>
        <v>3</v>
      </c>
      <c r="G10" s="3558">
        <f>IFERROR(IF(SUM($D10)=0,"NA",M10/$D10),"NA")</f>
        <v>2.271133361295404E-3</v>
      </c>
      <c r="H10" s="3583" t="str">
        <f t="shared" ref="H10:J10" si="1">IFERROR(IF(SUM($D10)=0,"NA",N10/$D10),"NA")</f>
        <v>NA</v>
      </c>
      <c r="I10" s="3583">
        <f t="shared" si="1"/>
        <v>2.271133361295404E-3</v>
      </c>
      <c r="J10" s="3583">
        <f t="shared" si="1"/>
        <v>-1.5739314666276289E-3</v>
      </c>
      <c r="K10" s="3585">
        <f>IFERROR(IF(SUM(E10)=0,"NA",Q10/E10),"NA")</f>
        <v>2.0085047298775225E-2</v>
      </c>
      <c r="L10" s="3584">
        <f>IFERROR(IF(SUM(F10)=0,"NA",R10/F10),"NA")</f>
        <v>-12.475</v>
      </c>
      <c r="M10" s="3586">
        <f>IF(SUM(M11,M13)=0,"IE",SUM(M11,M13))</f>
        <v>90.781470596891069</v>
      </c>
      <c r="N10" s="3583" t="str">
        <f t="shared" ref="N10:S10" si="2">IF(SUM(N11,N13)=0,"IE",SUM(N11,N13))</f>
        <v>IE</v>
      </c>
      <c r="O10" s="3587">
        <f t="shared" si="2"/>
        <v>90.781470596891069</v>
      </c>
      <c r="P10" s="3583">
        <f t="shared" si="2"/>
        <v>-62.912999999999997</v>
      </c>
      <c r="Q10" s="3585">
        <f t="shared" si="2"/>
        <v>802.7768489508951</v>
      </c>
      <c r="R10" s="3585">
        <f t="shared" si="2"/>
        <v>-37.424999999999997</v>
      </c>
      <c r="S10" s="3588">
        <f t="shared" si="2"/>
        <v>-2908.4745050085494</v>
      </c>
      <c r="U10" s="2261"/>
    </row>
    <row r="11" spans="2:21" ht="18" customHeight="1" x14ac:dyDescent="0.2">
      <c r="B11" s="499" t="s">
        <v>985</v>
      </c>
      <c r="C11" s="2256"/>
      <c r="D11" s="3589">
        <f>D12</f>
        <v>37678.514241785997</v>
      </c>
      <c r="E11" s="3078">
        <f t="shared" ref="E11" si="3">E12</f>
        <v>37678.514241785997</v>
      </c>
      <c r="F11" s="3078" t="str">
        <f t="shared" ref="F11" si="4">F12</f>
        <v>IE</v>
      </c>
      <c r="G11" s="3558">
        <f t="shared" ref="G11:G23" si="5">IFERROR(IF(SUM($D11)=0,"NA",M11/$D11),"NA")</f>
        <v>8.8839677653129246E-4</v>
      </c>
      <c r="H11" s="3078" t="str">
        <f t="shared" ref="H11:H23" si="6">IFERROR(IF(SUM($D11)=0,"NA",N11/$D11),"NA")</f>
        <v>NA</v>
      </c>
      <c r="I11" s="3078">
        <f t="shared" ref="I11:I23" si="7">IFERROR(IF(SUM($D11)=0,"NA",O11/$D11),"NA")</f>
        <v>8.8839677653129246E-4</v>
      </c>
      <c r="J11" s="3078" t="str">
        <f t="shared" ref="J11:J23" si="8">IFERROR(IF(SUM($D11)=0,"NA",P11/$D11),"NA")</f>
        <v>NA</v>
      </c>
      <c r="K11" s="3573">
        <f t="shared" ref="K11:K23" si="9">IFERROR(IF(SUM(E11)=0,"NA",Q11/E11),"NA")</f>
        <v>2.879305740595928E-2</v>
      </c>
      <c r="L11" s="3128" t="str">
        <f t="shared" ref="L11:L23" si="10">IFERROR(IF(SUM(F11)=0,"NA",R11/F11),"NA")</f>
        <v>NA</v>
      </c>
      <c r="M11" s="3590">
        <f t="shared" ref="M11" si="11">M12</f>
        <v>33.473470596891076</v>
      </c>
      <c r="N11" s="3591" t="str">
        <f t="shared" ref="N11" si="12">N12</f>
        <v>IE</v>
      </c>
      <c r="O11" s="3592">
        <f t="shared" ref="O11" si="13">O12</f>
        <v>33.473470596891076</v>
      </c>
      <c r="P11" s="3591" t="str">
        <f t="shared" ref="P11" si="14">P12</f>
        <v>NA</v>
      </c>
      <c r="Q11" s="3593">
        <f t="shared" ref="Q11" si="15">Q12</f>
        <v>1084.8796235349985</v>
      </c>
      <c r="R11" s="3593" t="str">
        <f t="shared" ref="R11" si="16">R12</f>
        <v>IE</v>
      </c>
      <c r="S11" s="3594">
        <f t="shared" ref="S11" si="17">S12</f>
        <v>-4100.6280118169279</v>
      </c>
      <c r="U11" s="2258"/>
    </row>
    <row r="12" spans="2:21" ht="18" customHeight="1" x14ac:dyDescent="0.2">
      <c r="B12" s="501"/>
      <c r="C12" s="508" t="s">
        <v>278</v>
      </c>
      <c r="D12" s="3568">
        <f>IF(SUM(E12:F12)=0,E12,SUM(E12:F12))</f>
        <v>37678.514241785997</v>
      </c>
      <c r="E12" s="3569">
        <v>37678.514241785997</v>
      </c>
      <c r="F12" s="3554" t="s">
        <v>2153</v>
      </c>
      <c r="G12" s="3558">
        <f t="shared" si="5"/>
        <v>8.8839677653129246E-4</v>
      </c>
      <c r="H12" s="3078" t="str">
        <f t="shared" si="6"/>
        <v>NA</v>
      </c>
      <c r="I12" s="3078">
        <f t="shared" si="7"/>
        <v>8.8839677653129246E-4</v>
      </c>
      <c r="J12" s="3078" t="str">
        <f t="shared" si="8"/>
        <v>NA</v>
      </c>
      <c r="K12" s="3573">
        <f t="shared" si="9"/>
        <v>2.879305740595928E-2</v>
      </c>
      <c r="L12" s="3128" t="str">
        <f t="shared" si="10"/>
        <v>NA</v>
      </c>
      <c r="M12" s="2905">
        <v>33.473470596891076</v>
      </c>
      <c r="N12" s="2905" t="s">
        <v>2153</v>
      </c>
      <c r="O12" s="3109">
        <f>IF(SUM(M12:N12)=0,M12,SUM(M12:N12))</f>
        <v>33.473470596891076</v>
      </c>
      <c r="P12" s="2905" t="s">
        <v>2147</v>
      </c>
      <c r="Q12" s="2906">
        <v>1084.8796235349985</v>
      </c>
      <c r="R12" s="2906" t="s">
        <v>2153</v>
      </c>
      <c r="S12" s="3594">
        <f>IF(SUM(O12:R12)=0,Q12,SUM(O12:R12)*-44/12)</f>
        <v>-4100.6280118169279</v>
      </c>
      <c r="U12" s="2398"/>
    </row>
    <row r="13" spans="2:21" ht="18" customHeight="1" x14ac:dyDescent="0.2">
      <c r="B13" s="485" t="s">
        <v>1054</v>
      </c>
      <c r="C13" s="504"/>
      <c r="D13" s="3589">
        <f>IF(SUM(D14,D16,D18,D20,D22)=0,"IE",SUM(D14,D16,D18,D20,D22))</f>
        <v>2293.3659410278119</v>
      </c>
      <c r="E13" s="3591">
        <f t="shared" ref="E13:F13" si="18">IF(SUM(E14,E16,E18,E20,E22)=0,"IE",SUM(E14,E16,E18,E20,E22))</f>
        <v>2290.3659410278119</v>
      </c>
      <c r="F13" s="3595">
        <f t="shared" si="18"/>
        <v>3</v>
      </c>
      <c r="G13" s="3558">
        <f t="shared" si="5"/>
        <v>2.4988598188702679E-2</v>
      </c>
      <c r="H13" s="3078" t="str">
        <f t="shared" si="6"/>
        <v>NA</v>
      </c>
      <c r="I13" s="3078">
        <f t="shared" si="7"/>
        <v>2.4988598188702679E-2</v>
      </c>
      <c r="J13" s="3078">
        <f t="shared" si="8"/>
        <v>-2.7432604136348359E-2</v>
      </c>
      <c r="K13" s="3573">
        <f t="shared" si="9"/>
        <v>-0.12316930213235203</v>
      </c>
      <c r="L13" s="3128">
        <f t="shared" si="10"/>
        <v>-12.475</v>
      </c>
      <c r="M13" s="3590">
        <f>IF(SUM(M14,M16,M18,M20,M22)=0,"IE",SUM(M14,M16,M18,M20,M22))</f>
        <v>57.308</v>
      </c>
      <c r="N13" s="3591" t="str">
        <f t="shared" ref="N13" si="19">IF(SUM(N14,N16,N18,N20,N22)=0,"IE",SUM(N14,N16,N18,N20,N22))</f>
        <v>IE</v>
      </c>
      <c r="O13" s="3592">
        <f t="shared" ref="O13" si="20">IF(SUM(O14,O16,O18,O20,O22)=0,"IE",SUM(O14,O16,O18,O20,O22))</f>
        <v>57.308</v>
      </c>
      <c r="P13" s="3592">
        <f t="shared" ref="P13" si="21">IF(SUM(P14,P16,P18,P20,P22)=0,"IE",SUM(P14,P16,P18,P20,P22))</f>
        <v>-62.912999999999997</v>
      </c>
      <c r="Q13" s="3592">
        <f t="shared" ref="Q13" si="22">IF(SUM(Q14,Q16,Q18,Q20,Q22)=0,"IE",SUM(Q14,Q16,Q18,Q20,Q22))</f>
        <v>-282.10277458410332</v>
      </c>
      <c r="R13" s="3592">
        <f t="shared" ref="R13" si="23">IF(SUM(R14,R16,R18,R20,R22)=0,"IE",SUM(R14,R16,R18,R20,R22))</f>
        <v>-37.424999999999997</v>
      </c>
      <c r="S13" s="3594">
        <f t="shared" ref="S13" si="24">IF(SUM(S14,S16,S18,S20,S22)=0,"IE",SUM(S14,S16,S18,S20,S22))</f>
        <v>1192.1535068083788</v>
      </c>
      <c r="U13" s="503"/>
    </row>
    <row r="14" spans="2:21" ht="18" customHeight="1" x14ac:dyDescent="0.2">
      <c r="B14" s="487" t="s">
        <v>1055</v>
      </c>
      <c r="C14" s="504"/>
      <c r="D14" s="3589">
        <f>D15</f>
        <v>2280.7049999999999</v>
      </c>
      <c r="E14" s="3078">
        <f t="shared" ref="E14" si="25">E15</f>
        <v>2280.7049999999999</v>
      </c>
      <c r="F14" s="3078" t="str">
        <f t="shared" ref="F14" si="26">F15</f>
        <v>IE</v>
      </c>
      <c r="G14" s="3558">
        <f t="shared" si="5"/>
        <v>2.5127318088047336E-2</v>
      </c>
      <c r="H14" s="3078" t="str">
        <f t="shared" si="6"/>
        <v>NA</v>
      </c>
      <c r="I14" s="3078">
        <f t="shared" si="7"/>
        <v>2.5127318088047336E-2</v>
      </c>
      <c r="J14" s="3078">
        <f t="shared" si="8"/>
        <v>-2.7584891513808229E-2</v>
      </c>
      <c r="K14" s="3573">
        <f t="shared" si="9"/>
        <v>-0.11131601851181981</v>
      </c>
      <c r="L14" s="3128" t="str">
        <f t="shared" si="10"/>
        <v>NA</v>
      </c>
      <c r="M14" s="3590">
        <f t="shared" ref="M14" si="27">M15</f>
        <v>57.308</v>
      </c>
      <c r="N14" s="3591" t="str">
        <f t="shared" ref="N14" si="28">N15</f>
        <v>IE</v>
      </c>
      <c r="O14" s="3592">
        <f t="shared" ref="O14" si="29">O15</f>
        <v>57.308</v>
      </c>
      <c r="P14" s="3591">
        <f t="shared" ref="P14" si="30">P15</f>
        <v>-62.912999999999997</v>
      </c>
      <c r="Q14" s="3593">
        <f t="shared" ref="Q14" si="31">Q15</f>
        <v>-253.87899999999999</v>
      </c>
      <c r="R14" s="3593" t="str">
        <f t="shared" ref="R14" si="32">R15</f>
        <v>IE</v>
      </c>
      <c r="S14" s="3594">
        <f t="shared" ref="S14" si="33">S15</f>
        <v>951.4413333333332</v>
      </c>
      <c r="U14" s="503"/>
    </row>
    <row r="15" spans="2:21" ht="18" customHeight="1" x14ac:dyDescent="0.2">
      <c r="B15" s="501"/>
      <c r="C15" s="508" t="s">
        <v>278</v>
      </c>
      <c r="D15" s="3568">
        <f>IF(SUM(E15:F15)=0,E15,SUM(E15:F15))</f>
        <v>2280.7049999999999</v>
      </c>
      <c r="E15" s="3569">
        <v>2280.7049999999999</v>
      </c>
      <c r="F15" s="3554" t="s">
        <v>2153</v>
      </c>
      <c r="G15" s="3558">
        <f t="shared" si="5"/>
        <v>2.5127318088047336E-2</v>
      </c>
      <c r="H15" s="3078" t="str">
        <f t="shared" si="6"/>
        <v>NA</v>
      </c>
      <c r="I15" s="3078">
        <f t="shared" si="7"/>
        <v>2.5127318088047336E-2</v>
      </c>
      <c r="J15" s="3078">
        <f t="shared" si="8"/>
        <v>-2.7584891513808229E-2</v>
      </c>
      <c r="K15" s="3573">
        <f t="shared" si="9"/>
        <v>-0.11131601851181981</v>
      </c>
      <c r="L15" s="3128" t="str">
        <f t="shared" si="10"/>
        <v>NA</v>
      </c>
      <c r="M15" s="2905">
        <v>57.308</v>
      </c>
      <c r="N15" s="2905" t="s">
        <v>2153</v>
      </c>
      <c r="O15" s="3109">
        <f>IF(SUM(M15:N15)=0,M15,SUM(M15:N15))</f>
        <v>57.308</v>
      </c>
      <c r="P15" s="2905">
        <v>-62.912999999999997</v>
      </c>
      <c r="Q15" s="2906">
        <v>-253.87899999999999</v>
      </c>
      <c r="R15" s="2906" t="s">
        <v>2153</v>
      </c>
      <c r="S15" s="3594">
        <f>IF(SUM(O15:R15)=0,Q15,SUM(O15:R15)*-44/12)</f>
        <v>951.4413333333332</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520084.18692838162</v>
      </c>
      <c r="E10" s="3583">
        <f t="shared" ref="E10:F10" si="0">IF(SUM(E11,E15)=0,"IE",SUM(E11,E15))</f>
        <v>520083.18692838162</v>
      </c>
      <c r="F10" s="3584">
        <f t="shared" si="0"/>
        <v>1</v>
      </c>
      <c r="G10" s="3558">
        <f>IFERROR(IF(SUM($D10)=0,"NA",M10/$D10),"NA")</f>
        <v>5.9250071327870907E-3</v>
      </c>
      <c r="H10" s="3583">
        <f t="shared" ref="H10:J10" si="1">IFERROR(IF(SUM($D10)=0,"NA",N10/$D10),"NA")</f>
        <v>-1.6594127223355438E-2</v>
      </c>
      <c r="I10" s="3583">
        <f t="shared" si="1"/>
        <v>-1.0669120090568347E-2</v>
      </c>
      <c r="J10" s="3583">
        <f t="shared" si="1"/>
        <v>-2.2006331675977712E-3</v>
      </c>
      <c r="K10" s="3585">
        <f>IFERROR(IF(SUM(E10)=0,"NA",Q10/E10),"NA")</f>
        <v>-3.8964003070543563E-3</v>
      </c>
      <c r="L10" s="3584">
        <f>IFERROR(IF(SUM(F10)=0,"NA",R10/F10),"NA")</f>
        <v>-8.7249999999999996</v>
      </c>
      <c r="M10" s="3586">
        <f>IF(SUM(M11,M15)=0,"IE",SUM(M11,M15))</f>
        <v>3081.5025172004357</v>
      </c>
      <c r="N10" s="3583">
        <f t="shared" ref="N10:S10" si="2">IF(SUM(N11,N15)=0,"IE",SUM(N11,N15))</f>
        <v>-8630.3431647449361</v>
      </c>
      <c r="O10" s="3587">
        <f t="shared" si="2"/>
        <v>-5548.8406475444999</v>
      </c>
      <c r="P10" s="3583">
        <f t="shared" si="2"/>
        <v>-1144.5145116977158</v>
      </c>
      <c r="Q10" s="3585">
        <f t="shared" si="2"/>
        <v>-2026.4522892415544</v>
      </c>
      <c r="R10" s="3585">
        <f t="shared" si="2"/>
        <v>-8.7249999999999996</v>
      </c>
      <c r="S10" s="3588">
        <f t="shared" si="2"/>
        <v>32004.618977773825</v>
      </c>
      <c r="U10" s="2261"/>
    </row>
    <row r="11" spans="2:21" ht="18" customHeight="1" x14ac:dyDescent="0.2">
      <c r="B11" s="493" t="s">
        <v>988</v>
      </c>
      <c r="C11" s="483"/>
      <c r="D11" s="3599">
        <f>IF(SUM(D12:D14)=0,"IE",SUM(D12:D14))</f>
        <v>506549.56106318202</v>
      </c>
      <c r="E11" s="3564">
        <f t="shared" ref="E11:F11" si="3">IF(SUM(E12:E14)=0,"IE",SUM(E12:E14))</f>
        <v>506549.56106318202</v>
      </c>
      <c r="F11" s="3565" t="str">
        <f t="shared" si="3"/>
        <v>IE</v>
      </c>
      <c r="G11" s="3599">
        <f t="shared" ref="G11:G26" si="4">IFERROR(IF(SUM($D11)=0,"NA",M11/$D11),"NA")</f>
        <v>6.053629231295969E-3</v>
      </c>
      <c r="H11" s="3109" t="str">
        <f t="shared" ref="H11:H26" si="5">IFERROR(IF(SUM($D11)=0,"NA",N11/$D11),"NA")</f>
        <v>NA</v>
      </c>
      <c r="I11" s="3109">
        <f t="shared" ref="I11:I26" si="6">IFERROR(IF(SUM($D11)=0,"NA",O11/$D11),"NA")</f>
        <v>6.053629231295969E-3</v>
      </c>
      <c r="J11" s="3109">
        <f t="shared" ref="J11:J26" si="7">IFERROR(IF(SUM($D11)=0,"NA",P11/$D11),"NA")</f>
        <v>3.0982542733645378E-4</v>
      </c>
      <c r="K11" s="3566">
        <f t="shared" ref="K11:K26" si="8">IFERROR(IF(SUM(E11)=0,"NA",Q11/E11),"NA")</f>
        <v>-6.9881448097189704E-4</v>
      </c>
      <c r="L11" s="3249" t="str">
        <f t="shared" ref="L11:L26" si="9">IFERROR(IF(SUM(F11)=0,"NA",R11/F11),"NA")</f>
        <v>NA</v>
      </c>
      <c r="M11" s="3109">
        <f>IF(SUM(M12:M14)=0,"IE",SUM(M12:M14))</f>
        <v>3066.4632299522209</v>
      </c>
      <c r="N11" s="3109" t="str">
        <f t="shared" ref="N11:O11" si="10">IF(SUM(N12:N14)=0,"IE",SUM(N12:N14))</f>
        <v>IE</v>
      </c>
      <c r="O11" s="3109">
        <f t="shared" si="10"/>
        <v>3066.4632299522209</v>
      </c>
      <c r="P11" s="3109">
        <f t="shared" ref="P11" si="11">IF(SUM(P12:P14)=0,"IE",SUM(P12:P14))</f>
        <v>156.94193422349346</v>
      </c>
      <c r="Q11" s="3566">
        <f t="shared" ref="Q11" si="12">IF(SUM(Q12:Q14)=0,"IE",SUM(Q12:Q14))</f>
        <v>-353.98416860090981</v>
      </c>
      <c r="R11" s="3566" t="str">
        <f t="shared" ref="R11" si="13">IF(SUM(R12:R14)=0,"IE",SUM(R12:R14))</f>
        <v>IE</v>
      </c>
      <c r="S11" s="3567">
        <f t="shared" ref="S11" si="14">IF(SUM(S12:S14)=0,"IE",SUM(S12:S14))</f>
        <v>-10521.210317107618</v>
      </c>
      <c r="U11" s="2397"/>
    </row>
    <row r="12" spans="2:21" ht="18" customHeight="1" x14ac:dyDescent="0.2">
      <c r="B12" s="499"/>
      <c r="C12" s="484" t="s">
        <v>2226</v>
      </c>
      <c r="D12" s="3600">
        <f>IF(SUM(E12:F12)=0,E12,SUM(E12:F12))</f>
        <v>70456.100045431274</v>
      </c>
      <c r="E12" s="3569">
        <v>70456.100045431274</v>
      </c>
      <c r="F12" s="3554" t="s">
        <v>2153</v>
      </c>
      <c r="G12" s="3558">
        <f t="shared" si="4"/>
        <v>9.1179629421925899E-3</v>
      </c>
      <c r="H12" s="3078" t="str">
        <f t="shared" si="5"/>
        <v>NA</v>
      </c>
      <c r="I12" s="3078">
        <f t="shared" si="6"/>
        <v>9.1179629421925899E-3</v>
      </c>
      <c r="J12" s="3078">
        <f t="shared" si="7"/>
        <v>1.8235925884385194E-3</v>
      </c>
      <c r="K12" s="3573">
        <f t="shared" si="8"/>
        <v>7.2943703537540778E-3</v>
      </c>
      <c r="L12" s="3128" t="str">
        <f t="shared" si="9"/>
        <v>NA</v>
      </c>
      <c r="M12" s="2905">
        <v>642.41610926565602</v>
      </c>
      <c r="N12" s="2905" t="s">
        <v>2153</v>
      </c>
      <c r="O12" s="3109">
        <f>IF(SUM(M12:N12)=0,M12,SUM(M12:N12))</f>
        <v>642.41610926565602</v>
      </c>
      <c r="P12" s="2905">
        <v>128.48322185313131</v>
      </c>
      <c r="Q12" s="2906">
        <v>513.93288741252525</v>
      </c>
      <c r="R12" s="2906" t="s">
        <v>2153</v>
      </c>
      <c r="S12" s="3570">
        <f>IF(SUM(O12:R12)=0,Q12,SUM(O12:R12)*-44/12)</f>
        <v>-4711.0514679481466</v>
      </c>
      <c r="U12" s="2398"/>
    </row>
    <row r="13" spans="2:21" ht="18" customHeight="1" x14ac:dyDescent="0.2">
      <c r="B13" s="499"/>
      <c r="C13" s="484" t="s">
        <v>2227</v>
      </c>
      <c r="D13" s="3600">
        <f>IF(SUM(E13:F13)=0,E13,SUM(E13:F13))</f>
        <v>436093.46101775073</v>
      </c>
      <c r="E13" s="3569">
        <v>436093.46101775073</v>
      </c>
      <c r="F13" s="3554" t="s">
        <v>2153</v>
      </c>
      <c r="G13" s="3558" t="str">
        <f t="shared" si="4"/>
        <v>NA</v>
      </c>
      <c r="H13" s="3078" t="str">
        <f t="shared" si="5"/>
        <v>NA</v>
      </c>
      <c r="I13" s="3078" t="str">
        <f t="shared" si="6"/>
        <v>NA</v>
      </c>
      <c r="J13" s="3078" t="str">
        <f t="shared" si="7"/>
        <v>NA</v>
      </c>
      <c r="K13" s="3573">
        <f t="shared" si="8"/>
        <v>-1.9902088281440831E-3</v>
      </c>
      <c r="L13" s="3128" t="str">
        <f t="shared" si="9"/>
        <v>NA</v>
      </c>
      <c r="M13" s="2905" t="s">
        <v>2147</v>
      </c>
      <c r="N13" s="2905" t="s">
        <v>2147</v>
      </c>
      <c r="O13" s="3109" t="str">
        <f>IF(SUM(M13:N13)=0,M13,SUM(M13:N13))</f>
        <v>NA</v>
      </c>
      <c r="P13" s="2905" t="s">
        <v>2147</v>
      </c>
      <c r="Q13" s="2906">
        <v>-867.91705601343506</v>
      </c>
      <c r="R13" s="2906" t="s">
        <v>2153</v>
      </c>
      <c r="S13" s="3570">
        <f>IF(SUM(O13:R13)=0,Q13,SUM(O13:R13)*-44/12)</f>
        <v>3182.3625387159286</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v>2424.047120686565</v>
      </c>
      <c r="N14" s="2905" t="s">
        <v>2153</v>
      </c>
      <c r="O14" s="3109">
        <f>IF(SUM(M14:N14)=0,M14,SUM(M14:N14))</f>
        <v>2424.047120686565</v>
      </c>
      <c r="P14" s="2905">
        <v>28.458712370362157</v>
      </c>
      <c r="Q14" s="2906" t="s">
        <v>2147</v>
      </c>
      <c r="R14" s="2906" t="s">
        <v>2147</v>
      </c>
      <c r="S14" s="3570">
        <f>IF(SUM(O14:R14)=0,Q14,SUM(O14:R14)*-44/12)</f>
        <v>-8992.5213878754003</v>
      </c>
      <c r="U14" s="2398"/>
    </row>
    <row r="15" spans="2:21" ht="18" customHeight="1" x14ac:dyDescent="0.2">
      <c r="B15" s="485" t="s">
        <v>1066</v>
      </c>
      <c r="C15" s="486"/>
      <c r="D15" s="3589">
        <f>IF(SUM(D16,D19,D21,D23,D25)=0,"IE",SUM(D16,D19,D21,D23,D25))</f>
        <v>13534.625865199596</v>
      </c>
      <c r="E15" s="3591">
        <f t="shared" ref="E15:F15" si="15">IF(SUM(E16,E19,E21,E23,E25)=0,"IE",SUM(E16,E19,E21,E23,E25))</f>
        <v>13533.625865199596</v>
      </c>
      <c r="F15" s="3595">
        <f t="shared" si="15"/>
        <v>1</v>
      </c>
      <c r="G15" s="3558">
        <f t="shared" si="4"/>
        <v>1.1111712579277143E-3</v>
      </c>
      <c r="H15" s="3078">
        <f t="shared" si="5"/>
        <v>-0.63764918592507125</v>
      </c>
      <c r="I15" s="3078">
        <f t="shared" si="6"/>
        <v>-0.63653801466714355</v>
      </c>
      <c r="J15" s="3078">
        <f t="shared" si="7"/>
        <v>-9.6157548711230417E-2</v>
      </c>
      <c r="K15" s="3573">
        <f t="shared" si="8"/>
        <v>-0.12357871698974876</v>
      </c>
      <c r="L15" s="3128">
        <f t="shared" si="9"/>
        <v>-8.7249999999999996</v>
      </c>
      <c r="M15" s="3590">
        <f>IF(SUM(M16,M19,M21,M23,M25)=0,"IE",SUM(M16,M19,M21,M23,M25))</f>
        <v>15.039287248214814</v>
      </c>
      <c r="N15" s="3591">
        <f t="shared" ref="N15:S15" si="16">IF(SUM(N16,N19,N21,N23,N25)=0,"IE",SUM(N16,N19,N21,N23,N25))</f>
        <v>-8630.3431647449361</v>
      </c>
      <c r="O15" s="3592">
        <f t="shared" si="16"/>
        <v>-8615.3038774967208</v>
      </c>
      <c r="P15" s="3592">
        <f t="shared" si="16"/>
        <v>-1301.4564459212093</v>
      </c>
      <c r="Q15" s="3592">
        <f t="shared" si="16"/>
        <v>-1672.4681206406447</v>
      </c>
      <c r="R15" s="3592">
        <f t="shared" si="16"/>
        <v>-8.7249999999999996</v>
      </c>
      <c r="S15" s="3594">
        <f t="shared" si="16"/>
        <v>42525.829294881441</v>
      </c>
      <c r="U15" s="2019"/>
    </row>
    <row r="16" spans="2:21" ht="18" customHeight="1" x14ac:dyDescent="0.2">
      <c r="B16" s="500" t="s">
        <v>1067</v>
      </c>
      <c r="C16" s="486"/>
      <c r="D16" s="3599">
        <f>IF(SUM(D17:D18)=0,"IE",SUM(D17:D18))</f>
        <v>13485.748432663049</v>
      </c>
      <c r="E16" s="3564">
        <f t="shared" ref="E16:F16" si="17">IF(SUM(E17:E18)=0,"IE",SUM(E17:E18))</f>
        <v>13485.748432663049</v>
      </c>
      <c r="F16" s="3565" t="str">
        <f t="shared" si="17"/>
        <v>IE</v>
      </c>
      <c r="G16" s="3558">
        <f t="shared" si="4"/>
        <v>1.1151985611557924E-3</v>
      </c>
      <c r="H16" s="3078">
        <f t="shared" si="5"/>
        <v>-0.63996026678370199</v>
      </c>
      <c r="I16" s="3078">
        <f t="shared" si="6"/>
        <v>-0.63884506822254616</v>
      </c>
      <c r="J16" s="3078">
        <f t="shared" si="7"/>
        <v>-9.6506059891272117E-2</v>
      </c>
      <c r="K16" s="3573">
        <f t="shared" si="8"/>
        <v>-0.11523827034001452</v>
      </c>
      <c r="L16" s="3128" t="str">
        <f t="shared" si="9"/>
        <v>NA</v>
      </c>
      <c r="M16" s="3506">
        <f>IF(SUM(M17:M18)=0,"IE",SUM(M17:M18))</f>
        <v>15.039287248214814</v>
      </c>
      <c r="N16" s="3506">
        <f t="shared" ref="N16:O16" si="18">IF(SUM(N17:N18)=0,"IE",SUM(N17:N18))</f>
        <v>-8630.3431647449361</v>
      </c>
      <c r="O16" s="3506">
        <f t="shared" si="18"/>
        <v>-8615.3038774967208</v>
      </c>
      <c r="P16" s="3506">
        <f t="shared" ref="P16" si="19">IF(SUM(P17:P18)=0,"IE",SUM(P17:P18))</f>
        <v>-1301.4564459212093</v>
      </c>
      <c r="Q16" s="3601">
        <f t="shared" ref="Q16" si="20">IF(SUM(Q17:Q18)=0,"IE",SUM(Q17:Q18))</f>
        <v>-1554.0743236206515</v>
      </c>
      <c r="R16" s="3601" t="str">
        <f t="shared" ref="R16" si="21">IF(SUM(R17:R18)=0,"IE",SUM(R17:R18))</f>
        <v>IE</v>
      </c>
      <c r="S16" s="3287">
        <f t="shared" ref="S16" si="22">IF(SUM(S17:S18)=0,"IE",SUM(S17:S18))</f>
        <v>42059.727039141464</v>
      </c>
      <c r="U16" s="2400"/>
    </row>
    <row r="17" spans="2:21" ht="18" customHeight="1" x14ac:dyDescent="0.2">
      <c r="B17" s="500"/>
      <c r="C17" s="484" t="s">
        <v>2228</v>
      </c>
      <c r="D17" s="3600">
        <f>IF(SUM(E17:F17)=0,E17,SUM(E17:F17))</f>
        <v>13485.748432663049</v>
      </c>
      <c r="E17" s="3569">
        <v>13485.748432663049</v>
      </c>
      <c r="F17" s="3554" t="s">
        <v>2153</v>
      </c>
      <c r="G17" s="3558" t="str">
        <f t="shared" si="4"/>
        <v>NA</v>
      </c>
      <c r="H17" s="3078">
        <f t="shared" si="5"/>
        <v>-0.63996026678370199</v>
      </c>
      <c r="I17" s="3078">
        <f t="shared" si="6"/>
        <v>-0.63996026678370199</v>
      </c>
      <c r="J17" s="3078">
        <f t="shared" si="7"/>
        <v>-9.6582019832032462E-2</v>
      </c>
      <c r="K17" s="3573">
        <f t="shared" si="8"/>
        <v>-0.11523827034001452</v>
      </c>
      <c r="L17" s="3128" t="str">
        <f t="shared" si="9"/>
        <v>NA</v>
      </c>
      <c r="M17" s="2905" t="s">
        <v>2153</v>
      </c>
      <c r="N17" s="2905">
        <v>-8630.3431647449361</v>
      </c>
      <c r="O17" s="3109">
        <f>IF(SUM(M17:N17)=0,M17,SUM(M17:N17))</f>
        <v>-8630.3431647449361</v>
      </c>
      <c r="P17" s="2905">
        <v>-1302.4808225732634</v>
      </c>
      <c r="Q17" s="2906">
        <v>-1554.0743236206515</v>
      </c>
      <c r="R17" s="2906" t="s">
        <v>2153</v>
      </c>
      <c r="S17" s="3570">
        <f>IF(SUM(O17:R17)=0,Q17,SUM(O17:R17)*-44/12)</f>
        <v>42118.627140109114</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v>15.039287248214814</v>
      </c>
      <c r="N18" s="2905" t="s">
        <v>2153</v>
      </c>
      <c r="O18" s="3109">
        <f>IF(SUM(M18:N18)=0,M18,SUM(M18:N18))</f>
        <v>15.039287248214814</v>
      </c>
      <c r="P18" s="2905">
        <v>1.0243766520540263</v>
      </c>
      <c r="Q18" s="2906" t="s">
        <v>2147</v>
      </c>
      <c r="R18" s="2906" t="s">
        <v>2147</v>
      </c>
      <c r="S18" s="3570">
        <f>IF(SUM(O18:R18)=0,Q18,SUM(O18:R18)*-44/12)</f>
        <v>-58.900100967652406</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13132.138429954002</v>
      </c>
      <c r="E10" s="3583">
        <f>IF(SUM(E11,E23)=0,"IE",SUM(E11,E23))</f>
        <v>13102.693131440799</v>
      </c>
      <c r="F10" s="3584">
        <f>IF(SUM(F11,F23)=0,"IE",SUM(F11,F23))</f>
        <v>29.445298513202204</v>
      </c>
      <c r="G10" s="3608">
        <f>IFERROR(IF(SUM($D10)=0,"NA",M10/$D10),"NA")</f>
        <v>1.9022652296320618E-2</v>
      </c>
      <c r="H10" s="3609">
        <f t="shared" ref="H10:J10" si="0">IFERROR(IF(SUM($D10)=0,"NA",N10/$D10),"NA")</f>
        <v>-2.431307456457415E-3</v>
      </c>
      <c r="I10" s="3610">
        <f t="shared" si="0"/>
        <v>1.6591344839863201E-2</v>
      </c>
      <c r="J10" s="3609">
        <f t="shared" si="0"/>
        <v>-3.5459744178621775E-4</v>
      </c>
      <c r="K10" s="3609">
        <f>IFERROR(IF(SUM(E10)=0,"NA",Q10/E10),"NA")</f>
        <v>-1.917667811885903E-3</v>
      </c>
      <c r="L10" s="3611" t="str">
        <f>IFERROR(IF(SUM(F10)=0,"NA",R10/F10),"NA")</f>
        <v>NA</v>
      </c>
      <c r="M10" s="3610">
        <f t="shared" ref="M10:S10" si="1">IF(SUM(M11,M23)=0,"IE",SUM(M11,M23))</f>
        <v>249.80810326016473</v>
      </c>
      <c r="N10" s="3609">
        <f t="shared" si="1"/>
        <v>-31.928266083978137</v>
      </c>
      <c r="O10" s="3610">
        <f t="shared" si="1"/>
        <v>217.87983717618658</v>
      </c>
      <c r="P10" s="3609">
        <f t="shared" si="1"/>
        <v>-4.6566226924441674</v>
      </c>
      <c r="Q10" s="3612">
        <f t="shared" si="1"/>
        <v>-25.126612867182526</v>
      </c>
      <c r="R10" s="3612" t="str">
        <f t="shared" si="1"/>
        <v>IE</v>
      </c>
      <c r="S10" s="3588">
        <f t="shared" si="1"/>
        <v>-689.68753926071963</v>
      </c>
      <c r="U10" s="2401"/>
    </row>
    <row r="11" spans="1:23" ht="18" customHeight="1" x14ac:dyDescent="0.2">
      <c r="B11" s="501" t="s">
        <v>990</v>
      </c>
      <c r="C11" s="483"/>
      <c r="D11" s="3613">
        <f>IF(SUM(D12,D14,D17)=0,"IE",SUM(D12,D14,D17))</f>
        <v>13087.304429954002</v>
      </c>
      <c r="E11" s="3614">
        <f t="shared" ref="E11:S11" si="2">IF(SUM(E12,E14,E17)=0,"IE",SUM(E12,E14,E17))</f>
        <v>13057.859131440799</v>
      </c>
      <c r="F11" s="3615">
        <f t="shared" si="2"/>
        <v>29.445298513202204</v>
      </c>
      <c r="G11" s="3616">
        <f t="shared" ref="G11:G56" si="3">IFERROR(IF(SUM($D11)=0,"NA",M11/$D11),"NA")</f>
        <v>1.9087819389943139E-2</v>
      </c>
      <c r="H11" s="3617">
        <f t="shared" ref="H11:H56" si="4">IFERROR(IF(SUM($D11)=0,"NA",N11/$D11),"NA")</f>
        <v>-2.3999033759840895E-3</v>
      </c>
      <c r="I11" s="3618">
        <f t="shared" ref="I11:I56" si="5">IFERROR(IF(SUM($D11)=0,"NA",O11/$D11),"NA")</f>
        <v>1.668791601395905E-2</v>
      </c>
      <c r="J11" s="3617">
        <f t="shared" ref="J11:J56" si="6">IFERROR(IF(SUM($D11)=0,"NA",P11/$D11),"NA")</f>
        <v>-3.5581220849315373E-4</v>
      </c>
      <c r="K11" s="3617">
        <f t="shared" ref="K11:K56" si="7">IFERROR(IF(SUM(E11)=0,"NA",Q11/E11),"NA")</f>
        <v>-1.9242521009192467E-3</v>
      </c>
      <c r="L11" s="3619" t="str">
        <f t="shared" ref="L11:L56" si="8">IFERROR(IF(SUM(F11)=0,"NA",R11/F11),"NA")</f>
        <v>NA</v>
      </c>
      <c r="M11" s="3618">
        <f t="shared" si="2"/>
        <v>249.80810326016473</v>
      </c>
      <c r="N11" s="3617">
        <f t="shared" si="2"/>
        <v>-31.408266083978138</v>
      </c>
      <c r="O11" s="3618">
        <f t="shared" si="2"/>
        <v>218.39983717618659</v>
      </c>
      <c r="P11" s="3617">
        <f t="shared" si="2"/>
        <v>-4.6566226924441674</v>
      </c>
      <c r="Q11" s="3620">
        <f t="shared" si="2"/>
        <v>-25.126612867182526</v>
      </c>
      <c r="R11" s="3620" t="str">
        <f t="shared" si="2"/>
        <v>IE</v>
      </c>
      <c r="S11" s="3621">
        <f t="shared" si="2"/>
        <v>-691.59420592738627</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881.38879347714055</v>
      </c>
      <c r="E14" s="3564">
        <f>IF(SUM(E15:E16)=0,"IE",SUM(E15:E16))</f>
        <v>881.38879347714055</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548.59870000000012</v>
      </c>
      <c r="E15" s="3569">
        <v>548.59870000000012</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12205.915636476861</v>
      </c>
      <c r="E17" s="3564">
        <f>IF(SUM(E18:E21)=0,"IE",SUM(E18:E21))</f>
        <v>12176.470337963658</v>
      </c>
      <c r="F17" s="3565">
        <f>IF(SUM(F18:F21)=0,"IE",SUM(F18:F21))</f>
        <v>29.445298513202204</v>
      </c>
      <c r="G17" s="3622">
        <f t="shared" si="3"/>
        <v>2.0466150242233676E-2</v>
      </c>
      <c r="H17" s="3591">
        <f t="shared" si="4"/>
        <v>-2.5732003251043179E-3</v>
      </c>
      <c r="I17" s="3623">
        <f t="shared" si="5"/>
        <v>1.789294991712936E-2</v>
      </c>
      <c r="J17" s="3591">
        <f t="shared" si="6"/>
        <v>-3.815053971475969E-4</v>
      </c>
      <c r="K17" s="3591">
        <f t="shared" si="7"/>
        <v>-2.063538297206134E-3</v>
      </c>
      <c r="L17" s="3595" t="str">
        <f t="shared" si="8"/>
        <v>NA</v>
      </c>
      <c r="M17" s="3564">
        <f t="shared" ref="M17:S17" si="16">IF(SUM(M18:M21)=0,"IE",SUM(M18:M21))</f>
        <v>249.80810326016473</v>
      </c>
      <c r="N17" s="3617">
        <f t="shared" si="16"/>
        <v>-31.408266083978138</v>
      </c>
      <c r="O17" s="3618">
        <f t="shared" si="16"/>
        <v>218.39983717618659</v>
      </c>
      <c r="P17" s="3617">
        <f t="shared" si="16"/>
        <v>-4.6566226924441674</v>
      </c>
      <c r="Q17" s="3620">
        <f t="shared" si="16"/>
        <v>-25.126612867182526</v>
      </c>
      <c r="R17" s="3620" t="str">
        <f t="shared" si="16"/>
        <v>IE</v>
      </c>
      <c r="S17" s="3634">
        <f t="shared" si="16"/>
        <v>-691.59420592738627</v>
      </c>
      <c r="U17" s="2402"/>
    </row>
    <row r="18" spans="1:23" ht="18" customHeight="1" x14ac:dyDescent="0.2">
      <c r="A18" s="2502"/>
      <c r="B18" s="2682"/>
      <c r="C18" s="2503" t="s">
        <v>2231</v>
      </c>
      <c r="D18" s="3600">
        <f>IF(SUM(E18:F18)=0,E18,SUM(E18:F18))</f>
        <v>1716.6986404464249</v>
      </c>
      <c r="E18" s="3569">
        <v>1716.6986404464249</v>
      </c>
      <c r="F18" s="3635" t="s">
        <v>2153</v>
      </c>
      <c r="G18" s="3630" t="str">
        <f t="shared" si="3"/>
        <v>NA</v>
      </c>
      <c r="H18" s="3631">
        <f t="shared" si="4"/>
        <v>-1.8295736563180634E-2</v>
      </c>
      <c r="I18" s="3632">
        <f t="shared" si="5"/>
        <v>-1.8295736563180634E-2</v>
      </c>
      <c r="J18" s="3631">
        <f t="shared" si="6"/>
        <v>-3.659147312636129E-3</v>
      </c>
      <c r="K18" s="3631">
        <f t="shared" si="7"/>
        <v>-1.4636589250544516E-2</v>
      </c>
      <c r="L18" s="3633" t="str">
        <f t="shared" si="8"/>
        <v>NA</v>
      </c>
      <c r="M18" s="3624" t="s">
        <v>2153</v>
      </c>
      <c r="N18" s="3625">
        <v>-31.408266083978138</v>
      </c>
      <c r="O18" s="3109">
        <f>IF(SUM(M18:N18)=0,M18,SUM(M18:N18))</f>
        <v>-31.408266083978138</v>
      </c>
      <c r="P18" s="3625">
        <v>-6.2816532167956316</v>
      </c>
      <c r="Q18" s="3626">
        <v>-25.126612867182526</v>
      </c>
      <c r="R18" s="3636" t="s">
        <v>2153</v>
      </c>
      <c r="S18" s="3570">
        <f>IF(SUM(O18:R18)=0,Q18,SUM(O18:R18)*-44/12)</f>
        <v>230.32728461583974</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v>249.80810326016473</v>
      </c>
      <c r="N19" s="3625" t="s">
        <v>2153</v>
      </c>
      <c r="O19" s="3109">
        <f t="shared" ref="O19:O22" si="18">IF(SUM(M19:N19)=0,M19,SUM(M19:N19))</f>
        <v>249.80810326016473</v>
      </c>
      <c r="P19" s="3625">
        <v>1.6250305243514642</v>
      </c>
      <c r="Q19" s="3628" t="s">
        <v>2147</v>
      </c>
      <c r="R19" s="3627" t="s">
        <v>2147</v>
      </c>
      <c r="S19" s="3570">
        <f t="shared" ref="S19:S22" si="19">IF(SUM(O19:R19)=0,Q19,SUM(O19:R19)*-44/12)</f>
        <v>-921.92149054322601</v>
      </c>
      <c r="T19" s="2502"/>
      <c r="U19" s="2684"/>
      <c r="V19" s="2502"/>
      <c r="W19" s="2502"/>
    </row>
    <row r="20" spans="1:23" ht="18" customHeight="1" x14ac:dyDescent="0.2">
      <c r="A20" s="2502"/>
      <c r="B20" s="2682"/>
      <c r="C20" s="2683" t="s">
        <v>2234</v>
      </c>
      <c r="D20" s="3600">
        <f t="shared" si="17"/>
        <v>10459.771697517233</v>
      </c>
      <c r="E20" s="3607">
        <v>10459.771697517233</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29.445298513202204</v>
      </c>
      <c r="E21" s="3564" t="str">
        <f t="shared" ref="E21:F21" si="20">E22</f>
        <v>IE</v>
      </c>
      <c r="F21" s="3565">
        <f t="shared" si="20"/>
        <v>29.445298513202204</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29.445298513202204</v>
      </c>
      <c r="E22" s="3569" t="s">
        <v>2153</v>
      </c>
      <c r="F22" s="3554">
        <v>29.445298513202204</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44.834000000000003</v>
      </c>
      <c r="E23" s="3591">
        <f t="shared" ref="E23:F23" si="22">IF(SUM(E24,E35,E46)=0,"IE",SUM(E24,E35,E46))</f>
        <v>44.834000000000003</v>
      </c>
      <c r="F23" s="3595" t="str">
        <f t="shared" si="22"/>
        <v>IE</v>
      </c>
      <c r="G23" s="3622" t="str">
        <f t="shared" si="3"/>
        <v>NA</v>
      </c>
      <c r="H23" s="3591">
        <f t="shared" si="4"/>
        <v>-1.1598340545122005E-2</v>
      </c>
      <c r="I23" s="3623">
        <f t="shared" si="5"/>
        <v>-1.1598340545122005E-2</v>
      </c>
      <c r="J23" s="3591" t="str">
        <f t="shared" si="6"/>
        <v>NA</v>
      </c>
      <c r="K23" s="3591" t="str">
        <f t="shared" si="7"/>
        <v>NA</v>
      </c>
      <c r="L23" s="3595" t="str">
        <f t="shared" si="8"/>
        <v>NA</v>
      </c>
      <c r="M23" s="3591" t="str">
        <f t="shared" ref="M23" si="23">IF(SUM(M24,M35,M46)=0,"IE",SUM(M24,M35,M46))</f>
        <v>IE</v>
      </c>
      <c r="N23" s="3591">
        <f t="shared" ref="N23" si="24">IF(SUM(N24,N35,N46)=0,"IE",SUM(N24,N35,N46))</f>
        <v>-0.52</v>
      </c>
      <c r="O23" s="3623">
        <f t="shared" ref="O23" si="25">IF(SUM(O24,O35,O46)=0,"IE",SUM(O24,O35,O46))</f>
        <v>-0.52</v>
      </c>
      <c r="P23" s="3591" t="str">
        <f>IF(SUM(P24,P35,P46)=0,"NO",SUM(P24,P35,P46))</f>
        <v>NO</v>
      </c>
      <c r="Q23" s="3590" t="str">
        <f>IF(SUM(Q24,Q35,Q46)=0,"NO",SUM(Q24,Q35,Q46))</f>
        <v>NO</v>
      </c>
      <c r="R23" s="3590" t="str">
        <f>IF(SUM(R24,R35,R46)=0,"NO",SUM(R24,R35,R46))</f>
        <v>NO</v>
      </c>
      <c r="S23" s="3594">
        <f t="shared" ref="S23" si="26">IF(SUM(S24,S35,S46)=0,"IE",SUM(S24,S35,S46))</f>
        <v>1.906666666666667</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44.834000000000003</v>
      </c>
      <c r="E35" s="3591">
        <f>IF(SUM(E36,E38,E40,E42,E44)=0,"IE",SUM(E36,E38,E40,E42,E44))</f>
        <v>44.834000000000003</v>
      </c>
      <c r="F35" s="3595" t="str">
        <f>IF(SUM(F36,F38,F40,F42,F44)=0,"IE",SUM(F36,F38,F40,F42,F44))</f>
        <v>IE</v>
      </c>
      <c r="G35" s="3622" t="str">
        <f t="shared" si="3"/>
        <v>NA</v>
      </c>
      <c r="H35" s="3591">
        <f t="shared" si="4"/>
        <v>-1.1598340545122005E-2</v>
      </c>
      <c r="I35" s="3623">
        <f t="shared" si="5"/>
        <v>-1.1598340545122005E-2</v>
      </c>
      <c r="J35" s="3591" t="str">
        <f t="shared" si="6"/>
        <v>NA</v>
      </c>
      <c r="K35" s="3591" t="str">
        <f t="shared" si="7"/>
        <v>NA</v>
      </c>
      <c r="L35" s="3595" t="str">
        <f t="shared" si="8"/>
        <v>NA</v>
      </c>
      <c r="M35" s="3591" t="str">
        <f t="shared" ref="M35:S35" si="48">IF(SUM(M36,M38,M40,M42,M44)=0,"IE",SUM(M36,M38,M40,M42,M44))</f>
        <v>IE</v>
      </c>
      <c r="N35" s="3591">
        <f t="shared" si="48"/>
        <v>-0.52</v>
      </c>
      <c r="O35" s="3623">
        <f t="shared" si="48"/>
        <v>-0.52</v>
      </c>
      <c r="P35" s="3591" t="str">
        <f>IF(SUM(P36,P38,P40,P42,P44)=0,"NO",SUM(P36,P38,P40,P42,P44))</f>
        <v>NO</v>
      </c>
      <c r="Q35" s="3590" t="str">
        <f>IF(SUM(Q36,Q38,Q40,Q42,Q44)=0,"NO",SUM(Q36,Q38,Q40,Q42,Q44))</f>
        <v>NO</v>
      </c>
      <c r="R35" s="3590" t="str">
        <f>IF(SUM(R36,R38,R40,R42,R44)=0,"NO",SUM(R36,R38,R40,R42,R44))</f>
        <v>NO</v>
      </c>
      <c r="S35" s="3594">
        <f t="shared" si="48"/>
        <v>1.906666666666667</v>
      </c>
      <c r="U35" s="503"/>
    </row>
    <row r="36" spans="2:21" ht="18" customHeight="1" x14ac:dyDescent="0.2">
      <c r="B36" s="505" t="s">
        <v>1087</v>
      </c>
      <c r="C36" s="486"/>
      <c r="D36" s="3600">
        <f>D37</f>
        <v>44.834000000000003</v>
      </c>
      <c r="E36" s="3564">
        <f t="shared" ref="E36:F36" si="49">E37</f>
        <v>44.834000000000003</v>
      </c>
      <c r="F36" s="3565" t="str">
        <f t="shared" si="49"/>
        <v>IE</v>
      </c>
      <c r="G36" s="3558" t="str">
        <f t="shared" si="3"/>
        <v>NA</v>
      </c>
      <c r="H36" s="3078">
        <f t="shared" si="4"/>
        <v>-1.1598340545122005E-2</v>
      </c>
      <c r="I36" s="3078">
        <f t="shared" si="5"/>
        <v>-1.1598340545122005E-2</v>
      </c>
      <c r="J36" s="3078" t="str">
        <f t="shared" si="6"/>
        <v>NA</v>
      </c>
      <c r="K36" s="3573" t="str">
        <f t="shared" si="7"/>
        <v>NA</v>
      </c>
      <c r="L36" s="3128" t="str">
        <f t="shared" si="8"/>
        <v>NA</v>
      </c>
      <c r="M36" s="3505" t="str">
        <f t="shared" ref="M36:S36" si="50">M37</f>
        <v>IE</v>
      </c>
      <c r="N36" s="3506">
        <f t="shared" si="50"/>
        <v>-0.52</v>
      </c>
      <c r="O36" s="3506">
        <f t="shared" si="50"/>
        <v>-0.52</v>
      </c>
      <c r="P36" s="3506" t="str">
        <f t="shared" si="50"/>
        <v>NA</v>
      </c>
      <c r="Q36" s="3601" t="str">
        <f t="shared" si="50"/>
        <v>NA</v>
      </c>
      <c r="R36" s="3601" t="str">
        <f t="shared" si="50"/>
        <v>NA</v>
      </c>
      <c r="S36" s="3287">
        <f t="shared" si="50"/>
        <v>1.906666666666667</v>
      </c>
      <c r="U36" s="2402"/>
    </row>
    <row r="37" spans="2:21" ht="18" customHeight="1" x14ac:dyDescent="0.2">
      <c r="B37" s="1479"/>
      <c r="C37" s="885" t="s">
        <v>278</v>
      </c>
      <c r="D37" s="3600">
        <f>IF(SUM(E37:F37)=0,E37,SUM(E37:F37))</f>
        <v>44.834000000000003</v>
      </c>
      <c r="E37" s="3569">
        <v>44.834000000000003</v>
      </c>
      <c r="F37" s="3554" t="s">
        <v>2153</v>
      </c>
      <c r="G37" s="3622" t="str">
        <f t="shared" si="3"/>
        <v>NA</v>
      </c>
      <c r="H37" s="3591">
        <f t="shared" si="4"/>
        <v>-1.1598340545122005E-2</v>
      </c>
      <c r="I37" s="3623">
        <f t="shared" si="5"/>
        <v>-1.1598340545122005E-2</v>
      </c>
      <c r="J37" s="3591" t="str">
        <f t="shared" si="6"/>
        <v>NA</v>
      </c>
      <c r="K37" s="3591" t="str">
        <f t="shared" si="7"/>
        <v>NA</v>
      </c>
      <c r="L37" s="3595" t="str">
        <f t="shared" si="8"/>
        <v>NA</v>
      </c>
      <c r="M37" s="3624" t="s">
        <v>2153</v>
      </c>
      <c r="N37" s="3625">
        <v>-0.52</v>
      </c>
      <c r="O37" s="3109">
        <f t="shared" ref="O37" si="51">IF(SUM(M37:N37)=0,M37,SUM(M37:N37))</f>
        <v>-0.52</v>
      </c>
      <c r="P37" s="3625" t="s">
        <v>2147</v>
      </c>
      <c r="Q37" s="3626" t="s">
        <v>2147</v>
      </c>
      <c r="R37" s="3626" t="s">
        <v>2147</v>
      </c>
      <c r="S37" s="3570">
        <f t="shared" ref="S37" si="52">IF(SUM(O37:R37)=0,Q37,SUM(O37:R37)*-44/12)</f>
        <v>1.906666666666667</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1550.742879423472</v>
      </c>
      <c r="E10" s="3583">
        <f t="shared" ref="E10:F10" si="0">IF(SUM(E11,E13)=0,"IE",SUM(E11,E13))</f>
        <v>1452.310538123</v>
      </c>
      <c r="F10" s="3584">
        <f t="shared" si="0"/>
        <v>98.432341300471947</v>
      </c>
      <c r="G10" s="3582">
        <f>IFERROR(IF(SUM($D10)=0,"NA",M10/$D10),"NA")</f>
        <v>5.7849584963122281E-3</v>
      </c>
      <c r="H10" s="3583">
        <f t="shared" ref="H10:J10" si="1">IFERROR(IF(SUM($D10)=0,"NA",N10/$D10),"NA")</f>
        <v>-0.44715625199641745</v>
      </c>
      <c r="I10" s="3583">
        <f t="shared" si="1"/>
        <v>-0.44137129350010523</v>
      </c>
      <c r="J10" s="3583">
        <f t="shared" si="1"/>
        <v>-0.18295599115834882</v>
      </c>
      <c r="K10" s="3585">
        <f>IFERROR(IF(SUM(E10)=0,"NA",Q10/E10),"NA")</f>
        <v>-5.6528690860682691E-2</v>
      </c>
      <c r="L10" s="3584">
        <f>IFERROR(IF(SUM(F10)=0,"NA",R10/F10),"NA")</f>
        <v>0.62374515841909062</v>
      </c>
      <c r="M10" s="3586">
        <f>IF(SUM(M11,M13)=0,"IE",SUM(M11,M13))</f>
        <v>8.970983195916503</v>
      </c>
      <c r="N10" s="3583">
        <f t="shared" ref="N10:S10" si="2">IF(SUM(N11,N13)=0,"IE",SUM(N11,N13))</f>
        <v>-693.42437377313206</v>
      </c>
      <c r="O10" s="3587">
        <f t="shared" si="2"/>
        <v>-684.4533905772156</v>
      </c>
      <c r="P10" s="3583">
        <f t="shared" si="2"/>
        <v>-283.71770053667314</v>
      </c>
      <c r="Q10" s="3585">
        <f t="shared" si="2"/>
        <v>-82.097213443266796</v>
      </c>
      <c r="R10" s="3585">
        <f t="shared" si="2"/>
        <v>61.396696318024873</v>
      </c>
      <c r="S10" s="3588">
        <f t="shared" si="2"/>
        <v>3625.8625635434787</v>
      </c>
      <c r="U10" s="2261"/>
    </row>
    <row r="11" spans="2:21" ht="18" customHeight="1" x14ac:dyDescent="0.2">
      <c r="B11" s="493" t="s">
        <v>993</v>
      </c>
      <c r="C11" s="2256"/>
      <c r="D11" s="3589">
        <f>D12</f>
        <v>1040.8665381230001</v>
      </c>
      <c r="E11" s="3078">
        <f t="shared" ref="E11:F11" si="3">E12</f>
        <v>1040.8665381230001</v>
      </c>
      <c r="F11" s="3078" t="str">
        <f t="shared" si="3"/>
        <v>IE</v>
      </c>
      <c r="G11" s="3558">
        <f t="shared" ref="G11:G24" si="4">IFERROR(IF(SUM($D11)=0,"NA",M11/$D11),"NA")</f>
        <v>8.6187641425133354E-3</v>
      </c>
      <c r="H11" s="3078" t="str">
        <f t="shared" ref="H11:H24" si="5">IFERROR(IF(SUM($D11)=0,"NA",N11/$D11),"NA")</f>
        <v>NA</v>
      </c>
      <c r="I11" s="3078">
        <f t="shared" ref="I11:I24" si="6">IFERROR(IF(SUM($D11)=0,"NA",O11/$D11),"NA")</f>
        <v>8.6187641425133354E-3</v>
      </c>
      <c r="J11" s="3078">
        <f t="shared" ref="J11:J24" si="7">IFERROR(IF(SUM($D11)=0,"NA",P11/$D11),"NA")</f>
        <v>1.7237528285026667E-3</v>
      </c>
      <c r="K11" s="3573">
        <f t="shared" ref="K11:K24" si="8">IFERROR(IF(SUM(E11)=0,"NA",Q11/E11),"NA")</f>
        <v>6.8950113140106668E-3</v>
      </c>
      <c r="L11" s="3128" t="str">
        <f t="shared" ref="L11:L24" si="9">IFERROR(IF(SUM(F11)=0,"NA",R11/F11),"NA")</f>
        <v>NA</v>
      </c>
      <c r="M11" s="3590">
        <f t="shared" ref="M11:S11" si="10">M12</f>
        <v>8.970983195916503</v>
      </c>
      <c r="N11" s="3591" t="str">
        <f t="shared" si="10"/>
        <v>IE</v>
      </c>
      <c r="O11" s="3592">
        <f t="shared" si="10"/>
        <v>8.970983195916503</v>
      </c>
      <c r="P11" s="3591">
        <f t="shared" si="10"/>
        <v>1.7941966391833002</v>
      </c>
      <c r="Q11" s="3593">
        <f t="shared" si="10"/>
        <v>7.1767865567332008</v>
      </c>
      <c r="R11" s="3593" t="str">
        <f t="shared" si="10"/>
        <v>IE</v>
      </c>
      <c r="S11" s="3594">
        <f t="shared" si="10"/>
        <v>-65.787210103387679</v>
      </c>
      <c r="U11" s="2397"/>
    </row>
    <row r="12" spans="2:21" ht="18" customHeight="1" x14ac:dyDescent="0.2">
      <c r="B12" s="501"/>
      <c r="C12" s="885" t="s">
        <v>278</v>
      </c>
      <c r="D12" s="3600">
        <f>IF(SUM(E12:F12)=0,E12,SUM(E12:F12))</f>
        <v>1040.8665381230001</v>
      </c>
      <c r="E12" s="3569">
        <v>1040.8665381230001</v>
      </c>
      <c r="F12" s="3554" t="s">
        <v>2153</v>
      </c>
      <c r="G12" s="3558">
        <f t="shared" si="4"/>
        <v>8.6187641425133354E-3</v>
      </c>
      <c r="H12" s="3078" t="str">
        <f t="shared" si="5"/>
        <v>NA</v>
      </c>
      <c r="I12" s="3078">
        <f t="shared" si="6"/>
        <v>8.6187641425133354E-3</v>
      </c>
      <c r="J12" s="3078">
        <f t="shared" si="7"/>
        <v>1.7237528285026667E-3</v>
      </c>
      <c r="K12" s="3573">
        <f t="shared" si="8"/>
        <v>6.8950113140106668E-3</v>
      </c>
      <c r="L12" s="3128" t="str">
        <f t="shared" si="9"/>
        <v>NA</v>
      </c>
      <c r="M12" s="2905">
        <v>8.970983195916503</v>
      </c>
      <c r="N12" s="2905" t="s">
        <v>2153</v>
      </c>
      <c r="O12" s="3109">
        <f>IF(SUM(M12:N12)=0,M12,SUM(M12:N12))</f>
        <v>8.970983195916503</v>
      </c>
      <c r="P12" s="2905">
        <v>1.7941966391833002</v>
      </c>
      <c r="Q12" s="2906">
        <v>7.1767865567332008</v>
      </c>
      <c r="R12" s="2906" t="s">
        <v>2153</v>
      </c>
      <c r="S12" s="3570">
        <f>IF(SUM(O12:R12)=0,Q12,SUM(O12:R12)*-44/12)</f>
        <v>-65.787210103387679</v>
      </c>
      <c r="U12" s="2398"/>
    </row>
    <row r="13" spans="2:21" ht="18" customHeight="1" x14ac:dyDescent="0.2">
      <c r="B13" s="493" t="s">
        <v>994</v>
      </c>
      <c r="C13" s="504"/>
      <c r="D13" s="3589">
        <f>IF(SUM(D14,D17,D19,D21,D23)=0,"IE",SUM(D14,D17,D19,D21,D23))</f>
        <v>509.87634130047195</v>
      </c>
      <c r="E13" s="3591">
        <f t="shared" ref="E13:S13" si="11">IF(SUM(E14,E17,E19,E21,E23)=0,"IE",SUM(E14,E17,E19,E21,E23))</f>
        <v>411.44400000000002</v>
      </c>
      <c r="F13" s="3595">
        <f t="shared" si="11"/>
        <v>98.432341300471947</v>
      </c>
      <c r="G13" s="3558" t="str">
        <f t="shared" si="4"/>
        <v>NA</v>
      </c>
      <c r="H13" s="3078">
        <f t="shared" si="5"/>
        <v>-1.3599853878383712</v>
      </c>
      <c r="I13" s="3078">
        <f t="shared" si="6"/>
        <v>-1.3599853878383712</v>
      </c>
      <c r="J13" s="3078">
        <f t="shared" si="7"/>
        <v>-0.55996302250000507</v>
      </c>
      <c r="K13" s="3573">
        <f t="shared" si="8"/>
        <v>-0.21697728001866595</v>
      </c>
      <c r="L13" s="3128">
        <f t="shared" si="9"/>
        <v>0.62374515841909062</v>
      </c>
      <c r="M13" s="3078" t="str">
        <f t="shared" si="11"/>
        <v>IE</v>
      </c>
      <c r="N13" s="3078">
        <f t="shared" si="11"/>
        <v>-693.42437377313206</v>
      </c>
      <c r="O13" s="3078">
        <f t="shared" si="11"/>
        <v>-693.42437377313206</v>
      </c>
      <c r="P13" s="3078">
        <f t="shared" si="11"/>
        <v>-285.51189717585646</v>
      </c>
      <c r="Q13" s="3573">
        <f t="shared" si="11"/>
        <v>-89.274000000000001</v>
      </c>
      <c r="R13" s="3573">
        <f t="shared" si="11"/>
        <v>61.396696318024873</v>
      </c>
      <c r="S13" s="3570">
        <f t="shared" si="11"/>
        <v>3691.6497736468664</v>
      </c>
      <c r="U13" s="2019"/>
    </row>
    <row r="14" spans="2:21" ht="18" customHeight="1" x14ac:dyDescent="0.2">
      <c r="B14" s="495" t="s">
        <v>1101</v>
      </c>
      <c r="C14" s="504"/>
      <c r="D14" s="3599">
        <f>IF(SUM(D15:D16)=0,"IE",SUM(D15:D16))</f>
        <v>509.87634130047195</v>
      </c>
      <c r="E14" s="3564">
        <f t="shared" ref="E14:F14" si="12">IF(SUM(E15:E16)=0,"IE",SUM(E15:E16))</f>
        <v>411.44400000000002</v>
      </c>
      <c r="F14" s="3565">
        <f t="shared" si="12"/>
        <v>98.432341300471947</v>
      </c>
      <c r="G14" s="3558" t="str">
        <f t="shared" si="4"/>
        <v>NA</v>
      </c>
      <c r="H14" s="3078">
        <f t="shared" si="5"/>
        <v>-1.3599853878383712</v>
      </c>
      <c r="I14" s="3078">
        <f t="shared" si="6"/>
        <v>-1.3599853878383712</v>
      </c>
      <c r="J14" s="3078">
        <f t="shared" si="7"/>
        <v>-0.55996302250000507</v>
      </c>
      <c r="K14" s="3573">
        <f t="shared" si="8"/>
        <v>-0.21697728001866595</v>
      </c>
      <c r="L14" s="3128">
        <f t="shared" si="9"/>
        <v>0.62374515841909062</v>
      </c>
      <c r="M14" s="3506" t="str">
        <f>IF(SUM(M15:M16)=0,"IE",SUM(M15:M16))</f>
        <v>IE</v>
      </c>
      <c r="N14" s="3506">
        <f t="shared" ref="N14:S14" si="13">IF(SUM(N15:N16)=0,"IE",SUM(N15:N16))</f>
        <v>-693.42437377313206</v>
      </c>
      <c r="O14" s="3506">
        <f t="shared" si="13"/>
        <v>-693.42437377313206</v>
      </c>
      <c r="P14" s="3506">
        <f t="shared" si="13"/>
        <v>-285.51189717585646</v>
      </c>
      <c r="Q14" s="3601">
        <f t="shared" si="13"/>
        <v>-89.274000000000001</v>
      </c>
      <c r="R14" s="3601">
        <f t="shared" si="13"/>
        <v>61.396696318024873</v>
      </c>
      <c r="S14" s="3287">
        <f t="shared" si="13"/>
        <v>3691.6497736468664</v>
      </c>
      <c r="U14" s="2019"/>
    </row>
    <row r="15" spans="2:21" ht="18" customHeight="1" x14ac:dyDescent="0.2">
      <c r="B15" s="496"/>
      <c r="C15" s="508" t="s">
        <v>2235</v>
      </c>
      <c r="D15" s="3600">
        <f>IF(SUM(E15:F15)=0,E15,SUM(E15:F15))</f>
        <v>98.432341300471947</v>
      </c>
      <c r="E15" s="3569" t="s">
        <v>2146</v>
      </c>
      <c r="F15" s="3554">
        <v>98.432341300471947</v>
      </c>
      <c r="G15" s="3558" t="str">
        <f t="shared" si="4"/>
        <v>NA</v>
      </c>
      <c r="H15" s="3078">
        <f t="shared" si="5"/>
        <v>-5.3935664514218615</v>
      </c>
      <c r="I15" s="3078">
        <f t="shared" si="6"/>
        <v>-5.3935664514218615</v>
      </c>
      <c r="J15" s="3078">
        <f t="shared" si="7"/>
        <v>-2.283882453731481</v>
      </c>
      <c r="K15" s="3573" t="str">
        <f t="shared" si="8"/>
        <v>NA</v>
      </c>
      <c r="L15" s="3128">
        <f t="shared" si="9"/>
        <v>0.62374515841909062</v>
      </c>
      <c r="M15" s="2905" t="s">
        <v>2153</v>
      </c>
      <c r="N15" s="2905">
        <v>-530.90137377313204</v>
      </c>
      <c r="O15" s="3109">
        <f>IF(SUM(M15:N15)=0,M15,SUM(M15:N15))</f>
        <v>-530.90137377313204</v>
      </c>
      <c r="P15" s="2905">
        <v>-224.80789717585648</v>
      </c>
      <c r="Q15" s="2906" t="s">
        <v>2146</v>
      </c>
      <c r="R15" s="2906">
        <v>61.396696318024873</v>
      </c>
      <c r="S15" s="3570">
        <f>IF(SUM(O15:R15)=0,Q15,SUM(O15:R15)*-44/12)</f>
        <v>2545.8127736468668</v>
      </c>
      <c r="U15" s="2019"/>
    </row>
    <row r="16" spans="2:21" ht="18" customHeight="1" x14ac:dyDescent="0.2">
      <c r="B16" s="494"/>
      <c r="C16" s="508" t="s">
        <v>2236</v>
      </c>
      <c r="D16" s="3600">
        <f>IF(SUM(E16:F16)=0,E16,SUM(E16:F16))</f>
        <v>411.44400000000002</v>
      </c>
      <c r="E16" s="3569">
        <v>411.44400000000002</v>
      </c>
      <c r="F16" s="3554" t="s">
        <v>2153</v>
      </c>
      <c r="G16" s="3558" t="str">
        <f t="shared" si="4"/>
        <v>NA</v>
      </c>
      <c r="H16" s="3078">
        <f t="shared" si="5"/>
        <v>-0.3950063678167624</v>
      </c>
      <c r="I16" s="3078">
        <f t="shared" si="6"/>
        <v>-0.3950063678167624</v>
      </c>
      <c r="J16" s="3078">
        <f t="shared" si="7"/>
        <v>-0.14753891173525438</v>
      </c>
      <c r="K16" s="3573">
        <f t="shared" si="8"/>
        <v>-0.21697728001866595</v>
      </c>
      <c r="L16" s="3128" t="str">
        <f t="shared" si="9"/>
        <v>NA</v>
      </c>
      <c r="M16" s="2905" t="s">
        <v>2153</v>
      </c>
      <c r="N16" s="2905">
        <v>-162.523</v>
      </c>
      <c r="O16" s="3109">
        <f>IF(SUM(M16:N16)=0,M16,SUM(M16:N16))</f>
        <v>-162.523</v>
      </c>
      <c r="P16" s="2905">
        <v>-60.704000000000001</v>
      </c>
      <c r="Q16" s="2906">
        <v>-89.274000000000001</v>
      </c>
      <c r="R16" s="2906" t="s">
        <v>2153</v>
      </c>
      <c r="S16" s="3570">
        <f>IF(SUM(O16:R16)=0,Q16,SUM(O16:R16)*-44/12)</f>
        <v>1145.8369999999998</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77.322103781342705</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77.322103781342705</v>
      </c>
    </row>
    <row r="270" spans="2:10" ht="18" customHeight="1" x14ac:dyDescent="0.2">
      <c r="B270" s="2827" t="s">
        <v>1187</v>
      </c>
      <c r="C270" s="2828"/>
      <c r="D270" s="2808"/>
      <c r="E270" s="2809"/>
      <c r="F270" s="2810"/>
      <c r="G270" s="2811"/>
      <c r="H270" s="2819" t="s">
        <v>2154</v>
      </c>
      <c r="I270" s="2815" t="s">
        <v>2154</v>
      </c>
      <c r="J270" s="3741">
        <f>J277</f>
        <v>76.552209073167404</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711.94100246081098</v>
      </c>
      <c r="E277" s="2755" t="s">
        <v>2147</v>
      </c>
      <c r="F277" s="2753" t="s">
        <v>2147</v>
      </c>
      <c r="G277" s="3735">
        <f>IF(SUM(D277)=0,"NA",J277*1000/D277)</f>
        <v>107.52605736790845</v>
      </c>
      <c r="H277" s="2778" t="str">
        <f t="shared" ref="H277:J277" si="1">H302</f>
        <v>NE</v>
      </c>
      <c r="I277" s="2777" t="str">
        <f t="shared" si="1"/>
        <v>NE</v>
      </c>
      <c r="J277" s="3734">
        <f t="shared" si="1"/>
        <v>76.552209073167404</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406.58437182988871</v>
      </c>
      <c r="E281" s="2755" t="str">
        <f t="shared" si="2"/>
        <v>NA</v>
      </c>
      <c r="F281" s="2753" t="str">
        <f t="shared" si="2"/>
        <v>NA</v>
      </c>
      <c r="G281" s="3735">
        <f t="shared" si="2"/>
        <v>120.5764998617759</v>
      </c>
      <c r="H281" s="2780" t="str">
        <f t="shared" ref="H281" si="3">H306</f>
        <v>NA</v>
      </c>
      <c r="I281" s="2758" t="str">
        <f t="shared" ref="I281:J281" si="4">I306</f>
        <v>NA</v>
      </c>
      <c r="J281" s="3744">
        <f t="shared" si="4"/>
        <v>49.024520453746817</v>
      </c>
    </row>
    <row r="282" spans="2:10" ht="18" customHeight="1" outlineLevel="1" x14ac:dyDescent="0.2">
      <c r="B282" s="2847" t="str">
        <f>B307</f>
        <v>Other Constructed Water Bodies</v>
      </c>
      <c r="C282" s="2835" t="str">
        <f t="shared" si="2"/>
        <v>Other Constructed Water Bodies</v>
      </c>
      <c r="D282" s="3729">
        <f t="shared" si="2"/>
        <v>305.35663063092233</v>
      </c>
      <c r="E282" s="2755" t="str">
        <f t="shared" si="2"/>
        <v>NA</v>
      </c>
      <c r="F282" s="2753" t="str">
        <f t="shared" si="2"/>
        <v>NA</v>
      </c>
      <c r="G282" s="3735">
        <f t="shared" si="2"/>
        <v>90.149306935118361</v>
      </c>
      <c r="H282" s="2845" t="str">
        <f t="shared" ref="H282" si="5">H307</f>
        <v>NA</v>
      </c>
      <c r="I282" s="2846" t="str">
        <f t="shared" ref="I282:J282" si="6">I307</f>
        <v>NA</v>
      </c>
      <c r="J282" s="3744">
        <f t="shared" si="6"/>
        <v>27.52768861942058</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76.552209073167404</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711.94100246081098</v>
      </c>
      <c r="E302" s="2755" t="s">
        <v>2147</v>
      </c>
      <c r="F302" s="2753" t="s">
        <v>2147</v>
      </c>
      <c r="G302" s="3735">
        <f>IF(SUM(D302)=0,"NA",J302*1000/D302)</f>
        <v>107.52605736790845</v>
      </c>
      <c r="H302" s="2778" t="s">
        <v>2154</v>
      </c>
      <c r="I302" s="2777" t="s">
        <v>2154</v>
      </c>
      <c r="J302" s="3734">
        <f t="shared" ref="J302" si="7">IF(SUM(J306:J307)=0,"NO",SUM(J306:J307))</f>
        <v>76.552209073167404</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406.58437182988871</v>
      </c>
      <c r="E306" s="2755" t="s">
        <v>2147</v>
      </c>
      <c r="F306" s="2753" t="s">
        <v>2147</v>
      </c>
      <c r="G306" s="3735">
        <f>IF(SUM(D306)=0,"NA",J306*1000/D306)</f>
        <v>120.5764998617759</v>
      </c>
      <c r="H306" s="2780" t="s">
        <v>2147</v>
      </c>
      <c r="I306" s="2758" t="s">
        <v>2147</v>
      </c>
      <c r="J306" s="3744">
        <v>49.024520453746817</v>
      </c>
    </row>
    <row r="307" spans="2:10" ht="18" customHeight="1" outlineLevel="2" x14ac:dyDescent="0.2">
      <c r="B307" s="2847" t="s">
        <v>2245</v>
      </c>
      <c r="C307" s="2835" t="s">
        <v>2245</v>
      </c>
      <c r="D307" s="3732">
        <v>305.35663063092233</v>
      </c>
      <c r="E307" s="2755" t="s">
        <v>2147</v>
      </c>
      <c r="F307" s="2753" t="s">
        <v>2147</v>
      </c>
      <c r="G307" s="3735">
        <f>IF(SUM(D307)=0,"NA",J307*1000/D307)</f>
        <v>90.149306935118361</v>
      </c>
      <c r="H307" s="2780" t="s">
        <v>2147</v>
      </c>
      <c r="I307" s="2758" t="s">
        <v>2147</v>
      </c>
      <c r="J307" s="3744">
        <v>27.52768861942058</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0.76989470817529559</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3.4511812772401438</v>
      </c>
      <c r="E327" s="2776" t="str">
        <f t="shared" ref="E327:J327" si="8">E331</f>
        <v>NA</v>
      </c>
      <c r="F327" s="2777" t="str">
        <f t="shared" si="8"/>
        <v>NA</v>
      </c>
      <c r="G327" s="3737">
        <f t="shared" si="8"/>
        <v>223.08150349927965</v>
      </c>
      <c r="H327" s="2778" t="str">
        <f t="shared" si="8"/>
        <v>IE</v>
      </c>
      <c r="I327" s="2777" t="str">
        <f t="shared" si="8"/>
        <v>NA</v>
      </c>
      <c r="J327" s="3734">
        <f t="shared" si="8"/>
        <v>0.76989470817529559</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3.4511812772401438</v>
      </c>
      <c r="E331" s="2755" t="str">
        <f t="shared" si="9"/>
        <v>NA</v>
      </c>
      <c r="F331" s="2753" t="str">
        <f t="shared" si="9"/>
        <v>NA</v>
      </c>
      <c r="G331" s="3735">
        <f t="shared" si="9"/>
        <v>223.08150349927965</v>
      </c>
      <c r="H331" s="2765" t="str">
        <f t="shared" si="9"/>
        <v>IE</v>
      </c>
      <c r="I331" s="2758" t="str">
        <f t="shared" si="9"/>
        <v>NA</v>
      </c>
      <c r="J331" s="3744">
        <f t="shared" si="9"/>
        <v>0.76989470817529559</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0.76989470817529559</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3.4511812772401438</v>
      </c>
      <c r="E411" s="2776" t="str">
        <f t="shared" ref="E411:J411" si="10">E415</f>
        <v>NA</v>
      </c>
      <c r="F411" s="2777" t="str">
        <f t="shared" si="10"/>
        <v>NA</v>
      </c>
      <c r="G411" s="3737">
        <f t="shared" si="10"/>
        <v>223.08150349927965</v>
      </c>
      <c r="H411" s="2778" t="str">
        <f t="shared" si="10"/>
        <v>IE</v>
      </c>
      <c r="I411" s="2777" t="str">
        <f t="shared" si="10"/>
        <v>NA</v>
      </c>
      <c r="J411" s="3734">
        <f t="shared" si="10"/>
        <v>0.76989470817529559</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3.4511812772401438</v>
      </c>
      <c r="E415" s="2755" t="str">
        <f>E427</f>
        <v>NA</v>
      </c>
      <c r="F415" s="2753" t="str">
        <f>F427</f>
        <v>NA</v>
      </c>
      <c r="G415" s="3735">
        <f t="shared" ref="G415:J415" si="11">G427</f>
        <v>223.08150349927965</v>
      </c>
      <c r="H415" s="2780" t="str">
        <f t="shared" si="11"/>
        <v>IE</v>
      </c>
      <c r="I415" s="2758" t="str">
        <f t="shared" si="11"/>
        <v>NA</v>
      </c>
      <c r="J415" s="3744">
        <f t="shared" si="11"/>
        <v>0.76989470817529559</v>
      </c>
    </row>
    <row r="416" spans="2:10" ht="18" customHeight="1" outlineLevel="2" x14ac:dyDescent="0.2">
      <c r="B416" s="2842" t="s">
        <v>1199</v>
      </c>
      <c r="C416" s="2828"/>
      <c r="D416" s="3731"/>
      <c r="E416" s="2809"/>
      <c r="F416" s="2810"/>
      <c r="G416" s="3738"/>
      <c r="H416" s="2819" t="s">
        <v>2154</v>
      </c>
      <c r="I416" s="2815" t="s">
        <v>2154</v>
      </c>
      <c r="J416" s="3741">
        <f>J423</f>
        <v>0.76989470817529559</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3.4511812772401438</v>
      </c>
      <c r="E423" s="2776" t="str">
        <f t="shared" ref="E423:J423" si="12">E427</f>
        <v>NA</v>
      </c>
      <c r="F423" s="2777" t="str">
        <f t="shared" si="12"/>
        <v>NA</v>
      </c>
      <c r="G423" s="3737">
        <f t="shared" si="12"/>
        <v>223.08150349927965</v>
      </c>
      <c r="H423" s="2778" t="str">
        <f t="shared" si="12"/>
        <v>IE</v>
      </c>
      <c r="I423" s="2777" t="str">
        <f t="shared" si="12"/>
        <v>NA</v>
      </c>
      <c r="J423" s="3734">
        <f t="shared" si="12"/>
        <v>0.76989470817529559</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3.4511812772401438</v>
      </c>
      <c r="E427" s="2755" t="s">
        <v>2147</v>
      </c>
      <c r="F427" s="2753" t="s">
        <v>2147</v>
      </c>
      <c r="G427" s="3735">
        <f>IF(SUM(D427)=0,"NA",J427*1000/D427)</f>
        <v>223.08150349927965</v>
      </c>
      <c r="H427" s="2780" t="s">
        <v>2153</v>
      </c>
      <c r="I427" s="2758" t="s">
        <v>2147</v>
      </c>
      <c r="J427" s="3744">
        <v>0.76989470817529559</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657165.74776757497</v>
      </c>
      <c r="D10" s="4332">
        <f>IF(SUM(D11,D20,D28,D37,D46,D55)=0,"NO",SUM(D11,D20,D28,D37,D46,D55))</f>
        <v>40303.865942779892</v>
      </c>
      <c r="E10" s="4333">
        <f t="shared" ref="E10:E12" si="0">IF(SUM(C10)=0,"NA",G10/C10*1000/(44/28))</f>
        <v>1.5015684358296246E-3</v>
      </c>
      <c r="F10" s="4332">
        <f t="shared" ref="F10:F11" si="1">IF(SUM(D10)=0,"NA",H10/D10*1000/(44/28))</f>
        <v>7.5000000000000015E-3</v>
      </c>
      <c r="G10" s="4331">
        <f>IF(SUM(G11,G20,G28,G37,G46,G55)=0,"NO",SUM(G11,G20,G28,G37,G46,G55))</f>
        <v>1.5506532547882563</v>
      </c>
      <c r="H10" s="4334">
        <f>IF(SUM(H11,H20,H28,H37,H46,H55)=0,"NO",SUM(H11,H20,H28,H37,H46,H55))</f>
        <v>0.47500984861133455</v>
      </c>
      <c r="I10" s="4335">
        <f t="shared" ref="I10:I11" si="2">IF(SUM(G10:H10)=0,"NO",SUM(G10:H10))</f>
        <v>2.0256631033995909</v>
      </c>
    </row>
    <row r="11" spans="2:10" ht="18" customHeight="1" x14ac:dyDescent="0.2">
      <c r="B11" s="2848" t="s">
        <v>1901</v>
      </c>
      <c r="C11" s="4336">
        <f>IF(SUM(C12:C13)=0,"NO",SUM(C12:C13))</f>
        <v>133397.42273360689</v>
      </c>
      <c r="D11" s="4337">
        <f>IF(SUM(D12:D13)=0,"NO",SUM(D12:D13))</f>
        <v>21966.220782770892</v>
      </c>
      <c r="E11" s="4336">
        <f t="shared" si="0"/>
        <v>2.7878795995166582E-3</v>
      </c>
      <c r="F11" s="4337">
        <f t="shared" si="1"/>
        <v>7.5000000000000006E-3</v>
      </c>
      <c r="G11" s="4336">
        <f>IF(SUM(G12:G13)=0,"NO",SUM(G12:G13))</f>
        <v>0.58440792687690657</v>
      </c>
      <c r="H11" s="4338">
        <f>IF(SUM(H12:H13)=0,"NO",SUM(H12:H13))</f>
        <v>0.25888760208265699</v>
      </c>
      <c r="I11" s="4337">
        <f t="shared" si="2"/>
        <v>0.84329552895956361</v>
      </c>
    </row>
    <row r="12" spans="2:10" ht="18" customHeight="1" x14ac:dyDescent="0.2">
      <c r="B12" s="914" t="s">
        <v>1228</v>
      </c>
      <c r="C12" s="4339">
        <f>Table4.A!E11</f>
        <v>119264.371274658</v>
      </c>
      <c r="D12" s="4340">
        <f>H12/F12*1000/(44/28)</f>
        <v>4693.6231195549453</v>
      </c>
      <c r="E12" s="4341">
        <f t="shared" si="0"/>
        <v>3.5821458062164292E-4</v>
      </c>
      <c r="F12" s="4342">
        <v>7.4999999999999997E-3</v>
      </c>
      <c r="G12" s="4339">
        <v>6.7134943447401549E-2</v>
      </c>
      <c r="H12" s="4343">
        <v>5.5317701051897566E-2</v>
      </c>
      <c r="I12" s="4344">
        <f>IF(SUM(G12:H12)=0,"NO",SUM(G12:H12))</f>
        <v>0.12245264449929912</v>
      </c>
    </row>
    <row r="13" spans="2:10" ht="18" customHeight="1" x14ac:dyDescent="0.2">
      <c r="B13" s="914" t="s">
        <v>1902</v>
      </c>
      <c r="C13" s="4345">
        <f>IF(SUM(C15:C19)=0,"NO",SUM(C15:C19))</f>
        <v>14133.051458948879</v>
      </c>
      <c r="D13" s="4344">
        <f>IF(SUM(D15:D19)=0,"NO",SUM(D15:D19))</f>
        <v>17272.597663215947</v>
      </c>
      <c r="E13" s="4345">
        <f>IF(SUM(C13)=0,"NA",G13/C13*1000/(44/28))</f>
        <v>2.3291057680217952E-2</v>
      </c>
      <c r="F13" s="4344">
        <f>IF(SUM(D13)=0,"NA",H13/D13*1000/(44/28))</f>
        <v>7.5000000000000006E-3</v>
      </c>
      <c r="G13" s="4345">
        <f>IF(SUM(G15:G19)=0,"NO",SUM(G15:G19))</f>
        <v>0.51727298342950501</v>
      </c>
      <c r="H13" s="4346">
        <f>IF(SUM(H15:H19)=0,"NO",SUM(H15:H19))</f>
        <v>0.20356990103075942</v>
      </c>
      <c r="I13" s="4344">
        <f>IF(SUM(G13:H13)=0,"NO",SUM(G13:H13))</f>
        <v>0.72084288446026445</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104.718</v>
      </c>
      <c r="D15" s="4340">
        <f>H15/F15*1000/(44/28)</f>
        <v>147.30657576696493</v>
      </c>
      <c r="E15" s="4345">
        <f>IF(SUM(C15)=0,"NA",G15/C15*1000/(44/28))</f>
        <v>3.0939762027540629E-2</v>
      </c>
      <c r="F15" s="4342">
        <v>7.4999999999999997E-3</v>
      </c>
      <c r="G15" s="4350">
        <v>5.0913499999999988E-3</v>
      </c>
      <c r="H15" s="4351">
        <v>1.7361132143963722E-3</v>
      </c>
      <c r="I15" s="4344">
        <f>IF(SUM(G15:H15)=0,"NO",SUM(G15:H15))</f>
        <v>6.8274632143963711E-3</v>
      </c>
    </row>
    <row r="16" spans="2:10" ht="18" customHeight="1" x14ac:dyDescent="0.2">
      <c r="B16" s="528" t="s">
        <v>1230</v>
      </c>
      <c r="C16" s="4350">
        <f>Table4.A!E19</f>
        <v>13951.486458948879</v>
      </c>
      <c r="D16" s="4340">
        <f>H16/F16*1000/(44/28)</f>
        <v>16981.127769075661</v>
      </c>
      <c r="E16" s="4345">
        <f t="shared" ref="E16:E21" si="3">IF(SUM(C16)=0,"NA",G16/C16*1000/(44/28))</f>
        <v>2.3109363126039083E-2</v>
      </c>
      <c r="F16" s="4342">
        <v>7.4999999999999997E-3</v>
      </c>
      <c r="G16" s="4350">
        <v>0.50664423342950493</v>
      </c>
      <c r="H16" s="4351">
        <v>0.2001347201355346</v>
      </c>
      <c r="I16" s="4344">
        <f t="shared" ref="I16:I21" si="4">IF(SUM(G16:H16)=0,"NO",SUM(G16:H16))</f>
        <v>0.7067789535650395</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76.846999999999994</v>
      </c>
      <c r="D18" s="4340">
        <f>H18/F18*1000/(44/28)</f>
        <v>144.16331837332172</v>
      </c>
      <c r="E18" s="4345">
        <f t="shared" si="3"/>
        <v>4.5854750348094268E-2</v>
      </c>
      <c r="F18" s="4342">
        <v>7.4999999999999997E-3</v>
      </c>
      <c r="G18" s="4350">
        <v>5.5373999999999996E-3</v>
      </c>
      <c r="H18" s="4351">
        <v>1.6990676808284343E-3</v>
      </c>
      <c r="I18" s="4344">
        <f t="shared" si="4"/>
        <v>7.2364676808284335E-3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2280.7049999999999</v>
      </c>
      <c r="D20" s="4360">
        <f>D21</f>
        <v>1333.7719773722142</v>
      </c>
      <c r="E20" s="4359">
        <f t="shared" si="3"/>
        <v>1.2986868826378978E-2</v>
      </c>
      <c r="F20" s="4360">
        <f t="shared" si="5"/>
        <v>7.4999999999999997E-3</v>
      </c>
      <c r="G20" s="4359">
        <f>G21</f>
        <v>4.6544483333333331E-2</v>
      </c>
      <c r="H20" s="4361">
        <f>H21</f>
        <v>1.5719455447601095E-2</v>
      </c>
      <c r="I20" s="4360">
        <f t="shared" si="4"/>
        <v>6.2263938780934426E-2</v>
      </c>
    </row>
    <row r="21" spans="2:9" ht="18" customHeight="1" x14ac:dyDescent="0.2">
      <c r="B21" s="914" t="s">
        <v>1904</v>
      </c>
      <c r="C21" s="4345">
        <f>IF(SUM(C23:C27)=0,"NO",SUM(C23:C27))</f>
        <v>2280.7049999999999</v>
      </c>
      <c r="D21" s="4344">
        <f>IF(SUM(D23:D27)=0,"NO",SUM(D23:D27))</f>
        <v>1333.7719773722142</v>
      </c>
      <c r="E21" s="4345">
        <f t="shared" si="3"/>
        <v>1.2986868826378978E-2</v>
      </c>
      <c r="F21" s="4344">
        <f t="shared" si="5"/>
        <v>7.4999999999999997E-3</v>
      </c>
      <c r="G21" s="4345">
        <f>IF(SUM(G23:G27)=0,"NO",SUM(G23:G27))</f>
        <v>4.6544483333333331E-2</v>
      </c>
      <c r="H21" s="4346">
        <f>IF(SUM(H23:H27)=0,"NO",SUM(H23:H27))</f>
        <v>1.5719455447601095E-2</v>
      </c>
      <c r="I21" s="4344">
        <f t="shared" si="4"/>
        <v>6.2263938780934426E-2</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2280.7049999999999</v>
      </c>
      <c r="D23" s="4340">
        <f>H23/F23*1000/(44/28)</f>
        <v>1333.7719773722142</v>
      </c>
      <c r="E23" s="4345">
        <f>IF(SUM(C23)=0,"NA",G23/C23*1000/(44/28))</f>
        <v>1.2986868826378978E-2</v>
      </c>
      <c r="F23" s="4342">
        <v>7.4999999999999997E-3</v>
      </c>
      <c r="G23" s="4350">
        <v>4.6544483333333331E-2</v>
      </c>
      <c r="H23" s="4351">
        <v>1.5719455447601095E-2</v>
      </c>
      <c r="I23" s="4344">
        <f>IF(SUM(G23:H23)=0,"NO",SUM(G23:H23))</f>
        <v>6.2263938780934426E-2</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520035.30949584505</v>
      </c>
      <c r="D28" s="4337">
        <f>IF(SUM(D29:D30)=0,"NO",SUM(D29:D30))</f>
        <v>16561.703448870732</v>
      </c>
      <c r="E28" s="4336">
        <f t="shared" si="6"/>
        <v>1.1038936538156432E-3</v>
      </c>
      <c r="F28" s="4337">
        <f t="shared" si="7"/>
        <v>7.4999999999999997E-3</v>
      </c>
      <c r="G28" s="4336">
        <f>IF(SUM(G29:G30)=0,"NO",SUM(G29:G30))</f>
        <v>0.90210006529109843</v>
      </c>
      <c r="H28" s="4338">
        <f>IF(SUM(H29:H30)=0,"NO",SUM(H29:H30))</f>
        <v>0.19519150493311935</v>
      </c>
      <c r="I28" s="4360">
        <f t="shared" si="8"/>
        <v>1.0972915702242179</v>
      </c>
    </row>
    <row r="29" spans="2:9" ht="18" customHeight="1" x14ac:dyDescent="0.2">
      <c r="B29" s="914" t="s">
        <v>1239</v>
      </c>
      <c r="C29" s="4339">
        <f>Table4.C!E11</f>
        <v>506549.56106318202</v>
      </c>
      <c r="D29" s="4340">
        <f>H29/F29*1000/(44/28)</f>
        <v>10806.894658089263</v>
      </c>
      <c r="E29" s="4341">
        <f t="shared" si="6"/>
        <v>7.2843860399440081E-4</v>
      </c>
      <c r="F29" s="4342">
        <v>7.4999999999999997E-3</v>
      </c>
      <c r="G29" s="4339">
        <v>0.57984182946617835</v>
      </c>
      <c r="H29" s="4343">
        <v>0.12736697275605202</v>
      </c>
      <c r="I29" s="4344">
        <f t="shared" si="8"/>
        <v>0.70720880222223037</v>
      </c>
    </row>
    <row r="30" spans="2:9" ht="18" customHeight="1" x14ac:dyDescent="0.2">
      <c r="B30" s="914" t="s">
        <v>1906</v>
      </c>
      <c r="C30" s="4345">
        <f>IF(SUM(C32:C36)=0,"NO",SUM(C32:C36))</f>
        <v>13485.748432663049</v>
      </c>
      <c r="D30" s="4344">
        <f>IF(SUM(D32:D36)=0,"NO",SUM(D32:D36))</f>
        <v>5754.8087907814697</v>
      </c>
      <c r="E30" s="4345">
        <f>IF(SUM(C30)=0,"NA",G30/C30*1000/(44/28))</f>
        <v>1.5206677168986776E-2</v>
      </c>
      <c r="F30" s="4344">
        <f>IF(SUM(D30)=0,"NA",H30/D30*1000/(44/28))</f>
        <v>7.4999999999999997E-3</v>
      </c>
      <c r="G30" s="4345">
        <f>IF(SUM(G32:G36)=0,"NO",SUM(G32:G36))</f>
        <v>0.32225823582492003</v>
      </c>
      <c r="H30" s="4346">
        <f>IF(SUM(H32:H36)=0,"NO",SUM(H32:H36))</f>
        <v>6.7824532177067326E-2</v>
      </c>
      <c r="I30" s="4344">
        <f t="shared" si="8"/>
        <v>0.39008276800198738</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13485.748432663049</v>
      </c>
      <c r="D32" s="4340">
        <f>H32/F32*1000/(44/28)</f>
        <v>5754.8087907814697</v>
      </c>
      <c r="E32" s="4345">
        <f>IF(SUM(C32)=0,"NA",G32/C32*1000/(44/28))</f>
        <v>1.5206677168986776E-2</v>
      </c>
      <c r="F32" s="4342">
        <v>7.4999999999999997E-3</v>
      </c>
      <c r="G32" s="4350">
        <v>0.32225823582492003</v>
      </c>
      <c r="H32" s="4351">
        <v>6.7824532177067326E-2</v>
      </c>
      <c r="I32" s="4344">
        <f t="shared" si="8"/>
        <v>0.39008276800198738</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1452.310538123</v>
      </c>
      <c r="D46" s="4337">
        <f>IF(SUM(D47:D48)=0,"NO",SUM(D47:D48))</f>
        <v>442.16973376605307</v>
      </c>
      <c r="E46" s="4336">
        <f t="shared" si="11"/>
        <v>7.7121907579990627E-3</v>
      </c>
      <c r="F46" s="4337">
        <f t="shared" si="12"/>
        <v>7.5000000000000006E-3</v>
      </c>
      <c r="G46" s="4336">
        <f>IF(SUM(G47:G48)=0,"NO",SUM(G47:G48))</f>
        <v>1.7600779286917903E-2</v>
      </c>
      <c r="H46" s="4338">
        <f>IF(SUM(H47:H48)=0,"NO",SUM(H47:H48))</f>
        <v>5.2112861479570545E-3</v>
      </c>
      <c r="I46" s="4337">
        <f t="shared" si="8"/>
        <v>2.2812065434874958E-2</v>
      </c>
    </row>
    <row r="47" spans="2:9" ht="18" customHeight="1" x14ac:dyDescent="0.2">
      <c r="B47" s="914" t="s">
        <v>1251</v>
      </c>
      <c r="C47" s="4339">
        <f>Table4.E!E11</f>
        <v>1040.8665381230001</v>
      </c>
      <c r="D47" s="4340">
        <f>H47/F47*1000/(44/28)</f>
        <v>3.329577259001514</v>
      </c>
      <c r="E47" s="4341">
        <f t="shared" si="11"/>
        <v>5.3381076716821212E-5</v>
      </c>
      <c r="F47" s="4342">
        <v>7.4999999999999997E-3</v>
      </c>
      <c r="G47" s="4339">
        <v>8.7312620251239387E-5</v>
      </c>
      <c r="H47" s="4343">
        <v>3.924144626680356E-5</v>
      </c>
      <c r="I47" s="4344">
        <f t="shared" si="8"/>
        <v>1.2655406651804294E-4</v>
      </c>
    </row>
    <row r="48" spans="2:9" ht="18" customHeight="1" x14ac:dyDescent="0.2">
      <c r="B48" s="914" t="s">
        <v>1910</v>
      </c>
      <c r="C48" s="4345">
        <f>IF(SUM(C50:C54)=0,"NO",SUM(C50:C54))</f>
        <v>411.44400000000002</v>
      </c>
      <c r="D48" s="4344">
        <f>IF(SUM(D50:D54)=0,"NO",SUM(D50:D54))</f>
        <v>438.84015650705157</v>
      </c>
      <c r="E48" s="4345">
        <f>IF(SUM(C48)=0,"NA",G48/C48*1000/(44/28))</f>
        <v>2.7087363853485119E-2</v>
      </c>
      <c r="F48" s="4344">
        <f>IF(SUM(D48)=0,"NA",H48/D48*1000/(44/28))</f>
        <v>7.4999999999999997E-3</v>
      </c>
      <c r="G48" s="4345">
        <f>IF(SUM(G50:G54)=0,"NO",SUM(G50:G54))</f>
        <v>1.7513466666666665E-2</v>
      </c>
      <c r="H48" s="4346">
        <f>IF(SUM(H50:H54)=0,"NO",SUM(H50:H54))</f>
        <v>5.1720447016902508E-3</v>
      </c>
      <c r="I48" s="4344">
        <f t="shared" si="8"/>
        <v>2.2685511368356916E-2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411.44400000000002</v>
      </c>
      <c r="D50" s="4340">
        <f>H50/F50*1000/(44/28)</f>
        <v>438.84015650705157</v>
      </c>
      <c r="E50" s="4345">
        <f>IF(SUM(C50)=0,"NA",G50/C50*1000/(44/28))</f>
        <v>2.7087363853485119E-2</v>
      </c>
      <c r="F50" s="4342">
        <v>7.4999999999999997E-3</v>
      </c>
      <c r="G50" s="4350">
        <v>1.7513466666666665E-2</v>
      </c>
      <c r="H50" s="4351">
        <v>5.1720447016902508E-3</v>
      </c>
      <c r="I50" s="4344">
        <f t="shared" si="8"/>
        <v>2.2685511368356916E-2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5474620.1140696583</v>
      </c>
      <c r="D10" s="3076" t="s">
        <v>1814</v>
      </c>
      <c r="E10" s="628"/>
      <c r="F10" s="628"/>
      <c r="G10" s="628"/>
      <c r="H10" s="1913">
        <f>IF(SUM(H11:H15)=0,"NO",SUM(H11:H15))</f>
        <v>375877.1206688215</v>
      </c>
      <c r="I10" s="1913">
        <f t="shared" ref="I10:K10" si="0">IF(SUM(I11:I16)=0,"NO",SUM(I11:I16))</f>
        <v>90.317212731057964</v>
      </c>
      <c r="J10" s="1913">
        <f t="shared" si="0"/>
        <v>10.000031713248093</v>
      </c>
      <c r="K10" s="3085" t="str">
        <f t="shared" si="0"/>
        <v>NO</v>
      </c>
    </row>
    <row r="11" spans="2:11" ht="18" customHeight="1" x14ac:dyDescent="0.2">
      <c r="B11" s="282" t="s">
        <v>132</v>
      </c>
      <c r="C11" s="3086">
        <f>IF(SUM(C18,'Table1.A(a)s2'!C11,'Table1.A(a)s3'!C11,'Table1.A(a)s4'!C11,'Table1.A(a)s4'!C94)=0,"NO",SUM(C18,'Table1.A(a)s2'!C11,'Table1.A(a)s3'!C11,'Table1.A(a)s4'!C11,'Table1.A(a)s4'!C94))</f>
        <v>2056708.249581042</v>
      </c>
      <c r="D11" s="3077" t="s">
        <v>2145</v>
      </c>
      <c r="E11" s="1913">
        <f>IFERROR(H11*1000/$C11,"NA")</f>
        <v>68.638538324878184</v>
      </c>
      <c r="F11" s="1913">
        <f t="shared" ref="F11:G16" si="1">IFERROR(I11*1000000/$C11,"NA")</f>
        <v>7.8492946484731672</v>
      </c>
      <c r="G11" s="1913">
        <f t="shared" si="1"/>
        <v>3.0321101986267247</v>
      </c>
      <c r="H11" s="1913">
        <f>IF(SUM(H18,'Table1.A(a)s2'!H11,'Table1.A(a)s3'!H11,'Table1.A(a)s4'!H11,'Table1.A(a)s4'!H94)=0,"NO",SUM(H18,'Table1.A(a)s2'!H11,'Table1.A(a)s3'!H11,'Table1.A(a)s4'!H11,'Table1.A(a)s4'!H94))</f>
        <v>141169.44801196147</v>
      </c>
      <c r="I11" s="1913">
        <f>IF(SUM(I18,'Table1.A(a)s2'!I11,'Table1.A(a)s3'!I11,'Table1.A(a)s4'!I11,'Table1.A(a)s4'!I94)=0,"NO",SUM(I18,'Table1.A(a)s2'!I11,'Table1.A(a)s3'!I11,'Table1.A(a)s4'!I11,'Table1.A(a)s4'!I94))</f>
        <v>16.143709056907088</v>
      </c>
      <c r="J11" s="1913">
        <f>IF(SUM(J18,'Table1.A(a)s2'!J11,'Table1.A(a)s3'!J11,'Table1.A(a)s4'!J11,'Table1.A(a)s4'!J94)=0,"NO",SUM(J18,'Table1.A(a)s2'!J11,'Table1.A(a)s3'!J11,'Table1.A(a)s4'!J11,'Table1.A(a)s4'!J94))</f>
        <v>6.2361660591543968</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1772074.8108526103</v>
      </c>
      <c r="D12" s="3077" t="s">
        <v>1814</v>
      </c>
      <c r="E12" s="1913">
        <f t="shared" ref="E12:E16" si="2">IFERROR(H12*1000/$C12,"NA")</f>
        <v>90.390796376098976</v>
      </c>
      <c r="F12" s="1913">
        <f t="shared" si="1"/>
        <v>0.69955505162704446</v>
      </c>
      <c r="G12" s="1913">
        <f t="shared" si="1"/>
        <v>0.88186429332337612</v>
      </c>
      <c r="H12" s="1913">
        <f>IF(SUM(H19,'Table1.A(a)s2'!H12,'Table1.A(a)s3'!H12,'Table1.A(a)s4'!H12,'Table1.A(a)s4'!H95)=0,"NO",SUM(H19,'Table1.A(a)s2'!H12,'Table1.A(a)s3'!H12,'Table1.A(a)s4'!H12,'Table1.A(a)s4'!H95))</f>
        <v>160179.25339099241</v>
      </c>
      <c r="I12" s="1913">
        <f>IF(SUM(I19,'Table1.A(a)s2'!I12,'Table1.A(a)s3'!I12,'Table1.A(a)s4'!I12,'Table1.A(a)s4'!I95)=0,"NO",SUM(I19,'Table1.A(a)s2'!I12,'Table1.A(a)s3'!I12,'Table1.A(a)s4'!I12,'Table1.A(a)s4'!I95))</f>
        <v>1.2396638857929827</v>
      </c>
      <c r="J12" s="1913">
        <f>IF(SUM(J19,'Table1.A(a)s2'!J12,'Table1.A(a)s3'!J12,'Table1.A(a)s4'!J12,'Table1.A(a)s4'!J95)=0,"NO",SUM(J19,'Table1.A(a)s2'!J12,'Table1.A(a)s3'!J12,'Table1.A(a)s4'!J12,'Table1.A(a)s4'!J95))</f>
        <v>1.5627295007886925</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1450969.9449913644</v>
      </c>
      <c r="D13" s="3077" t="s">
        <v>2145</v>
      </c>
      <c r="E13" s="1913">
        <f t="shared" si="2"/>
        <v>51.233806783283441</v>
      </c>
      <c r="F13" s="1913">
        <f t="shared" si="1"/>
        <v>23.762524760532905</v>
      </c>
      <c r="G13" s="1913">
        <f t="shared" si="1"/>
        <v>0.92294048735389145</v>
      </c>
      <c r="H13" s="1913">
        <f>IF(SUM(H20,'Table1.A(a)s2'!H13,'Table1.A(a)s3'!H13,'Table1.A(a)s4'!H13,'Table1.A(a)s4'!H96)=0,"NO",SUM(H20,'Table1.A(a)s2'!H13,'Table1.A(a)s3'!H13,'Table1.A(a)s4'!H13,'Table1.A(a)s4'!H96))</f>
        <v>74338.713810038971</v>
      </c>
      <c r="I13" s="1913">
        <f>IF(SUM(I20,'Table1.A(a)s2'!I13,'Table1.A(a)s3'!I13,'Table1.A(a)s4'!I13,'Table1.A(a)s4'!I96)=0,"NO",SUM(I20,'Table1.A(a)s2'!I13,'Table1.A(a)s3'!I13,'Table1.A(a)s4'!I13,'Table1.A(a)s4'!I96))</f>
        <v>34.47870924464636</v>
      </c>
      <c r="J13" s="1913">
        <f>IF(SUM(J20,'Table1.A(a)s2'!J13,'Table1.A(a)s3'!J13,'Table1.A(a)s4'!J13,'Table1.A(a)s4'!J96)=0,"NO",SUM(J20,'Table1.A(a)s2'!J13,'Table1.A(a)s3'!J13,'Table1.A(a)s4'!J13,'Table1.A(a)s4'!J96))</f>
        <v>1.339158908166179</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3964.3799957774531</v>
      </c>
      <c r="D14" s="3077" t="s">
        <v>2145</v>
      </c>
      <c r="E14" s="1913">
        <f t="shared" si="2"/>
        <v>47.852490434997883</v>
      </c>
      <c r="F14" s="1913">
        <f t="shared" si="1"/>
        <v>1.0246483277011993</v>
      </c>
      <c r="G14" s="1913">
        <f t="shared" si="1"/>
        <v>0.42317704144052187</v>
      </c>
      <c r="H14" s="1913">
        <f>IF(SUM(H21,'Table1.A(a)s2'!H14,'Table1.A(a)s3'!H14,'Table1.A(a)s4'!H14,'Table1.A(a)s4'!H97)=0,"NO",SUM(H21,'Table1.A(a)s2'!H14,'Table1.A(a)s3'!H14,'Table1.A(a)s4'!H14,'Table1.A(a)s4'!H97))</f>
        <v>189.70545582863753</v>
      </c>
      <c r="I14" s="1913">
        <f>IF(SUM(I21,'Table1.A(a)s2'!I14,'Table1.A(a)s3'!I14,'Table1.A(a)s4'!I14,'Table1.A(a)s4'!I97)=0,"NO",SUM(I21,'Table1.A(a)s2'!I14,'Table1.A(a)s3'!I14,'Table1.A(a)s4'!I14,'Table1.A(a)s4'!I97))</f>
        <v>4.0620953330454549E-3</v>
      </c>
      <c r="J14" s="1913">
        <f>IF(SUM(J21,'Table1.A(a)s2'!J14,'Table1.A(a)s3'!J14,'Table1.A(a)s4'!J14,'Table1.A(a)s4'!J97)=0,"NO",SUM(J21,'Table1.A(a)s2'!J14,'Table1.A(a)s3'!J14,'Table1.A(a)s4'!J14,'Table1.A(a)s4'!J97))</f>
        <v>1.6776345977590913E-3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190902.72864886504</v>
      </c>
      <c r="D16" s="3079" t="s">
        <v>2145</v>
      </c>
      <c r="E16" s="2880">
        <f t="shared" si="2"/>
        <v>86.24928186296475</v>
      </c>
      <c r="F16" s="1913">
        <f t="shared" si="1"/>
        <v>201.41707098960887</v>
      </c>
      <c r="G16" s="1913">
        <f t="shared" si="1"/>
        <v>4.5064814768753294</v>
      </c>
      <c r="H16" s="2880">
        <f>IF(SUM(H23,'Table1.A(a)s2'!H16,'Table1.A(a)s3'!H15,'Table1.A(a)s4'!H16,'Table1.A(a)s4'!H99)=0,"NO",SUM(H23,'Table1.A(a)s2'!H16,'Table1.A(a)s3'!H15,'Table1.A(a)s4'!H16,'Table1.A(a)s4'!H99))</f>
        <v>16465.223251645039</v>
      </c>
      <c r="I16" s="2880">
        <f>IF(SUM(I23,'Table1.A(a)s2'!I16,'Table1.A(a)s3'!I15,'Table1.A(a)s4'!I16,'Table1.A(a)s4'!I99)=0,"NO",SUM(I23,'Table1.A(a)s2'!I16,'Table1.A(a)s3'!I15,'Table1.A(a)s4'!I16,'Table1.A(a)s4'!I99))</f>
        <v>38.451068448378486</v>
      </c>
      <c r="J16" s="2880">
        <f>IF(SUM(J23,'Table1.A(a)s2'!J16,'Table1.A(a)s3'!J15,'Table1.A(a)s4'!J16,'Table1.A(a)s4'!J99)=0,"NO",SUM(J23,'Table1.A(a)s2'!J16,'Table1.A(a)s3'!J15,'Table1.A(a)s4'!J16,'Table1.A(a)s4'!J99))</f>
        <v>0.86029961054106763</v>
      </c>
      <c r="K16" s="3066" t="str">
        <f>IF(SUM(K23,'Table1.A(a)s2'!K16,'Table1.A(a)s3'!K15,'Table1.A(a)s4'!K16,'Table1.A(a)s4'!K99)=0,"NO",SUM(K23,'Table1.A(a)s2'!K16,'Table1.A(a)s3'!K15,'Table1.A(a)s4'!K16,'Table1.A(a)s4'!K99))</f>
        <v>NO</v>
      </c>
    </row>
    <row r="17" spans="2:12" ht="18" customHeight="1" x14ac:dyDescent="0.2">
      <c r="B17" s="2184" t="s">
        <v>76</v>
      </c>
      <c r="C17" s="3067">
        <f>IF(SUM(C18:C23)=0,"NO",SUM(C18:C23))</f>
        <v>2827398.1159387636</v>
      </c>
      <c r="D17" s="3080" t="s">
        <v>1814</v>
      </c>
      <c r="E17" s="3081"/>
      <c r="F17" s="3081"/>
      <c r="G17" s="3081"/>
      <c r="H17" s="3067">
        <f>IF(SUM(H18:H22)=0,"NO",SUM(H18:H22))</f>
        <v>212993.00937885192</v>
      </c>
      <c r="I17" s="3067">
        <f t="shared" ref="I17" si="3">IF(SUM(I18:I23)=0,"NO",SUM(I18:I23))</f>
        <v>38.132491277266617</v>
      </c>
      <c r="J17" s="3067">
        <f t="shared" ref="J17" si="4">IF(SUM(J18:J23)=0,"NO",SUM(J18:J23))</f>
        <v>3.0129441502913017</v>
      </c>
      <c r="K17" s="3068" t="str">
        <f t="shared" ref="K17" si="5">IF(SUM(K18:K23)=0,"NO",SUM(K18:K23))</f>
        <v>NO</v>
      </c>
    </row>
    <row r="18" spans="2:12" ht="18" customHeight="1" x14ac:dyDescent="0.2">
      <c r="B18" s="282" t="s">
        <v>132</v>
      </c>
      <c r="C18" s="3086">
        <f>IF(SUM(C25,C54,C61)=0,"NO",SUM(C25,C54,C61))</f>
        <v>223751.79755340051</v>
      </c>
      <c r="D18" s="3077" t="s">
        <v>1814</v>
      </c>
      <c r="E18" s="1913">
        <f>IFERROR(H18*1000/$C18,"NA")</f>
        <v>67.984816161222838</v>
      </c>
      <c r="F18" s="1913">
        <f t="shared" ref="F18:G23" si="6">IFERROR(I18*1000000/$C18,"NA")</f>
        <v>3.0768054175808022</v>
      </c>
      <c r="G18" s="1913">
        <f t="shared" si="6"/>
        <v>2.1097396597711926</v>
      </c>
      <c r="H18" s="3086">
        <f>IF(SUM(H25,H54,H61)=0,"NO",SUM(H25,H54,H61))</f>
        <v>15211.724822411084</v>
      </c>
      <c r="I18" s="3086">
        <f>IF(SUM(I25,I54,I61)=0,"NO",SUM(I25,I54,I61))</f>
        <v>0.68844074290574553</v>
      </c>
      <c r="J18" s="3086">
        <f>IF(SUM(J25,J54,J61)=0,"NO",SUM(J25,J54,J61))</f>
        <v>0.47205804124350398</v>
      </c>
      <c r="K18" s="3069" t="str">
        <f>IF(SUM(K25,K54,K61)=0,"NO",SUM(K25,K54,K61))</f>
        <v>NO</v>
      </c>
      <c r="L18" s="19"/>
    </row>
    <row r="19" spans="2:12" ht="18" customHeight="1" x14ac:dyDescent="0.2">
      <c r="B19" s="282" t="s">
        <v>133</v>
      </c>
      <c r="C19" s="3086">
        <f t="shared" ref="C19:C23" si="7">IF(SUM(C26,C55,C62)=0,"NO",SUM(C26,C55,C62))</f>
        <v>1653299.4530849291</v>
      </c>
      <c r="D19" s="3077" t="s">
        <v>1814</v>
      </c>
      <c r="E19" s="1913">
        <f t="shared" ref="E19:E23" si="8">IFERROR(H19*1000/$C19,"NA")</f>
        <v>90.979079166055598</v>
      </c>
      <c r="F19" s="1913">
        <f t="shared" si="6"/>
        <v>0.68169158942555419</v>
      </c>
      <c r="G19" s="1913">
        <f t="shared" si="6"/>
        <v>0.89492384547489823</v>
      </c>
      <c r="H19" s="3086">
        <f t="shared" ref="H19:K23" si="9">IF(SUM(H26,H55,H62)=0,"NO",SUM(H26,H55,H62))</f>
        <v>150415.66182741019</v>
      </c>
      <c r="I19" s="3086">
        <f t="shared" si="9"/>
        <v>1.127040331969865</v>
      </c>
      <c r="J19" s="3086">
        <f t="shared" si="9"/>
        <v>1.4795771042763108</v>
      </c>
      <c r="K19" s="3069" t="str">
        <f t="shared" si="9"/>
        <v>NO</v>
      </c>
      <c r="L19" s="19"/>
    </row>
    <row r="20" spans="2:12" ht="18" customHeight="1" x14ac:dyDescent="0.2">
      <c r="B20" s="282" t="s">
        <v>134</v>
      </c>
      <c r="C20" s="3086">
        <f t="shared" si="7"/>
        <v>922666.40080561105</v>
      </c>
      <c r="D20" s="3077" t="s">
        <v>1814</v>
      </c>
      <c r="E20" s="1913">
        <f t="shared" si="8"/>
        <v>51.131065227796014</v>
      </c>
      <c r="F20" s="1913">
        <f t="shared" si="6"/>
        <v>36.25195165208148</v>
      </c>
      <c r="G20" s="1913">
        <f t="shared" si="6"/>
        <v>1.0631728033632513</v>
      </c>
      <c r="H20" s="3086">
        <f t="shared" si="9"/>
        <v>47176.915923087479</v>
      </c>
      <c r="I20" s="3086">
        <f t="shared" si="9"/>
        <v>33.448457753005044</v>
      </c>
      <c r="J20" s="3086">
        <f t="shared" si="9"/>
        <v>0.98095382391358255</v>
      </c>
      <c r="K20" s="3069" t="str">
        <f t="shared" si="9"/>
        <v>NO</v>
      </c>
      <c r="L20" s="19"/>
    </row>
    <row r="21" spans="2:12" ht="18" customHeight="1" x14ac:dyDescent="0.2">
      <c r="B21" s="282" t="s">
        <v>135</v>
      </c>
      <c r="C21" s="3086">
        <f t="shared" si="7"/>
        <v>3950.7558500000005</v>
      </c>
      <c r="D21" s="3077" t="s">
        <v>1814</v>
      </c>
      <c r="E21" s="1913">
        <f t="shared" si="8"/>
        <v>47.764734928671999</v>
      </c>
      <c r="F21" s="1913">
        <f t="shared" si="6"/>
        <v>1.0281818181818181</v>
      </c>
      <c r="G21" s="1913">
        <f t="shared" si="6"/>
        <v>0.4246363636363637</v>
      </c>
      <c r="H21" s="3086">
        <f t="shared" si="9"/>
        <v>188.70680594315024</v>
      </c>
      <c r="I21" s="3086">
        <f t="shared" si="9"/>
        <v>4.0620953330454549E-3</v>
      </c>
      <c r="J21" s="3086">
        <f t="shared" si="9"/>
        <v>1.6776345977590913E-3</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23729.708644823288</v>
      </c>
      <c r="D23" s="3077" t="s">
        <v>1814</v>
      </c>
      <c r="E23" s="1913">
        <f t="shared" si="8"/>
        <v>70.715479733491605</v>
      </c>
      <c r="F23" s="1913">
        <f t="shared" si="6"/>
        <v>120.71325429770104</v>
      </c>
      <c r="G23" s="1913">
        <f t="shared" si="6"/>
        <v>3.3155715241918311</v>
      </c>
      <c r="H23" s="3086">
        <f t="shared" si="9"/>
        <v>1678.0577307546619</v>
      </c>
      <c r="I23" s="3086">
        <f t="shared" si="9"/>
        <v>2.8644903540529083</v>
      </c>
      <c r="J23" s="3086">
        <f t="shared" si="9"/>
        <v>7.8677546260144823E-2</v>
      </c>
      <c r="K23" s="3069" t="str">
        <f t="shared" si="9"/>
        <v>NO</v>
      </c>
      <c r="L23" s="19"/>
    </row>
    <row r="24" spans="2:12" ht="18" customHeight="1" x14ac:dyDescent="0.2">
      <c r="B24" s="1237" t="s">
        <v>138</v>
      </c>
      <c r="C24" s="3086">
        <f>IF(SUM(C25:C30)=0,"NO",SUM(C25:C30))</f>
        <v>2289876.9614821272</v>
      </c>
      <c r="D24" s="3077" t="s">
        <v>1814</v>
      </c>
      <c r="E24" s="628"/>
      <c r="F24" s="628"/>
      <c r="G24" s="628"/>
      <c r="H24" s="3086">
        <f>IF(SUM(H25:H29)=0,"NO",SUM(H25:H29))</f>
        <v>182369.58665547601</v>
      </c>
      <c r="I24" s="3086">
        <f t="shared" ref="I24" si="10">IF(SUM(I25:I30)=0,"NO",SUM(I25:I30))</f>
        <v>24.950121932651498</v>
      </c>
      <c r="J24" s="3086">
        <f t="shared" ref="J24" si="11">IF(SUM(J25:J30)=0,"NO",SUM(J25:J30))</f>
        <v>2.2413596882569222</v>
      </c>
      <c r="K24" s="3069" t="str">
        <f t="shared" ref="K24" si="12">IF(SUM(K25:K30)=0,"NO",SUM(K25:K30))</f>
        <v>NO</v>
      </c>
      <c r="L24" s="19"/>
    </row>
    <row r="25" spans="2:12" ht="18" customHeight="1" x14ac:dyDescent="0.2">
      <c r="B25" s="160" t="s">
        <v>132</v>
      </c>
      <c r="C25" s="3074">
        <f>IF(SUM(C33,C40,C47)=0,"NO",SUM(C33,C40,C47))</f>
        <v>50899.303590900548</v>
      </c>
      <c r="D25" s="3082" t="s">
        <v>1814</v>
      </c>
      <c r="E25" s="3086">
        <f>IFERROR(H25*1000/$C25,"NA")</f>
        <v>69.967029724560135</v>
      </c>
      <c r="F25" s="1913">
        <f t="shared" ref="F25:G30" si="13">IFERROR(I25*1000000/$C25,"NA")</f>
        <v>3.7539769292259235</v>
      </c>
      <c r="G25" s="1913">
        <f t="shared" si="13"/>
        <v>0.37922703411685665</v>
      </c>
      <c r="H25" s="3086">
        <f>IF(SUM(H33,H40,H47)=0,"NO",SUM(H33,H40,H47))</f>
        <v>3561.2730873039491</v>
      </c>
      <c r="I25" s="3086">
        <f>IF(SUM(I33,I40,I47)=0,"NO",SUM(I33,I40,I47))</f>
        <v>0.19107481139390686</v>
      </c>
      <c r="J25" s="3086">
        <f>IF(SUM(J33,J40,J47)=0,"NO",SUM(J33,J40,J47))</f>
        <v>1.9302391939390685E-2</v>
      </c>
      <c r="K25" s="3069" t="str">
        <f>IF(SUM(K33,K40,K47)=0,"NO",SUM(K33,K40,K47))</f>
        <v>NO</v>
      </c>
      <c r="L25" s="19"/>
    </row>
    <row r="26" spans="2:12" ht="18" customHeight="1" x14ac:dyDescent="0.2">
      <c r="B26" s="160" t="s">
        <v>133</v>
      </c>
      <c r="C26" s="3086">
        <f t="shared" ref="C26:C30" si="14">IF(SUM(C34,C41,C48)=0,"NO",SUM(C34,C41,C48))</f>
        <v>1644014.3490025683</v>
      </c>
      <c r="D26" s="3082" t="s">
        <v>1814</v>
      </c>
      <c r="E26" s="3086">
        <f t="shared" ref="E26:E30" si="15">IFERROR(H26*1000/$C26,"NA")</f>
        <v>91.056572627255989</v>
      </c>
      <c r="F26" s="1913">
        <f t="shared" si="13"/>
        <v>0.68012002546305861</v>
      </c>
      <c r="G26" s="1913">
        <f t="shared" si="13"/>
        <v>0.89571650652870094</v>
      </c>
      <c r="H26" s="3086">
        <f t="shared" ref="H26:K30" si="16">IF(SUM(H34,H41,H48)=0,"NO",SUM(H34,H41,H48))</f>
        <v>149698.31197020333</v>
      </c>
      <c r="I26" s="3086">
        <f t="shared" si="16"/>
        <v>1.1181270809052606</v>
      </c>
      <c r="J26" s="3086">
        <f t="shared" si="16"/>
        <v>1.4725707893716369</v>
      </c>
      <c r="K26" s="3069" t="str">
        <f t="shared" si="16"/>
        <v>NO</v>
      </c>
      <c r="L26" s="19"/>
    </row>
    <row r="27" spans="2:12" ht="18" customHeight="1" x14ac:dyDescent="0.2">
      <c r="B27" s="160" t="s">
        <v>134</v>
      </c>
      <c r="C27" s="3086">
        <f t="shared" si="14"/>
        <v>571251.49724383501</v>
      </c>
      <c r="D27" s="3082" t="s">
        <v>1814</v>
      </c>
      <c r="E27" s="3086">
        <f t="shared" si="15"/>
        <v>50.958293743505664</v>
      </c>
      <c r="F27" s="1913">
        <f t="shared" si="13"/>
        <v>36.370134997369028</v>
      </c>
      <c r="G27" s="1913">
        <f t="shared" si="13"/>
        <v>1.1743919830317295</v>
      </c>
      <c r="H27" s="3086">
        <f t="shared" si="16"/>
        <v>29110.00159796876</v>
      </c>
      <c r="I27" s="3086">
        <f t="shared" si="16"/>
        <v>20.776494072207463</v>
      </c>
      <c r="J27" s="3086">
        <f t="shared" si="16"/>
        <v>0.67087317865803198</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23711.811644823287</v>
      </c>
      <c r="D30" s="3082" t="s">
        <v>1814</v>
      </c>
      <c r="E30" s="3086">
        <f t="shared" si="15"/>
        <v>70.717446525878898</v>
      </c>
      <c r="F30" s="1913">
        <f t="shared" si="13"/>
        <v>120.80164987183603</v>
      </c>
      <c r="G30" s="1913">
        <f t="shared" si="13"/>
        <v>3.3153657538025292</v>
      </c>
      <c r="H30" s="3086">
        <f t="shared" si="16"/>
        <v>1676.8387720245032</v>
      </c>
      <c r="I30" s="3086">
        <f t="shared" si="16"/>
        <v>2.8644259681448672</v>
      </c>
      <c r="J30" s="3086">
        <f t="shared" si="16"/>
        <v>7.8613328287863146E-2</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2289876.9614821272</v>
      </c>
      <c r="D32" s="3077" t="s">
        <v>1814</v>
      </c>
      <c r="E32" s="1914"/>
      <c r="F32" s="1914"/>
      <c r="G32" s="1914"/>
      <c r="H32" s="3086">
        <f>IF(SUM(H33:H37)=0,"NO",SUM(H33:H37))</f>
        <v>182369.58665547601</v>
      </c>
      <c r="I32" s="3086">
        <f t="shared" ref="I32" si="17">IF(SUM(I33:I38)=0,"NO",SUM(I33:I38))</f>
        <v>24.950121932651498</v>
      </c>
      <c r="J32" s="3086">
        <f t="shared" ref="J32" si="18">IF(SUM(J33:J38)=0,"NO",SUM(J33:J38))</f>
        <v>2.2413596882569222</v>
      </c>
      <c r="K32" s="3069" t="str">
        <f t="shared" ref="K32" si="19">IF(SUM(K33:K38)=0,"NO",SUM(K33:K38))</f>
        <v>NO</v>
      </c>
      <c r="L32" s="19"/>
    </row>
    <row r="33" spans="2:12" ht="18" customHeight="1" x14ac:dyDescent="0.2">
      <c r="B33" s="160" t="s">
        <v>132</v>
      </c>
      <c r="C33" s="3033">
        <v>50899.303590900548</v>
      </c>
      <c r="D33" s="3077" t="s">
        <v>1814</v>
      </c>
      <c r="E33" s="1913">
        <f>IFERROR(H33*1000/$C33,"NA")</f>
        <v>69.967029724560135</v>
      </c>
      <c r="F33" s="1913">
        <f t="shared" ref="F33:G38" si="20">IFERROR(I33*1000000/$C33,"NA")</f>
        <v>3.7539769292259235</v>
      </c>
      <c r="G33" s="1913">
        <f t="shared" si="20"/>
        <v>0.37922703411685665</v>
      </c>
      <c r="H33" s="3033">
        <v>3561.2730873039491</v>
      </c>
      <c r="I33" s="3033">
        <v>0.19107481139390686</v>
      </c>
      <c r="J33" s="3033">
        <v>1.9302391939390685E-2</v>
      </c>
      <c r="K33" s="3072" t="s">
        <v>2146</v>
      </c>
      <c r="L33" s="19"/>
    </row>
    <row r="34" spans="2:12" ht="18" customHeight="1" x14ac:dyDescent="0.2">
      <c r="B34" s="160" t="s">
        <v>133</v>
      </c>
      <c r="C34" s="3033">
        <v>1644014.3490025683</v>
      </c>
      <c r="D34" s="3077" t="s">
        <v>1814</v>
      </c>
      <c r="E34" s="1913">
        <f t="shared" ref="E34:E38" si="21">IFERROR(H34*1000/$C34,"NA")</f>
        <v>91.056572627255989</v>
      </c>
      <c r="F34" s="1913">
        <f t="shared" si="20"/>
        <v>0.68012002546305861</v>
      </c>
      <c r="G34" s="1913">
        <f t="shared" si="20"/>
        <v>0.89571650652870094</v>
      </c>
      <c r="H34" s="3033">
        <v>149698.31197020333</v>
      </c>
      <c r="I34" s="3033">
        <v>1.1181270809052606</v>
      </c>
      <c r="J34" s="3033">
        <v>1.4725707893716369</v>
      </c>
      <c r="K34" s="3072" t="s">
        <v>2146</v>
      </c>
      <c r="L34" s="19"/>
    </row>
    <row r="35" spans="2:12" ht="18" customHeight="1" x14ac:dyDescent="0.2">
      <c r="B35" s="160" t="s">
        <v>134</v>
      </c>
      <c r="C35" s="3033">
        <v>571251.49724383501</v>
      </c>
      <c r="D35" s="3077" t="s">
        <v>1814</v>
      </c>
      <c r="E35" s="1913">
        <f t="shared" si="21"/>
        <v>50.958293743505664</v>
      </c>
      <c r="F35" s="1913">
        <f t="shared" si="20"/>
        <v>36.370134997369028</v>
      </c>
      <c r="G35" s="1913">
        <f t="shared" si="20"/>
        <v>1.1743919830317295</v>
      </c>
      <c r="H35" s="3033">
        <v>29110.00159796876</v>
      </c>
      <c r="I35" s="3033">
        <v>20.776494072207463</v>
      </c>
      <c r="J35" s="3033">
        <v>0.67087317865803198</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23711.811644823287</v>
      </c>
      <c r="D38" s="3077" t="s">
        <v>1814</v>
      </c>
      <c r="E38" s="1913">
        <f t="shared" si="21"/>
        <v>70.717446525878898</v>
      </c>
      <c r="F38" s="1913">
        <f t="shared" si="20"/>
        <v>120.80164987183603</v>
      </c>
      <c r="G38" s="1913">
        <f t="shared" si="20"/>
        <v>3.3153657538025292</v>
      </c>
      <c r="H38" s="3033">
        <v>1676.8387720245032</v>
      </c>
      <c r="I38" s="3033">
        <v>2.8644259681448672</v>
      </c>
      <c r="J38" s="3033">
        <v>7.8613328287863146E-2</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51896.538374275995</v>
      </c>
      <c r="D53" s="3077" t="s">
        <v>1814</v>
      </c>
      <c r="E53" s="628"/>
      <c r="F53" s="628"/>
      <c r="G53" s="628"/>
      <c r="H53" s="3086">
        <f>IF(SUM(H54:H58)=0,"NO",SUM(H54:H58))</f>
        <v>3075.1994340628144</v>
      </c>
      <c r="I53" s="3086">
        <f t="shared" ref="I53:K53" si="28">IF(SUM(I54:I59)=0,"NO",SUM(I54:I59))</f>
        <v>5.0167970033116349E-2</v>
      </c>
      <c r="J53" s="3086">
        <f t="shared" si="28"/>
        <v>7.2369951356281194E-3</v>
      </c>
      <c r="K53" s="3069" t="str">
        <f t="shared" si="28"/>
        <v>NO</v>
      </c>
      <c r="L53" s="19"/>
    </row>
    <row r="54" spans="2:12" ht="18" customHeight="1" x14ac:dyDescent="0.2">
      <c r="B54" s="160" t="s">
        <v>132</v>
      </c>
      <c r="C54" s="3033">
        <v>45541.216962499995</v>
      </c>
      <c r="D54" s="3077" t="s">
        <v>1814</v>
      </c>
      <c r="E54" s="1913">
        <f>IFERROR(H54*1000/$C54,"NA")</f>
        <v>60.66744553820898</v>
      </c>
      <c r="F54" s="1913">
        <f t="shared" ref="F54:G59" si="29">IFERROR(I54*1000000/$C54,"NA")</f>
        <v>0.95811106990741657</v>
      </c>
      <c r="G54" s="1913">
        <f t="shared" si="29"/>
        <v>9.9652465706575308E-2</v>
      </c>
      <c r="H54" s="3033">
        <v>2762.8692998162273</v>
      </c>
      <c r="I54" s="3033">
        <v>4.3633544108826659E-2</v>
      </c>
      <c r="J54" s="3033">
        <v>4.5382945615912371E-3</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2404.5655617759999</v>
      </c>
      <c r="D56" s="3077" t="s">
        <v>1814</v>
      </c>
      <c r="E56" s="1913">
        <f t="shared" si="30"/>
        <v>51.411918339265</v>
      </c>
      <c r="F56" s="1913">
        <f t="shared" si="29"/>
        <v>1.0281818181818181</v>
      </c>
      <c r="G56" s="1913">
        <f t="shared" si="29"/>
        <v>0.4246363636363637</v>
      </c>
      <c r="H56" s="3033">
        <v>123.62332830343658</v>
      </c>
      <c r="I56" s="3033">
        <v>2.4723305912442324E-3</v>
      </c>
      <c r="J56" s="3033">
        <v>1.0210659762777906E-3</v>
      </c>
      <c r="K56" s="3072" t="s">
        <v>2146</v>
      </c>
    </row>
    <row r="57" spans="2:12" ht="18" customHeight="1" x14ac:dyDescent="0.2">
      <c r="B57" s="282" t="s">
        <v>135</v>
      </c>
      <c r="C57" s="3033">
        <v>3950.7558500000005</v>
      </c>
      <c r="D57" s="3077" t="s">
        <v>1814</v>
      </c>
      <c r="E57" s="1913">
        <f t="shared" si="30"/>
        <v>47.764734928671999</v>
      </c>
      <c r="F57" s="1913">
        <f t="shared" si="29"/>
        <v>1.0281818181818181</v>
      </c>
      <c r="G57" s="1913">
        <f t="shared" si="29"/>
        <v>0.4246363636363637</v>
      </c>
      <c r="H57" s="3033">
        <v>188.70680594315024</v>
      </c>
      <c r="I57" s="3033">
        <v>4.0620953330454549E-3</v>
      </c>
      <c r="J57" s="3033">
        <v>1.6776345977590913E-3</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485624.61608236074</v>
      </c>
      <c r="D60" s="3077" t="s">
        <v>1814</v>
      </c>
      <c r="E60" s="628"/>
      <c r="F60" s="628"/>
      <c r="G60" s="628"/>
      <c r="H60" s="3086">
        <f>IF(SUM(H61:H65)=0,"NO",SUM(H61:H65))</f>
        <v>27548.223289313049</v>
      </c>
      <c r="I60" s="3086">
        <f t="shared" ref="I60:K60" si="31">IF(SUM(I61:I66)=0,"NO",SUM(I61:I66))</f>
        <v>13.132201374581994</v>
      </c>
      <c r="J60" s="3086">
        <f t="shared" si="31"/>
        <v>0.76434746689875033</v>
      </c>
      <c r="K60" s="3069" t="str">
        <f t="shared" si="31"/>
        <v>NO</v>
      </c>
      <c r="L60" s="19"/>
    </row>
    <row r="61" spans="2:12" ht="18" customHeight="1" x14ac:dyDescent="0.2">
      <c r="B61" s="160" t="s">
        <v>132</v>
      </c>
      <c r="C61" s="3074">
        <f>IF(SUM(C69,C76,C83)=0,"NO",SUM(C69,C76,C83))</f>
        <v>127311.27699999997</v>
      </c>
      <c r="D61" s="3077" t="s">
        <v>1814</v>
      </c>
      <c r="E61" s="1913">
        <f>IFERROR(H61*1000/$C61,"NA")</f>
        <v>69.809860090327348</v>
      </c>
      <c r="F61" s="1913">
        <f t="shared" ref="F61:G66" si="32">IFERROR(I61*1000000/$C61,"NA")</f>
        <v>3.5639606961370127</v>
      </c>
      <c r="G61" s="1913">
        <f t="shared" si="32"/>
        <v>3.5206414176689327</v>
      </c>
      <c r="H61" s="3074">
        <f>IF(SUM(H69,H76,H83)=0,"NO",SUM(H69,H76,H83))</f>
        <v>8887.5824352909076</v>
      </c>
      <c r="I61" s="3074">
        <f>IF(SUM(I69,I76,I83)=0,"NO",SUM(I69,I76,I83))</f>
        <v>0.45373238740301197</v>
      </c>
      <c r="J61" s="3074">
        <f>IF(SUM(J69,J76,J83)=0,"NO",SUM(J69,J76,J83))</f>
        <v>0.44821735474252206</v>
      </c>
      <c r="K61" s="3088" t="str">
        <f>IF(SUM(K69,K76,K83)=0,"NO",SUM(K69,K76,K83))</f>
        <v>NO</v>
      </c>
    </row>
    <row r="62" spans="2:12" ht="18" customHeight="1" x14ac:dyDescent="0.2">
      <c r="B62" s="160" t="s">
        <v>133</v>
      </c>
      <c r="C62" s="3074">
        <f t="shared" ref="C62:C66" si="33">IF(SUM(C70,C77,C84)=0,"NO",SUM(C70,C77,C84))</f>
        <v>9285.1040823607673</v>
      </c>
      <c r="D62" s="3077" t="s">
        <v>1814</v>
      </c>
      <c r="E62" s="1913">
        <f t="shared" ref="E62:E66" si="34">IFERROR(H62*1000/$C62,"NA")</f>
        <v>77.258138502683295</v>
      </c>
      <c r="F62" s="1913">
        <f t="shared" si="32"/>
        <v>0.95995165865047072</v>
      </c>
      <c r="G62" s="1913">
        <f t="shared" si="32"/>
        <v>0.754575806854338</v>
      </c>
      <c r="H62" s="3074">
        <f t="shared" ref="H62:K66" si="35">IF(SUM(H70,H77,H84)=0,"NO",SUM(H70,H77,H84))</f>
        <v>717.34985720685825</v>
      </c>
      <c r="I62" s="3074">
        <f t="shared" si="35"/>
        <v>8.9132510646044751E-3</v>
      </c>
      <c r="J62" s="3074">
        <f t="shared" si="35"/>
        <v>7.0063149046738831E-3</v>
      </c>
      <c r="K62" s="3088" t="str">
        <f t="shared" si="35"/>
        <v>NO</v>
      </c>
    </row>
    <row r="63" spans="2:12" ht="18" customHeight="1" x14ac:dyDescent="0.2">
      <c r="B63" s="160" t="s">
        <v>134</v>
      </c>
      <c r="C63" s="3074">
        <f t="shared" si="33"/>
        <v>349010.33799999999</v>
      </c>
      <c r="D63" s="3077" t="s">
        <v>1814</v>
      </c>
      <c r="E63" s="1913">
        <f t="shared" si="34"/>
        <v>51.411918339265021</v>
      </c>
      <c r="F63" s="1913">
        <f t="shared" si="32"/>
        <v>36.301192173299853</v>
      </c>
      <c r="G63" s="1913">
        <f t="shared" si="32"/>
        <v>0.88553130274116054</v>
      </c>
      <c r="H63" s="3074">
        <f t="shared" si="35"/>
        <v>17943.290996815282</v>
      </c>
      <c r="I63" s="3074">
        <f t="shared" si="35"/>
        <v>12.669491350206336</v>
      </c>
      <c r="J63" s="3074">
        <f t="shared" si="35"/>
        <v>0.30905957927927274</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f t="shared" si="33"/>
        <v>17.896999999999998</v>
      </c>
      <c r="D66" s="3077" t="s">
        <v>1814</v>
      </c>
      <c r="E66" s="1913">
        <f t="shared" si="34"/>
        <v>68.109668109668092</v>
      </c>
      <c r="F66" s="1913">
        <f t="shared" si="32"/>
        <v>3.5975810493976876</v>
      </c>
      <c r="G66" s="1913">
        <f t="shared" si="32"/>
        <v>3.5881975907510713</v>
      </c>
      <c r="H66" s="3074">
        <f t="shared" si="35"/>
        <v>1.2189587301587299</v>
      </c>
      <c r="I66" s="3074">
        <f t="shared" si="35"/>
        <v>6.438590804107041E-5</v>
      </c>
      <c r="J66" s="3074">
        <f t="shared" si="35"/>
        <v>6.421797228167192E-5</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9284.3730823607675</v>
      </c>
      <c r="D68" s="3077" t="s">
        <v>1814</v>
      </c>
      <c r="E68" s="628"/>
      <c r="F68" s="628"/>
      <c r="G68" s="628"/>
      <c r="H68" s="3086">
        <f>IF(SUM(H69:H73)=0,"NO",SUM(H69:H73))</f>
        <v>717.28617614185828</v>
      </c>
      <c r="I68" s="3086">
        <f t="shared" ref="I68:K68" si="36">IF(SUM(I69:I74)=0,"NO",SUM(I69:I74))</f>
        <v>8.9127637312711415E-3</v>
      </c>
      <c r="J68" s="3086">
        <f t="shared" si="36"/>
        <v>7.0059668094357881E-3</v>
      </c>
      <c r="K68" s="3069" t="str">
        <f t="shared" si="36"/>
        <v>NO</v>
      </c>
    </row>
    <row r="69" spans="2:11" ht="18" customHeight="1" x14ac:dyDescent="0.2">
      <c r="B69" s="282" t="s">
        <v>132</v>
      </c>
      <c r="C69" s="3033" t="s">
        <v>2146</v>
      </c>
      <c r="D69" s="3076" t="s">
        <v>1814</v>
      </c>
      <c r="E69" s="1913" t="str">
        <f>IFERROR(H69*1000/$C69,"NA")</f>
        <v>NA</v>
      </c>
      <c r="F69" s="1913" t="str">
        <f t="shared" ref="F69:G74" si="37">IFERROR(I69*1000000/$C69,"NA")</f>
        <v>NA</v>
      </c>
      <c r="G69" s="1913" t="str">
        <f t="shared" si="37"/>
        <v>NA</v>
      </c>
      <c r="H69" s="3033" t="s">
        <v>2146</v>
      </c>
      <c r="I69" s="3033" t="s">
        <v>2146</v>
      </c>
      <c r="J69" s="3033" t="s">
        <v>2146</v>
      </c>
      <c r="K69" s="3072" t="s">
        <v>2146</v>
      </c>
    </row>
    <row r="70" spans="2:11" ht="18" customHeight="1" x14ac:dyDescent="0.2">
      <c r="B70" s="282" t="s">
        <v>133</v>
      </c>
      <c r="C70" s="3033">
        <v>9284.3730823607675</v>
      </c>
      <c r="D70" s="3076" t="s">
        <v>1814</v>
      </c>
      <c r="E70" s="1913">
        <f t="shared" ref="E70:E74" si="38">IFERROR(H70*1000/$C70,"NA")</f>
        <v>77.257362428123329</v>
      </c>
      <c r="F70" s="1913">
        <f t="shared" si="37"/>
        <v>0.95997475028274759</v>
      </c>
      <c r="G70" s="1913">
        <f t="shared" si="37"/>
        <v>0.75459772536998893</v>
      </c>
      <c r="H70" s="3033">
        <v>717.28617614185828</v>
      </c>
      <c r="I70" s="3033">
        <v>8.9127637312711415E-3</v>
      </c>
      <c r="J70" s="3033">
        <v>7.0059668094357881E-3</v>
      </c>
      <c r="K70" s="3072" t="s">
        <v>2146</v>
      </c>
    </row>
    <row r="71" spans="2:11" ht="18" customHeight="1" x14ac:dyDescent="0.2">
      <c r="B71" s="160" t="s">
        <v>134</v>
      </c>
      <c r="C71" s="3033" t="s">
        <v>2146</v>
      </c>
      <c r="D71" s="3076" t="s">
        <v>1814</v>
      </c>
      <c r="E71" s="1913" t="str">
        <f t="shared" si="38"/>
        <v>NA</v>
      </c>
      <c r="F71" s="1913" t="str">
        <f t="shared" si="37"/>
        <v>NA</v>
      </c>
      <c r="G71" s="1913" t="str">
        <f t="shared" si="37"/>
        <v>NA</v>
      </c>
      <c r="H71" s="3033" t="s">
        <v>2146</v>
      </c>
      <c r="I71" s="3033" t="s">
        <v>2146</v>
      </c>
      <c r="J71" s="3033" t="s">
        <v>2146</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344760.348</v>
      </c>
      <c r="D75" s="3077" t="s">
        <v>1814</v>
      </c>
      <c r="E75" s="628"/>
      <c r="F75" s="628"/>
      <c r="G75" s="628"/>
      <c r="H75" s="3086">
        <f>IF(SUM(H76:H80)=0,"NO",SUM(H76:H80))</f>
        <v>17824.507337644176</v>
      </c>
      <c r="I75" s="3086">
        <f t="shared" ref="I75:K75" si="39">IF(SUM(I76:I81)=0,"NO",SUM(I76:I81))</f>
        <v>12.651323972387903</v>
      </c>
      <c r="J75" s="3086">
        <f t="shared" si="39"/>
        <v>0.31274983805702772</v>
      </c>
      <c r="K75" s="3069" t="str">
        <f t="shared" si="39"/>
        <v>NO</v>
      </c>
    </row>
    <row r="76" spans="2:11" ht="18" customHeight="1" x14ac:dyDescent="0.2">
      <c r="B76" s="282" t="s">
        <v>132</v>
      </c>
      <c r="C76" s="3033">
        <v>6003.2420000000011</v>
      </c>
      <c r="D76" s="3076" t="s">
        <v>1814</v>
      </c>
      <c r="E76" s="1913">
        <f>IFERROR(H76*1000/$C76,"NA")</f>
        <v>68.018008964778929</v>
      </c>
      <c r="F76" s="1913">
        <f t="shared" ref="F76:G81" si="40">IFERROR(I76*1000000/$C76,"NA")</f>
        <v>2.8121043944493413</v>
      </c>
      <c r="G76" s="1913">
        <f t="shared" si="40"/>
        <v>2.1674438836501055</v>
      </c>
      <c r="H76" s="3033">
        <v>408.32856817373744</v>
      </c>
      <c r="I76" s="3033">
        <v>1.6881743209142857E-2</v>
      </c>
      <c r="J76" s="3033">
        <v>1.3011690154971429E-2</v>
      </c>
      <c r="K76" s="3072" t="s">
        <v>2146</v>
      </c>
    </row>
    <row r="77" spans="2:11" ht="18" customHeight="1" x14ac:dyDescent="0.2">
      <c r="B77" s="282" t="s">
        <v>133</v>
      </c>
      <c r="C77" s="3033">
        <v>0.73099999999999998</v>
      </c>
      <c r="D77" s="3076" t="s">
        <v>1814</v>
      </c>
      <c r="E77" s="1913">
        <f t="shared" ref="E77:E81" si="41">IFERROR(H77*1000/$C77,"NA")</f>
        <v>87.114999999999995</v>
      </c>
      <c r="F77" s="1913">
        <f t="shared" si="40"/>
        <v>0.66666666666666663</v>
      </c>
      <c r="G77" s="1913">
        <f t="shared" si="40"/>
        <v>0.47619047619047616</v>
      </c>
      <c r="H77" s="3033">
        <v>6.3681064999999995E-2</v>
      </c>
      <c r="I77" s="3033">
        <v>4.8733333333333328E-7</v>
      </c>
      <c r="J77" s="3033">
        <v>3.4809523809523809E-7</v>
      </c>
      <c r="K77" s="3072" t="s">
        <v>2146</v>
      </c>
    </row>
    <row r="78" spans="2:11" ht="18" customHeight="1" x14ac:dyDescent="0.2">
      <c r="B78" s="160" t="s">
        <v>134</v>
      </c>
      <c r="C78" s="3033">
        <v>338756.375</v>
      </c>
      <c r="D78" s="3076" t="s">
        <v>1814</v>
      </c>
      <c r="E78" s="1913">
        <f t="shared" si="41"/>
        <v>51.411918339265021</v>
      </c>
      <c r="F78" s="1913">
        <f t="shared" si="40"/>
        <v>37.296543103714072</v>
      </c>
      <c r="G78" s="1913">
        <f t="shared" si="40"/>
        <v>0.88481818181818184</v>
      </c>
      <c r="H78" s="3033">
        <v>17416.115088405437</v>
      </c>
      <c r="I78" s="3033">
        <v>12.634441741845427</v>
      </c>
      <c r="J78" s="3033">
        <v>0.29973779980681819</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131579.89499999996</v>
      </c>
      <c r="D82" s="3077" t="s">
        <v>1814</v>
      </c>
      <c r="E82" s="628"/>
      <c r="F82" s="628"/>
      <c r="G82" s="628"/>
      <c r="H82" s="3086">
        <f>IF(SUM(H83:H87)=0,"NO",SUM(H83:H87))</f>
        <v>9006.4297755270145</v>
      </c>
      <c r="I82" s="3086">
        <f t="shared" ref="I82:K82" si="42">IF(SUM(I83:I88)=0,"NO",SUM(I83:I88))</f>
        <v>0.47196463846281927</v>
      </c>
      <c r="J82" s="3086">
        <f t="shared" si="42"/>
        <v>0.44459166203228684</v>
      </c>
      <c r="K82" s="3069" t="str">
        <f t="shared" si="42"/>
        <v>NO</v>
      </c>
    </row>
    <row r="83" spans="2:11" ht="18" customHeight="1" x14ac:dyDescent="0.2">
      <c r="B83" s="282" t="s">
        <v>132</v>
      </c>
      <c r="C83" s="3033">
        <v>121308.03499999997</v>
      </c>
      <c r="D83" s="3076" t="s">
        <v>1814</v>
      </c>
      <c r="E83" s="1913">
        <f>IFERROR(H83*1000/$C83,"NA")</f>
        <v>69.898534479741357</v>
      </c>
      <c r="F83" s="1913">
        <f t="shared" ref="F83:G88" si="43">IFERROR(I83*1000000/$C83,"NA")</f>
        <v>3.6011682506758036</v>
      </c>
      <c r="G83" s="1913">
        <f t="shared" si="43"/>
        <v>3.5876078990773426</v>
      </c>
      <c r="H83" s="3033">
        <v>8479.2538671171696</v>
      </c>
      <c r="I83" s="3033">
        <v>0.4368506441938691</v>
      </c>
      <c r="J83" s="3033">
        <v>0.43520566458755061</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10253.963000000003</v>
      </c>
      <c r="D85" s="3076" t="s">
        <v>1814</v>
      </c>
      <c r="E85" s="1913">
        <f t="shared" si="44"/>
        <v>51.411918339264979</v>
      </c>
      <c r="F85" s="1913">
        <f t="shared" si="43"/>
        <v>3.4181524119902806</v>
      </c>
      <c r="G85" s="1913">
        <f t="shared" si="43"/>
        <v>0.9090904143553612</v>
      </c>
      <c r="H85" s="3033">
        <v>527.17590840984474</v>
      </c>
      <c r="I85" s="3033">
        <v>3.5049608360909104E-2</v>
      </c>
      <c r="J85" s="3033">
        <v>9.3217794724545465E-3</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v>17.896999999999998</v>
      </c>
      <c r="D88" s="3084" t="s">
        <v>1814</v>
      </c>
      <c r="E88" s="2880">
        <f t="shared" si="44"/>
        <v>68.109668109668092</v>
      </c>
      <c r="F88" s="2880">
        <f t="shared" si="43"/>
        <v>3.5975810493976876</v>
      </c>
      <c r="G88" s="2880">
        <f t="shared" si="43"/>
        <v>3.5881975907510713</v>
      </c>
      <c r="H88" s="3040">
        <v>1.2189587301587299</v>
      </c>
      <c r="I88" s="3040">
        <v>6.438590804107041E-5</v>
      </c>
      <c r="J88" s="3040">
        <v>6.421797228167192E-5</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55334545.096838295</v>
      </c>
      <c r="G10" s="3657" t="s">
        <v>2147</v>
      </c>
      <c r="H10" s="3658">
        <f t="shared" ref="H10:H13" si="0">IF(SUM($F10)=0,"NA",K10*1000/$F10)</f>
        <v>8.5983815800115219E-3</v>
      </c>
      <c r="I10" s="3659">
        <f t="shared" ref="I10:I13" si="1">IF(SUM($F10)=0,"NA",L10*1000/$F10)</f>
        <v>1.9399169044455959E-4</v>
      </c>
      <c r="J10" s="3499" t="str">
        <f>IF(SUM(J11,J25,J36,J48,J59,J70,J76)=0,"IE",SUM(J11,J25,J36,J48,J59,J70,J76))</f>
        <v>IE</v>
      </c>
      <c r="K10" s="3500">
        <f>IF(SUM(K11,K25,K36,K48,K59,K70,K76)=0,"NO",SUM(K11,K25,K36,K48,K59,K70,K76))</f>
        <v>475.78753329897131</v>
      </c>
      <c r="L10" s="3501">
        <f>IF(SUM(L11,L25,L36,L48,L59,L70,L76)=0,"NO",SUM(L11,L25,L36,L48,L59,L70,L76))</f>
        <v>10.734441943316376</v>
      </c>
    </row>
    <row r="11" spans="2:13" ht="18" customHeight="1" x14ac:dyDescent="0.2">
      <c r="B11" s="933" t="s">
        <v>1985</v>
      </c>
      <c r="C11" s="934"/>
      <c r="D11" s="2850"/>
      <c r="E11" s="2854" t="s">
        <v>2250</v>
      </c>
      <c r="F11" s="3679">
        <f>IF(SUM(F12,F19)=0,"NO",SUM(F12,F19))</f>
        <v>6511175.9213630594</v>
      </c>
      <c r="G11" s="3660" t="s">
        <v>2147</v>
      </c>
      <c r="H11" s="3661">
        <f t="shared" si="0"/>
        <v>3.5284014965504852E-2</v>
      </c>
      <c r="I11" s="3662">
        <f t="shared" si="1"/>
        <v>5.6001256018402246E-4</v>
      </c>
      <c r="J11" s="3502" t="str">
        <f>IF(SUM(J12,J19)=0,"IE",SUM(J12,J19))</f>
        <v>IE</v>
      </c>
      <c r="K11" s="3503">
        <f>IF(SUM(K12,K19)=0,"NO",SUM(K12,K19))</f>
        <v>229.74042865240904</v>
      </c>
      <c r="L11" s="3504">
        <f>IF(SUM(L12,L19)=0,"NO",SUM(L12,L19))</f>
        <v>3.6463402975310881</v>
      </c>
      <c r="M11" s="482"/>
    </row>
    <row r="12" spans="2:13" ht="18" customHeight="1" x14ac:dyDescent="0.2">
      <c r="B12" s="903" t="s">
        <v>1912</v>
      </c>
      <c r="C12" s="476"/>
      <c r="D12" s="298"/>
      <c r="E12" s="2852" t="s">
        <v>2250</v>
      </c>
      <c r="F12" s="3680">
        <f>IF(SUM(F13,F17)=0,"NO",SUM(F13,F17))</f>
        <v>6465084.5962355677</v>
      </c>
      <c r="G12" s="3663" t="str">
        <f>IFERROR(IF(SUM($F12)=0,"NA",J12*1000/$F12),"NA")</f>
        <v>NA</v>
      </c>
      <c r="H12" s="3664">
        <f t="shared" si="0"/>
        <v>3.4467101975935048E-2</v>
      </c>
      <c r="I12" s="3665">
        <f t="shared" si="1"/>
        <v>5.501198864503831E-4</v>
      </c>
      <c r="J12" s="3505" t="str">
        <f>IF(SUM(J13,J17)=0,"IE",SUM(J13,J17))</f>
        <v>IE</v>
      </c>
      <c r="K12" s="3506">
        <f>IF(SUM(K13,K17)=0,"NO",SUM(K13,K17))</f>
        <v>222.83273006149818</v>
      </c>
      <c r="L12" s="3507">
        <f>IF(SUM(L13,L17)=0,"NO",SUM(L13,L17))</f>
        <v>3.5565716039732314</v>
      </c>
    </row>
    <row r="13" spans="2:13" ht="18" customHeight="1" x14ac:dyDescent="0.2">
      <c r="B13" s="923" t="s">
        <v>1270</v>
      </c>
      <c r="C13" s="476"/>
      <c r="D13" s="298"/>
      <c r="E13" s="2852" t="s">
        <v>2250</v>
      </c>
      <c r="F13" s="3681">
        <f>IF(SUM(F14:F16)=0,"NO",SUM(F14:F16))</f>
        <v>5971284.1839287961</v>
      </c>
      <c r="G13" s="3666" t="str">
        <f t="shared" ref="G13:G76" si="2">IFERROR(IF(SUM($F13)=0,"NA",J13*1000/$F13),"NA")</f>
        <v>NA</v>
      </c>
      <c r="H13" s="3667">
        <f t="shared" si="0"/>
        <v>2.7770762263436895E-2</v>
      </c>
      <c r="I13" s="3668">
        <f t="shared" si="1"/>
        <v>5.0249887486128182E-4</v>
      </c>
      <c r="J13" s="3505" t="str">
        <f>IF(SUM(J14:J16)=0,"IE",SUM(J14:J16))</f>
        <v>IE</v>
      </c>
      <c r="K13" s="3505">
        <f>IF(SUM(K14:K16)=0,"NO",SUM(K14:K16))</f>
        <v>165.8271134793074</v>
      </c>
      <c r="L13" s="3508">
        <f>IF(SUM(L14:L16)=0,"NO",SUM(L14:L16))</f>
        <v>3.0005635839011875</v>
      </c>
      <c r="M13" s="482"/>
    </row>
    <row r="14" spans="2:13" ht="24" x14ac:dyDescent="0.2">
      <c r="B14" s="923"/>
      <c r="C14" s="4367" t="s">
        <v>2247</v>
      </c>
      <c r="D14" s="542" t="s">
        <v>940</v>
      </c>
      <c r="E14" s="2851" t="s">
        <v>2250</v>
      </c>
      <c r="F14" s="3654">
        <v>425896.37396597315</v>
      </c>
      <c r="G14" s="3666" t="str">
        <f t="shared" si="2"/>
        <v>NA</v>
      </c>
      <c r="H14" s="3667">
        <f>IF(SUM($F14)=0,"NA",K14*1000/$F14)</f>
        <v>9.5457833822127372E-2</v>
      </c>
      <c r="I14" s="3668">
        <f>IF(SUM($F14)=0,"NA",L14*1000/$F14)</f>
        <v>1.0420849083410664E-3</v>
      </c>
      <c r="J14" s="3509" t="s">
        <v>2153</v>
      </c>
      <c r="K14" s="3510">
        <v>40.655145291490477</v>
      </c>
      <c r="L14" s="3511">
        <v>0.44382018382712363</v>
      </c>
      <c r="M14" s="482"/>
    </row>
    <row r="15" spans="2:13" ht="18" customHeight="1" x14ac:dyDescent="0.2">
      <c r="B15" s="923"/>
      <c r="C15" s="4367" t="s">
        <v>2248</v>
      </c>
      <c r="D15" s="542" t="s">
        <v>940</v>
      </c>
      <c r="E15" s="543" t="s">
        <v>2250</v>
      </c>
      <c r="F15" s="3655">
        <v>110155.31023893665</v>
      </c>
      <c r="G15" s="3666" t="str">
        <f t="shared" si="2"/>
        <v>NA</v>
      </c>
      <c r="H15" s="3667">
        <f t="shared" ref="H15:H77" si="3">IF(SUM($F15)=0,"NA",K15*1000/$F15)</f>
        <v>4.9086367525007321E-2</v>
      </c>
      <c r="I15" s="3668">
        <f t="shared" ref="I15:I77" si="4">IF(SUM($F15)=0,"NA",L15*1000/$F15)</f>
        <v>9.0741604410812099E-4</v>
      </c>
      <c r="J15" s="3509" t="s">
        <v>2153</v>
      </c>
      <c r="K15" s="3510">
        <v>5.4071240432196461</v>
      </c>
      <c r="L15" s="3512">
        <v>9.9956695854518704E-2</v>
      </c>
      <c r="M15" s="482"/>
    </row>
    <row r="16" spans="2:13" ht="18" customHeight="1" x14ac:dyDescent="0.2">
      <c r="B16" s="923"/>
      <c r="C16" s="4367" t="s">
        <v>2263</v>
      </c>
      <c r="D16" s="542" t="s">
        <v>940</v>
      </c>
      <c r="E16" s="543" t="s">
        <v>2250</v>
      </c>
      <c r="F16" s="3655">
        <v>5435232.4997238861</v>
      </c>
      <c r="G16" s="3666" t="str">
        <f t="shared" si="2"/>
        <v>NA</v>
      </c>
      <c r="H16" s="3667">
        <f t="shared" si="3"/>
        <v>2.2034907274101227E-2</v>
      </c>
      <c r="I16" s="3668">
        <f t="shared" si="4"/>
        <v>4.520113361009582E-4</v>
      </c>
      <c r="J16" s="3509" t="s">
        <v>2153</v>
      </c>
      <c r="K16" s="3510">
        <v>119.76484414459726</v>
      </c>
      <c r="L16" s="3512">
        <v>2.456786704219545</v>
      </c>
      <c r="M16" s="482"/>
    </row>
    <row r="17" spans="2:13" ht="18" customHeight="1" x14ac:dyDescent="0.2">
      <c r="B17" s="923" t="s">
        <v>1271</v>
      </c>
      <c r="C17" s="4368"/>
      <c r="D17" s="298"/>
      <c r="E17" s="5" t="s">
        <v>2250</v>
      </c>
      <c r="F17" s="3681">
        <f>F18</f>
        <v>493800.41230677156</v>
      </c>
      <c r="G17" s="3666" t="str">
        <f t="shared" si="2"/>
        <v>NA</v>
      </c>
      <c r="H17" s="3667">
        <f t="shared" si="3"/>
        <v>0.11544262653789825</v>
      </c>
      <c r="I17" s="3668">
        <f t="shared" si="4"/>
        <v>1.125977229291226E-3</v>
      </c>
      <c r="J17" s="3505" t="str">
        <f>J18</f>
        <v>IE</v>
      </c>
      <c r="K17" s="3505">
        <f>K18</f>
        <v>57.005616582190797</v>
      </c>
      <c r="L17" s="3508">
        <f>L18</f>
        <v>0.55600802007204364</v>
      </c>
      <c r="M17" s="482"/>
    </row>
    <row r="18" spans="2:13" ht="18" customHeight="1" x14ac:dyDescent="0.2">
      <c r="B18" s="923"/>
      <c r="C18" s="4367" t="s">
        <v>2249</v>
      </c>
      <c r="D18" s="542" t="s">
        <v>940</v>
      </c>
      <c r="E18" s="543" t="s">
        <v>2250</v>
      </c>
      <c r="F18" s="3654">
        <v>493800.41230677156</v>
      </c>
      <c r="G18" s="3666" t="str">
        <f t="shared" si="2"/>
        <v>NA</v>
      </c>
      <c r="H18" s="3667">
        <f t="shared" si="3"/>
        <v>0.11544262653789825</v>
      </c>
      <c r="I18" s="3668">
        <f t="shared" si="4"/>
        <v>1.125977229291226E-3</v>
      </c>
      <c r="J18" s="3509" t="s">
        <v>2153</v>
      </c>
      <c r="K18" s="3510">
        <v>57.005616582190797</v>
      </c>
      <c r="L18" s="3511">
        <v>0.55600802007204364</v>
      </c>
      <c r="M18" s="482"/>
    </row>
    <row r="19" spans="2:13" ht="18" customHeight="1" x14ac:dyDescent="0.2">
      <c r="B19" s="903" t="s">
        <v>1272</v>
      </c>
      <c r="C19" s="4368"/>
      <c r="D19" s="298"/>
      <c r="E19" s="5" t="s">
        <v>2250</v>
      </c>
      <c r="F19" s="3682">
        <f>IF(SUM(F20,F23)=0,"NO",SUM(F20,F23))</f>
        <v>46091.325127491393</v>
      </c>
      <c r="G19" s="3663" t="s">
        <v>2147</v>
      </c>
      <c r="H19" s="3664">
        <f t="shared" si="3"/>
        <v>0.14986981979371924</v>
      </c>
      <c r="I19" s="3665">
        <f t="shared" si="4"/>
        <v>1.9476266588029591E-3</v>
      </c>
      <c r="J19" s="3505" t="str">
        <f>IF(SUM(J20,J23)=0,"IE",SUM(J20,J23))</f>
        <v>IE</v>
      </c>
      <c r="K19" s="3506">
        <f>IF(SUM(K20,K23)=0,"NO",SUM(K20,K23))</f>
        <v>6.9076985909108588</v>
      </c>
      <c r="L19" s="3507">
        <f>IF(SUM(L20,L23)=0,"NO",SUM(L20,L23))</f>
        <v>8.9768693557856938E-2</v>
      </c>
    </row>
    <row r="20" spans="2:13" ht="18" customHeight="1" x14ac:dyDescent="0.2">
      <c r="B20" s="923" t="s">
        <v>1273</v>
      </c>
      <c r="C20" s="4368"/>
      <c r="D20" s="298"/>
      <c r="E20" s="5" t="s">
        <v>2250</v>
      </c>
      <c r="F20" s="3681">
        <f>IF(SUM(F21:F22)=0,"NO",SUM(F21:F22))</f>
        <v>41119.398212802713</v>
      </c>
      <c r="G20" s="3666" t="str">
        <f t="shared" si="2"/>
        <v>NA</v>
      </c>
      <c r="H20" s="3667">
        <f t="shared" si="3"/>
        <v>6.1275799404816686E-2</v>
      </c>
      <c r="I20" s="3668">
        <f t="shared" si="4"/>
        <v>1.1366420550544868E-3</v>
      </c>
      <c r="J20" s="3505" t="str">
        <f>IF(SUM(J21:J22)=0,"IE",SUM(J21:J22))</f>
        <v>IE</v>
      </c>
      <c r="K20" s="3505">
        <f>IF(SUM(K21:K22)=0,"NO",SUM(K21:K22))</f>
        <v>2.5196239965344764</v>
      </c>
      <c r="L20" s="3508">
        <f>IF(SUM(L21:L22)=0,"NO",SUM(L21:L22))</f>
        <v>4.6738037287203868E-2</v>
      </c>
      <c r="M20" s="482"/>
    </row>
    <row r="21" spans="2:13" ht="18" customHeight="1" x14ac:dyDescent="0.2">
      <c r="B21" s="923"/>
      <c r="C21" s="4367" t="s">
        <v>2248</v>
      </c>
      <c r="D21" s="542" t="s">
        <v>940</v>
      </c>
      <c r="E21" s="543" t="s">
        <v>2250</v>
      </c>
      <c r="F21" s="3654">
        <v>37460.068343664403</v>
      </c>
      <c r="G21" s="3666" t="str">
        <f t="shared" si="2"/>
        <v>NA</v>
      </c>
      <c r="H21" s="3667">
        <f t="shared" si="3"/>
        <v>6.5849318486583402E-2</v>
      </c>
      <c r="I21" s="3668">
        <f t="shared" si="4"/>
        <v>1.2172978181339237E-3</v>
      </c>
      <c r="J21" s="3509" t="s">
        <v>2153</v>
      </c>
      <c r="K21" s="3510">
        <v>2.466719970891138</v>
      </c>
      <c r="L21" s="3511">
        <v>4.5600059461890337E-2</v>
      </c>
      <c r="M21" s="482"/>
    </row>
    <row r="22" spans="2:13" ht="18" customHeight="1" x14ac:dyDescent="0.2">
      <c r="B22" s="923"/>
      <c r="C22" s="4367" t="s">
        <v>2263</v>
      </c>
      <c r="D22" s="542" t="s">
        <v>940</v>
      </c>
      <c r="E22" s="543" t="s">
        <v>2250</v>
      </c>
      <c r="F22" s="3655">
        <v>3659.3298691383106</v>
      </c>
      <c r="G22" s="3666" t="str">
        <f t="shared" si="2"/>
        <v>NA</v>
      </c>
      <c r="H22" s="3667">
        <f t="shared" si="3"/>
        <v>1.4457298886748387E-2</v>
      </c>
      <c r="I22" s="3668">
        <f t="shared" si="4"/>
        <v>3.1097984221397805E-4</v>
      </c>
      <c r="J22" s="3509" t="s">
        <v>2153</v>
      </c>
      <c r="K22" s="3510">
        <v>5.2904025643338425E-2</v>
      </c>
      <c r="L22" s="3512">
        <v>1.137977825313529E-3</v>
      </c>
      <c r="M22" s="482"/>
    </row>
    <row r="23" spans="2:13" ht="18" customHeight="1" x14ac:dyDescent="0.2">
      <c r="B23" s="923" t="s">
        <v>1274</v>
      </c>
      <c r="C23" s="4368"/>
      <c r="D23" s="298"/>
      <c r="E23" s="5" t="s">
        <v>2250</v>
      </c>
      <c r="F23" s="3681">
        <f>F24</f>
        <v>4971.9269146886763</v>
      </c>
      <c r="G23" s="3666" t="str">
        <f t="shared" si="2"/>
        <v>NA</v>
      </c>
      <c r="H23" s="3667">
        <f t="shared" si="3"/>
        <v>0.88257021264986701</v>
      </c>
      <c r="I23" s="3668">
        <f t="shared" si="4"/>
        <v>8.6547242163851259E-3</v>
      </c>
      <c r="J23" s="3505" t="str">
        <f>J24</f>
        <v>IE</v>
      </c>
      <c r="K23" s="3505">
        <f>K24</f>
        <v>4.3880745943763824</v>
      </c>
      <c r="L23" s="3508">
        <f>L24</f>
        <v>4.303065627065307E-2</v>
      </c>
      <c r="M23" s="482"/>
    </row>
    <row r="24" spans="2:13" ht="18" customHeight="1" thickBot="1" x14ac:dyDescent="0.25">
      <c r="B24" s="938"/>
      <c r="C24" s="4369" t="s">
        <v>2251</v>
      </c>
      <c r="D24" s="939" t="s">
        <v>940</v>
      </c>
      <c r="E24" s="940" t="s">
        <v>2250</v>
      </c>
      <c r="F24" s="3656">
        <v>4971.9269146886763</v>
      </c>
      <c r="G24" s="3669" t="str">
        <f t="shared" si="2"/>
        <v>NA</v>
      </c>
      <c r="H24" s="3670">
        <f t="shared" si="3"/>
        <v>0.88257021264986701</v>
      </c>
      <c r="I24" s="3671">
        <f t="shared" si="4"/>
        <v>8.6547242163851259E-3</v>
      </c>
      <c r="J24" s="3513" t="s">
        <v>2153</v>
      </c>
      <c r="K24" s="3514">
        <v>4.3880745943763824</v>
      </c>
      <c r="L24" s="3515">
        <v>4.303065627065307E-2</v>
      </c>
      <c r="M24" s="482"/>
    </row>
    <row r="25" spans="2:13" ht="18" customHeight="1" x14ac:dyDescent="0.2">
      <c r="B25" s="933" t="s">
        <v>1986</v>
      </c>
      <c r="C25" s="4370"/>
      <c r="D25" s="2850"/>
      <c r="E25" s="935" t="s">
        <v>2250</v>
      </c>
      <c r="F25" s="3683">
        <f>IF(SUM(F26,F31)=0,"IE",SUM(F26,F31))</f>
        <v>14954</v>
      </c>
      <c r="G25" s="3660" t="str">
        <f t="shared" si="2"/>
        <v>NA</v>
      </c>
      <c r="H25" s="3661">
        <f t="shared" si="3"/>
        <v>5.4154553965494186E-2</v>
      </c>
      <c r="I25" s="3662">
        <f t="shared" si="4"/>
        <v>1.0011071017787883E-3</v>
      </c>
      <c r="J25" s="3502" t="str">
        <f>IF(SUM(J26,J31)=0,"IE",SUM(J26,J31))</f>
        <v>IE</v>
      </c>
      <c r="K25" s="3503">
        <f>IF(SUM(K26,K31)=0,"IE",SUM(K26,K31))</f>
        <v>0.80982720000000008</v>
      </c>
      <c r="L25" s="3504">
        <f>IF(SUM(L26,L31)=0,"IE",SUM(L26,L31))</f>
        <v>1.4970555600000001E-2</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14954</v>
      </c>
      <c r="G31" s="3663" t="str">
        <f t="shared" si="2"/>
        <v>NA</v>
      </c>
      <c r="H31" s="3664">
        <f t="shared" si="3"/>
        <v>5.4154553965494186E-2</v>
      </c>
      <c r="I31" s="3665">
        <f t="shared" si="4"/>
        <v>1.0011071017787883E-3</v>
      </c>
      <c r="J31" s="3505" t="str">
        <f>IF(SUM(J32,J34)=0,"IE",SUM(J32,J34))</f>
        <v>IE</v>
      </c>
      <c r="K31" s="3505">
        <f t="shared" ref="K31:L31" si="6">IF(SUM(K32,K34)=0,"IE",SUM(K32,K34))</f>
        <v>0.80982720000000008</v>
      </c>
      <c r="L31" s="3508">
        <f t="shared" si="6"/>
        <v>1.4970555600000001E-2</v>
      </c>
    </row>
    <row r="32" spans="2:13" ht="18" customHeight="1" x14ac:dyDescent="0.2">
      <c r="B32" s="923" t="s">
        <v>1278</v>
      </c>
      <c r="C32" s="4368"/>
      <c r="D32" s="298"/>
      <c r="E32" s="5" t="s">
        <v>2250</v>
      </c>
      <c r="F32" s="3681">
        <f>F33</f>
        <v>14954</v>
      </c>
      <c r="G32" s="3663" t="str">
        <f t="shared" si="2"/>
        <v>NA</v>
      </c>
      <c r="H32" s="3664">
        <f t="shared" si="3"/>
        <v>5.4154553965494186E-2</v>
      </c>
      <c r="I32" s="3665">
        <f t="shared" si="4"/>
        <v>1.0011071017787883E-3</v>
      </c>
      <c r="J32" s="3505" t="str">
        <f>J33</f>
        <v>IE</v>
      </c>
      <c r="K32" s="3505">
        <f>K33</f>
        <v>0.80982720000000008</v>
      </c>
      <c r="L32" s="3508">
        <f>L33</f>
        <v>1.4970555600000001E-2</v>
      </c>
      <c r="M32" s="482"/>
    </row>
    <row r="33" spans="2:13" ht="18" customHeight="1" x14ac:dyDescent="0.2">
      <c r="B33" s="923"/>
      <c r="C33" s="4367" t="s">
        <v>2252</v>
      </c>
      <c r="D33" s="542" t="s">
        <v>940</v>
      </c>
      <c r="E33" s="543" t="s">
        <v>2250</v>
      </c>
      <c r="F33" s="3654">
        <v>14954</v>
      </c>
      <c r="G33" s="3666" t="str">
        <f t="shared" si="2"/>
        <v>NA</v>
      </c>
      <c r="H33" s="3667">
        <f t="shared" si="3"/>
        <v>5.4154553965494186E-2</v>
      </c>
      <c r="I33" s="3668">
        <f t="shared" si="4"/>
        <v>1.0011071017787883E-3</v>
      </c>
      <c r="J33" s="3509" t="s">
        <v>2153</v>
      </c>
      <c r="K33" s="3510">
        <v>0.80982720000000008</v>
      </c>
      <c r="L33" s="3511">
        <v>1.4970555600000001E-2</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48089624.359544858</v>
      </c>
      <c r="G36" s="3660" t="str">
        <f t="shared" si="2"/>
        <v>NA</v>
      </c>
      <c r="H36" s="3661">
        <f t="shared" ref="H36" si="7">IF(SUM($F36)=0,"NA",K36*1000/$F36)</f>
        <v>4.8016087182261042E-3</v>
      </c>
      <c r="I36" s="3662">
        <f t="shared" ref="I36" si="8">IF(SUM($F36)=0,"NA",L36*1000/$F36)</f>
        <v>1.4100438992909977E-4</v>
      </c>
      <c r="J36" s="3502" t="str">
        <f>IF(SUM(J37,J42)=0,"IE",SUM(J37,J42))</f>
        <v>IE</v>
      </c>
      <c r="K36" s="3503">
        <f>IF(SUM(K37,K42)=0,"NO",SUM(K37,K42))</f>
        <v>230.90755958100902</v>
      </c>
      <c r="L36" s="3504">
        <f>IF(SUM(L37,L42)=0,"NO",SUM(L37,L42))</f>
        <v>6.7808481447371989</v>
      </c>
      <c r="M36" s="482"/>
    </row>
    <row r="37" spans="2:13" ht="18" customHeight="1" x14ac:dyDescent="0.2">
      <c r="B37" s="903" t="s">
        <v>1876</v>
      </c>
      <c r="C37" s="4368"/>
      <c r="D37" s="298"/>
      <c r="E37" s="5" t="s">
        <v>2250</v>
      </c>
      <c r="F37" s="3680">
        <f>IF(SUM(F38,F40)=0,"NO",SUM(F38,F40))</f>
        <v>47599139.763215825</v>
      </c>
      <c r="G37" s="3666" t="str">
        <f t="shared" si="2"/>
        <v>NA</v>
      </c>
      <c r="H37" s="3664">
        <f t="shared" si="3"/>
        <v>3.9293329916898403E-3</v>
      </c>
      <c r="I37" s="3665">
        <f t="shared" si="4"/>
        <v>1.2535477046998864E-4</v>
      </c>
      <c r="J37" s="3505" t="str">
        <f>IF(SUM(J38,J40)=0,"IE",SUM(J38,J40))</f>
        <v>IE</v>
      </c>
      <c r="K37" s="3506">
        <f>IF(SUM(K38,K40)=0,"NO",SUM(K38,K40))</f>
        <v>187.03287024765967</v>
      </c>
      <c r="L37" s="3507">
        <f>IF(SUM(L38,L40)=0,"NO",SUM(L38,L40))</f>
        <v>5.9667792395868293</v>
      </c>
    </row>
    <row r="38" spans="2:13" ht="18" customHeight="1" x14ac:dyDescent="0.2">
      <c r="B38" s="923" t="s">
        <v>1280</v>
      </c>
      <c r="C38" s="4368"/>
      <c r="D38" s="298"/>
      <c r="E38" s="5" t="s">
        <v>2250</v>
      </c>
      <c r="F38" s="3681">
        <f>F39</f>
        <v>47599139.763215825</v>
      </c>
      <c r="G38" s="3666" t="str">
        <f t="shared" si="2"/>
        <v>NA</v>
      </c>
      <c r="H38" s="3667">
        <f t="shared" si="3"/>
        <v>3.9293329916898403E-3</v>
      </c>
      <c r="I38" s="3668">
        <f t="shared" si="4"/>
        <v>1.2535477046998864E-4</v>
      </c>
      <c r="J38" s="3505" t="str">
        <f>J39</f>
        <v>IE</v>
      </c>
      <c r="K38" s="3505">
        <f>K39</f>
        <v>187.03287024765967</v>
      </c>
      <c r="L38" s="3508">
        <f>L39</f>
        <v>5.9667792395868293</v>
      </c>
      <c r="M38" s="482"/>
    </row>
    <row r="39" spans="2:13" ht="18" customHeight="1" x14ac:dyDescent="0.2">
      <c r="B39" s="923"/>
      <c r="C39" s="4367" t="s">
        <v>2263</v>
      </c>
      <c r="D39" s="542" t="s">
        <v>940</v>
      </c>
      <c r="E39" s="543" t="s">
        <v>2250</v>
      </c>
      <c r="F39" s="3655">
        <v>47599139.763215825</v>
      </c>
      <c r="G39" s="3666" t="str">
        <f t="shared" si="2"/>
        <v>NA</v>
      </c>
      <c r="H39" s="3667">
        <f t="shared" ref="H39:H40" si="9">IF(SUM($F39)=0,"NA",K39*1000/$F39)</f>
        <v>3.9293329916898403E-3</v>
      </c>
      <c r="I39" s="3668">
        <f t="shared" ref="I39:I40" si="10">IF(SUM($F39)=0,"NA",L39*1000/$F39)</f>
        <v>1.2535477046998864E-4</v>
      </c>
      <c r="J39" s="3509" t="s">
        <v>2153</v>
      </c>
      <c r="K39" s="3510">
        <v>187.03287024765967</v>
      </c>
      <c r="L39" s="3512">
        <v>5.9667792395868293</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490484.59632903058</v>
      </c>
      <c r="G42" s="3663" t="str">
        <f t="shared" si="2"/>
        <v>NA</v>
      </c>
      <c r="H42" s="3664">
        <f t="shared" si="11"/>
        <v>8.9451717060482328E-2</v>
      </c>
      <c r="I42" s="3665">
        <f t="shared" si="12"/>
        <v>1.6597236921264498E-3</v>
      </c>
      <c r="J42" s="3505" t="str">
        <f>IF(SUM(J43,J46)=0,"IE",SUM(J43,J46))</f>
        <v>IE</v>
      </c>
      <c r="K42" s="3506">
        <f>IF(SUM(K43,K46)=0,"NO",SUM(K43,K46))</f>
        <v>43.874689333349338</v>
      </c>
      <c r="L42" s="3507">
        <f>IF(SUM(L43,L46)=0,"NO",SUM(L43,L46))</f>
        <v>0.81406890515036989</v>
      </c>
    </row>
    <row r="43" spans="2:13" ht="18" customHeight="1" x14ac:dyDescent="0.2">
      <c r="B43" s="923" t="s">
        <v>1283</v>
      </c>
      <c r="C43" s="4368"/>
      <c r="D43" s="298"/>
      <c r="E43" s="5" t="s">
        <v>2250</v>
      </c>
      <c r="F43" s="3681">
        <f>IF(SUM(F44:F45)=0,"NO",SUM(F44:F45))</f>
        <v>490484.59632903058</v>
      </c>
      <c r="G43" s="3666" t="str">
        <f t="shared" si="2"/>
        <v>NA</v>
      </c>
      <c r="H43" s="3667">
        <f t="shared" ref="H43" si="13">IF(SUM($F43)=0,"NA",K43*1000/$F43)</f>
        <v>8.9451717060482328E-2</v>
      </c>
      <c r="I43" s="3668">
        <f t="shared" ref="I43" si="14">IF(SUM($F43)=0,"NA",L43*1000/$F43)</f>
        <v>1.6597236921264498E-3</v>
      </c>
      <c r="J43" s="3505" t="str">
        <f>IF(SUM(J44:J45)=0,"IE",SUM(J44:J45))</f>
        <v>IE</v>
      </c>
      <c r="K43" s="3505">
        <f>IF(SUM(K44:K45)=0,"NO",SUM(K44:K45))</f>
        <v>43.874689333349338</v>
      </c>
      <c r="L43" s="3508">
        <f>IF(SUM(L44:L45)=0,"NO",SUM(L44:L45))</f>
        <v>0.81406890515036989</v>
      </c>
      <c r="M43" s="482"/>
    </row>
    <row r="44" spans="2:13" ht="18" customHeight="1" x14ac:dyDescent="0.2">
      <c r="B44" s="923"/>
      <c r="C44" s="4367" t="s">
        <v>2252</v>
      </c>
      <c r="D44" s="542" t="s">
        <v>940</v>
      </c>
      <c r="E44" s="543" t="s">
        <v>2250</v>
      </c>
      <c r="F44" s="3655">
        <v>432259.68080151791</v>
      </c>
      <c r="G44" s="3666" t="str">
        <f t="shared" si="2"/>
        <v>NA</v>
      </c>
      <c r="H44" s="3667">
        <f t="shared" ref="H44:H46" si="15">IF(SUM($F44)=0,"NA",K44*1000/$F44)</f>
        <v>9.9422930254020339E-2</v>
      </c>
      <c r="I44" s="3668">
        <f t="shared" ref="I44:I46" si="16">IF(SUM($F44)=0,"NA",L44*1000/$F44)</f>
        <v>1.8379433356680711E-3</v>
      </c>
      <c r="J44" s="3509" t="s">
        <v>2153</v>
      </c>
      <c r="K44" s="3510">
        <v>42.97652409595441</v>
      </c>
      <c r="L44" s="3512">
        <v>0.79446879960715755</v>
      </c>
      <c r="M44" s="482"/>
    </row>
    <row r="45" spans="2:13" ht="18" customHeight="1" x14ac:dyDescent="0.2">
      <c r="B45" s="923"/>
      <c r="C45" s="4367" t="s">
        <v>2263</v>
      </c>
      <c r="D45" s="542" t="s">
        <v>940</v>
      </c>
      <c r="E45" s="543" t="s">
        <v>2250</v>
      </c>
      <c r="F45" s="3655">
        <v>58224.915527512683</v>
      </c>
      <c r="G45" s="3666" t="str">
        <f t="shared" si="2"/>
        <v>NA</v>
      </c>
      <c r="H45" s="3667">
        <f t="shared" si="15"/>
        <v>1.5425788586511934E-2</v>
      </c>
      <c r="I45" s="3668">
        <f t="shared" si="16"/>
        <v>3.3662746206906643E-4</v>
      </c>
      <c r="J45" s="3509" t="s">
        <v>2153</v>
      </c>
      <c r="K45" s="3510">
        <v>0.8981652373949266</v>
      </c>
      <c r="L45" s="3512">
        <v>1.9600105543212371E-2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711798.81593037979</v>
      </c>
      <c r="G48" s="3660" t="str">
        <f t="shared" si="2"/>
        <v>NA</v>
      </c>
      <c r="H48" s="3661">
        <f t="shared" si="17"/>
        <v>1.875246652118449E-2</v>
      </c>
      <c r="I48" s="3662">
        <f t="shared" si="18"/>
        <v>3.851291799211187E-4</v>
      </c>
      <c r="J48" s="3502" t="str">
        <f>IF(SUM(J49,J54)=0,"IE",SUM(J49,J54))</f>
        <v>IE</v>
      </c>
      <c r="K48" s="3503">
        <f>IF(SUM(K49,K54)=0,"NO",SUM(K49,K54))</f>
        <v>13.347983465553209</v>
      </c>
      <c r="L48" s="3504">
        <f>IF(SUM(L49,L54)=0,"NO",SUM(L49,L54))</f>
        <v>0.2741344942480905</v>
      </c>
      <c r="M48" s="482"/>
    </row>
    <row r="49" spans="2:13" ht="18" customHeight="1" x14ac:dyDescent="0.2">
      <c r="B49" s="903" t="s">
        <v>1285</v>
      </c>
      <c r="C49" s="4368"/>
      <c r="D49" s="298"/>
      <c r="E49" s="5" t="s">
        <v>2250</v>
      </c>
      <c r="F49" s="3680">
        <f>IF(SUM(F50,F52)=0,"NO",SUM(F50,F52))</f>
        <v>711798.81593037979</v>
      </c>
      <c r="G49" s="3663" t="str">
        <f t="shared" si="2"/>
        <v>NA</v>
      </c>
      <c r="H49" s="3664">
        <f t="shared" si="17"/>
        <v>1.875246652118449E-2</v>
      </c>
      <c r="I49" s="3665">
        <f t="shared" si="18"/>
        <v>3.851291799211187E-4</v>
      </c>
      <c r="J49" s="3505" t="str">
        <f>IF(SUM(J50,J52)=0,"IE",SUM(J50,J52))</f>
        <v>IE</v>
      </c>
      <c r="K49" s="3506">
        <f>IF(SUM(K50,K52)=0,"NO",SUM(K50,K52))</f>
        <v>13.347983465553209</v>
      </c>
      <c r="L49" s="3507">
        <f>IF(SUM(L50,L52)=0,"NO",SUM(L50,L52))</f>
        <v>0.2741344942480905</v>
      </c>
    </row>
    <row r="50" spans="2:13" ht="18" customHeight="1" x14ac:dyDescent="0.2">
      <c r="B50" s="923" t="s">
        <v>1286</v>
      </c>
      <c r="C50" s="4368"/>
      <c r="D50" s="298"/>
      <c r="E50" s="5" t="s">
        <v>2250</v>
      </c>
      <c r="F50" s="3681">
        <f>F51</f>
        <v>711798.81593037979</v>
      </c>
      <c r="G50" s="3666" t="str">
        <f t="shared" si="2"/>
        <v>NA</v>
      </c>
      <c r="H50" s="3667">
        <f t="shared" si="17"/>
        <v>1.875246652118449E-2</v>
      </c>
      <c r="I50" s="3668">
        <f t="shared" si="18"/>
        <v>3.851291799211187E-4</v>
      </c>
      <c r="J50" s="3505" t="str">
        <f>J51</f>
        <v>IE</v>
      </c>
      <c r="K50" s="3505">
        <f>K51</f>
        <v>13.347983465553209</v>
      </c>
      <c r="L50" s="3508">
        <f>L51</f>
        <v>0.2741344942480905</v>
      </c>
      <c r="M50" s="482"/>
    </row>
    <row r="51" spans="2:13" ht="18" customHeight="1" x14ac:dyDescent="0.2">
      <c r="B51" s="923"/>
      <c r="C51" s="4367" t="s">
        <v>2263</v>
      </c>
      <c r="D51" s="542" t="s">
        <v>940</v>
      </c>
      <c r="E51" s="543" t="s">
        <v>2250</v>
      </c>
      <c r="F51" s="3655">
        <v>711798.81593037979</v>
      </c>
      <c r="G51" s="3666" t="str">
        <f t="shared" si="2"/>
        <v>NA</v>
      </c>
      <c r="H51" s="3667">
        <f t="shared" si="17"/>
        <v>1.875246652118449E-2</v>
      </c>
      <c r="I51" s="3668">
        <f t="shared" si="18"/>
        <v>3.851291799211187E-4</v>
      </c>
      <c r="J51" s="3509" t="s">
        <v>2153</v>
      </c>
      <c r="K51" s="3510">
        <v>13.347983465553209</v>
      </c>
      <c r="L51" s="3512">
        <v>0.2741344942480905</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6992</v>
      </c>
      <c r="G59" s="3660" t="str">
        <f t="shared" si="2"/>
        <v>NA</v>
      </c>
      <c r="H59" s="3661">
        <f t="shared" si="3"/>
        <v>0.14040823798627003</v>
      </c>
      <c r="I59" s="3662">
        <f t="shared" si="4"/>
        <v>2.5956022883295194E-3</v>
      </c>
      <c r="J59" s="3502" t="str">
        <f>IF(SUM(J60,J65)=0,"IE",SUM(J60,J65))</f>
        <v>IE</v>
      </c>
      <c r="K59" s="3503">
        <f>IF(SUM(K60,K65)=0,"NO",SUM(K60,K65))</f>
        <v>0.98173440000000001</v>
      </c>
      <c r="L59" s="3504">
        <f>IF(SUM(L60,L65)=0,"NO",SUM(L60,L65))</f>
        <v>1.8148451199999999E-2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6992</v>
      </c>
      <c r="G65" s="3663" t="str">
        <f t="shared" si="2"/>
        <v>NA</v>
      </c>
      <c r="H65" s="3664">
        <f t="shared" si="3"/>
        <v>0.14040823798627003</v>
      </c>
      <c r="I65" s="3665">
        <f t="shared" si="4"/>
        <v>2.5956022883295194E-3</v>
      </c>
      <c r="J65" s="3505" t="str">
        <f>IF(SUM(J66,J68)=0,"IE",SUM(J66,J68))</f>
        <v>IE</v>
      </c>
      <c r="K65" s="3506">
        <f>IF(SUM(K66,K68)=0,"NO",SUM(K66,K68))</f>
        <v>0.98173440000000001</v>
      </c>
      <c r="L65" s="3507">
        <f>IF(SUM(L66,L68)=0,"NO",SUM(L66,L68))</f>
        <v>1.8148451199999999E-2</v>
      </c>
    </row>
    <row r="66" spans="2:13" ht="18" customHeight="1" x14ac:dyDescent="0.2">
      <c r="B66" s="923" t="s">
        <v>1294</v>
      </c>
      <c r="C66" s="4368"/>
      <c r="D66" s="298"/>
      <c r="E66" s="5" t="s">
        <v>2250</v>
      </c>
      <c r="F66" s="3681">
        <f>F67</f>
        <v>6992</v>
      </c>
      <c r="G66" s="3666" t="str">
        <f t="shared" si="2"/>
        <v>NA</v>
      </c>
      <c r="H66" s="3667">
        <f t="shared" si="3"/>
        <v>0.14040823798627003</v>
      </c>
      <c r="I66" s="3668">
        <f t="shared" si="4"/>
        <v>2.5956022883295194E-3</v>
      </c>
      <c r="J66" s="3505" t="str">
        <f>J67</f>
        <v>IE</v>
      </c>
      <c r="K66" s="3505">
        <f>K67</f>
        <v>0.98173440000000001</v>
      </c>
      <c r="L66" s="3508">
        <f>L67</f>
        <v>1.8148451199999999E-2</v>
      </c>
      <c r="M66" s="482"/>
    </row>
    <row r="67" spans="2:13" ht="18" customHeight="1" x14ac:dyDescent="0.2">
      <c r="B67" s="923"/>
      <c r="C67" s="4367" t="s">
        <v>2252</v>
      </c>
      <c r="D67" s="542" t="s">
        <v>940</v>
      </c>
      <c r="E67" s="543" t="s">
        <v>2250</v>
      </c>
      <c r="F67" s="3655">
        <v>6992</v>
      </c>
      <c r="G67" s="3666" t="str">
        <f t="shared" si="2"/>
        <v>NA</v>
      </c>
      <c r="H67" s="3667">
        <f t="shared" ref="H67:H68" si="23">IF(SUM($F67)=0,"NA",K67*1000/$F67)</f>
        <v>0.14040823798627003</v>
      </c>
      <c r="I67" s="3668">
        <f t="shared" ref="I67:I68" si="24">IF(SUM($F67)=0,"NA",L67*1000/$F67)</f>
        <v>2.5956022883295194E-3</v>
      </c>
      <c r="J67" s="3509" t="s">
        <v>2153</v>
      </c>
      <c r="K67" s="3510">
        <v>0.98173440000000001</v>
      </c>
      <c r="L67" s="3512">
        <v>1.8148451199999999E-2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4354.2381037464193</v>
      </c>
      <c r="D10" s="3521">
        <f>IF(SUM(D11,D16:D17)=0,"NO",SUM(D11,D16:D17))</f>
        <v>-2946.5442429107893</v>
      </c>
      <c r="E10" s="3522"/>
      <c r="F10" s="3523">
        <f>IF(SUM(F11,F16:F17)=0,"NO",SUM(F11,F16:F17))</f>
        <v>1407.6938608356297</v>
      </c>
      <c r="G10" s="3524">
        <f>IF(SUM(G11,G16:G17)=0,"NO",SUM(G11,G16:G17))</f>
        <v>-5161.5441563973091</v>
      </c>
      <c r="H10" s="226"/>
      <c r="I10" s="2"/>
      <c r="J10" s="2"/>
    </row>
    <row r="11" spans="1:10" ht="18" customHeight="1" x14ac:dyDescent="0.2">
      <c r="B11" s="606" t="s">
        <v>1314</v>
      </c>
      <c r="C11" s="3525">
        <f>IF(SUM(C13:C15)=0,"NO",SUM(C13:C15))</f>
        <v>1751.0416499429157</v>
      </c>
      <c r="D11" s="3526">
        <f>IF(SUM(D13:D15)=0,"NO",SUM(D13:D15))</f>
        <v>-688.88067831870478</v>
      </c>
      <c r="E11" s="3527"/>
      <c r="F11" s="3528">
        <f>IF(SUM(F13:F15)=0,"NO",SUM(F13:F15))</f>
        <v>1062.160971624211</v>
      </c>
      <c r="G11" s="3529">
        <f>IF(SUM(G13:G15)=0,"NO",SUM(G13:G15))</f>
        <v>-3894.5902292887736</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1137.1486148046606</v>
      </c>
      <c r="D13" s="3534">
        <f>F13-C13</f>
        <v>-414.14797019042453</v>
      </c>
      <c r="E13" s="3535" t="s">
        <v>2147</v>
      </c>
      <c r="F13" s="3536">
        <f>G13/(-44/12)</f>
        <v>723.00064461423608</v>
      </c>
      <c r="G13" s="3537">
        <v>-2651.0023635855323</v>
      </c>
      <c r="H13" s="226"/>
      <c r="I13" s="2"/>
      <c r="J13" s="2"/>
    </row>
    <row r="14" spans="1:10" ht="18" customHeight="1" x14ac:dyDescent="0.2">
      <c r="B14" s="1193" t="s">
        <v>1316</v>
      </c>
      <c r="C14" s="3538">
        <v>613.89303513825519</v>
      </c>
      <c r="D14" s="3539">
        <f>F14-C14</f>
        <v>-274.73270812828025</v>
      </c>
      <c r="E14" s="3235" t="s">
        <v>2147</v>
      </c>
      <c r="F14" s="3540">
        <f>G14/(-44/12)</f>
        <v>339.16032700997494</v>
      </c>
      <c r="G14" s="3537">
        <v>-1243.5878657032413</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1783.8002482919223</v>
      </c>
      <c r="D16" s="3539">
        <f>F16-C16</f>
        <v>-1796.036808749021</v>
      </c>
      <c r="E16" s="3235" t="s">
        <v>2147</v>
      </c>
      <c r="F16" s="3540">
        <f>G16/(-44/12)</f>
        <v>-12.236560457098676</v>
      </c>
      <c r="G16" s="3537">
        <v>44.867388342695143</v>
      </c>
      <c r="H16" s="226"/>
      <c r="I16" s="2"/>
      <c r="J16" s="2"/>
    </row>
    <row r="17" spans="2:10" ht="18" customHeight="1" x14ac:dyDescent="0.2">
      <c r="B17" s="1197" t="s">
        <v>1320</v>
      </c>
      <c r="C17" s="3542">
        <f>C18</f>
        <v>819.396205511581</v>
      </c>
      <c r="D17" s="3543">
        <f t="shared" ref="D17:F17" si="0">D18</f>
        <v>-461.62675584306356</v>
      </c>
      <c r="E17" s="3544"/>
      <c r="F17" s="3226">
        <f t="shared" si="0"/>
        <v>357.76944966851744</v>
      </c>
      <c r="G17" s="3537">
        <f>-F17*44/12</f>
        <v>-1311.8213154512307</v>
      </c>
      <c r="H17" s="226"/>
      <c r="I17" s="2"/>
      <c r="J17" s="2"/>
    </row>
    <row r="18" spans="2:10" ht="18" customHeight="1" thickBot="1" x14ac:dyDescent="0.25">
      <c r="B18" s="561" t="s">
        <v>2254</v>
      </c>
      <c r="C18" s="3545">
        <v>819.396205511581</v>
      </c>
      <c r="D18" s="3546">
        <f>F18-C18</f>
        <v>-461.62675584306356</v>
      </c>
      <c r="E18" s="3238" t="s">
        <v>2147</v>
      </c>
      <c r="F18" s="3547">
        <f>G18/(-44/12)</f>
        <v>357.76944966851744</v>
      </c>
      <c r="G18" s="3548">
        <v>-1311.8213154512305</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31.414508582309281</v>
      </c>
      <c r="D10" s="4371">
        <f t="shared" ref="D10:I10" si="0">IF(SUM(D11,D15,D18,D21)=0,"NO",SUM(D11,D15,D18,D21))</f>
        <v>445.91806902446217</v>
      </c>
      <c r="E10" s="4371">
        <f t="shared" si="0"/>
        <v>1.3160711322537635</v>
      </c>
      <c r="F10" s="4371" t="str">
        <f t="shared" si="0"/>
        <v>NO</v>
      </c>
      <c r="G10" s="4371" t="str">
        <f t="shared" si="0"/>
        <v>NO</v>
      </c>
      <c r="H10" s="4371">
        <f t="shared" si="0"/>
        <v>238.59633263118354</v>
      </c>
      <c r="I10" s="4372" t="str">
        <f t="shared" si="0"/>
        <v>NO</v>
      </c>
      <c r="J10" s="4373">
        <f>IF(SUM(C10:E10)=0,"NO",SUM(C10,IFERROR(28*D10,0),IFERROR(265*E10,0)))</f>
        <v>12865.879291314497</v>
      </c>
    </row>
    <row r="11" spans="1:10" ht="18" customHeight="1" x14ac:dyDescent="0.2">
      <c r="B11" s="1504" t="s">
        <v>1371</v>
      </c>
      <c r="C11" s="4374"/>
      <c r="D11" s="2883">
        <f>IF(SUM(D12:D14)=0,"NO",SUM(D12:D14))</f>
        <v>343.91068437000001</v>
      </c>
      <c r="E11" s="4374"/>
      <c r="F11" s="2883" t="str">
        <f>IF(SUM(F12:F14)=0,"NO",SUM(F12:F14))</f>
        <v>NO</v>
      </c>
      <c r="G11" s="2883" t="str">
        <f t="shared" ref="G11:H11" si="1">IF(SUM(G12:G14)=0,"NO",SUM(G12:G14))</f>
        <v>NO</v>
      </c>
      <c r="H11" s="2883">
        <f t="shared" si="1"/>
        <v>2.9863330967130217</v>
      </c>
      <c r="I11" s="2153"/>
      <c r="J11" s="2872">
        <f t="shared" ref="J11:J18" si="2">IF(SUM(C11:E11)=0,"NO",SUM(C11,IFERROR(28*D11,0),IFERROR(265*E11,0)))</f>
        <v>9629.4991623599999</v>
      </c>
    </row>
    <row r="12" spans="1:10" ht="18" customHeight="1" x14ac:dyDescent="0.2">
      <c r="B12" s="1270" t="s">
        <v>1372</v>
      </c>
      <c r="C12" s="4375"/>
      <c r="D12" s="4376">
        <f>IF(SUM(Table5.A!F10:H10)=0,"NO",SUM(Table5.A!F10))</f>
        <v>343.91068437000001</v>
      </c>
      <c r="E12" s="4375"/>
      <c r="F12" s="4377" t="s">
        <v>2147</v>
      </c>
      <c r="G12" s="4377" t="s">
        <v>2147</v>
      </c>
      <c r="H12" s="4377">
        <v>2.9863330967130217</v>
      </c>
      <c r="I12" s="4378"/>
      <c r="J12" s="4379">
        <f t="shared" si="2"/>
        <v>9629.4991623599999</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4.4564237660797268</v>
      </c>
      <c r="E15" s="2881">
        <f t="shared" ref="E15" si="3">IF(SUM(E16:E17)=0,"NO",SUM(E16:E17))</f>
        <v>0.57042224205820513</v>
      </c>
      <c r="F15" s="2881" t="s">
        <v>2256</v>
      </c>
      <c r="G15" s="2881" t="s">
        <v>2256</v>
      </c>
      <c r="H15" s="2881" t="s">
        <v>2256</v>
      </c>
      <c r="I15" s="4386"/>
      <c r="J15" s="2873">
        <f t="shared" si="2"/>
        <v>275.94175959565672</v>
      </c>
    </row>
    <row r="16" spans="1:10" ht="18" customHeight="1" x14ac:dyDescent="0.2">
      <c r="B16" s="1883" t="s">
        <v>1376</v>
      </c>
      <c r="C16" s="4387"/>
      <c r="D16" s="4376">
        <f>Table5.B!F10</f>
        <v>4.4564237660797268</v>
      </c>
      <c r="E16" s="4376">
        <f>Table5.B!G10</f>
        <v>0.57042224205820513</v>
      </c>
      <c r="F16" s="4388" t="s">
        <v>2147</v>
      </c>
      <c r="G16" s="4388" t="s">
        <v>2147</v>
      </c>
      <c r="H16" s="4388" t="s">
        <v>2147</v>
      </c>
      <c r="I16" s="4378"/>
      <c r="J16" s="4379">
        <f t="shared" si="2"/>
        <v>275.94175959565672</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31.414508582309281</v>
      </c>
      <c r="D18" s="2871" t="str">
        <f>IF(SUM(D19:D20)=0,"NO,NE",SUM(D19:D20))</f>
        <v>NO,NE</v>
      </c>
      <c r="E18" s="2871" t="str">
        <f>IF(SUM(E19:E20)=0,"NO,NE",SUM(E19:E20))</f>
        <v>NO,NE</v>
      </c>
      <c r="F18" s="2871" t="s">
        <v>2147</v>
      </c>
      <c r="G18" s="2871" t="s">
        <v>2147</v>
      </c>
      <c r="H18" s="2871" t="s">
        <v>2147</v>
      </c>
      <c r="I18" s="2871" t="s">
        <v>2147</v>
      </c>
      <c r="J18" s="2874">
        <f t="shared" si="2"/>
        <v>31.414508582309281</v>
      </c>
    </row>
    <row r="19" spans="2:12" ht="18" customHeight="1" x14ac:dyDescent="0.2">
      <c r="B19" s="1270" t="s">
        <v>1379</v>
      </c>
      <c r="C19" s="4376">
        <f>Table5.C!G10</f>
        <v>31.414508582309281</v>
      </c>
      <c r="D19" s="4376" t="str">
        <f>Table5.C!H10</f>
        <v>NO,NE</v>
      </c>
      <c r="E19" s="4376" t="str">
        <f>Table5.C!I10</f>
        <v>NO,NE</v>
      </c>
      <c r="F19" s="4391" t="s">
        <v>2147</v>
      </c>
      <c r="G19" s="4391" t="s">
        <v>2147</v>
      </c>
      <c r="H19" s="4391" t="s">
        <v>2147</v>
      </c>
      <c r="I19" s="4391" t="s">
        <v>2147</v>
      </c>
      <c r="J19" s="4379">
        <f>IF(SUM(C19:E19)=0,"NO",SUM(C19,IFERROR(28*D19,0),IFERROR(265*E19,0)))</f>
        <v>31.414508582309281</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97.550960888382377</v>
      </c>
      <c r="E21" s="2871">
        <f t="shared" ref="E21:H21" si="5">IF(SUM(E22:E24)=0,"NO",SUM(E22:E24))</f>
        <v>0.74564889019555824</v>
      </c>
      <c r="F21" s="2871" t="str">
        <f t="shared" si="5"/>
        <v>NO</v>
      </c>
      <c r="G21" s="2871" t="str">
        <f t="shared" si="5"/>
        <v>NO</v>
      </c>
      <c r="H21" s="2871">
        <f t="shared" si="5"/>
        <v>235.60999953447052</v>
      </c>
      <c r="I21" s="4393"/>
      <c r="J21" s="2874">
        <f t="shared" si="4"/>
        <v>2929.0238607765295</v>
      </c>
    </row>
    <row r="22" spans="2:12" ht="18" customHeight="1" x14ac:dyDescent="0.2">
      <c r="B22" s="1270" t="s">
        <v>1382</v>
      </c>
      <c r="C22" s="4394"/>
      <c r="D22" s="4376">
        <f>IF(SUM(Table5.D!H10)=0,"NO",SUM(Table5.D!H10))</f>
        <v>54.136432723751227</v>
      </c>
      <c r="E22" s="4376">
        <f>IF(SUM(Table5.D!I10:J10)=0,"NO",SUM(Table5.D!I10:J10))</f>
        <v>0.74564889019555824</v>
      </c>
      <c r="F22" s="4377" t="s">
        <v>2147</v>
      </c>
      <c r="G22" s="4377" t="s">
        <v>2147</v>
      </c>
      <c r="H22" s="4377">
        <v>8.2768145236471771</v>
      </c>
      <c r="I22" s="4378"/>
      <c r="J22" s="4379">
        <f t="shared" si="4"/>
        <v>1713.4170721668572</v>
      </c>
    </row>
    <row r="23" spans="2:12" ht="18" customHeight="1" x14ac:dyDescent="0.2">
      <c r="B23" s="1270" t="s">
        <v>1383</v>
      </c>
      <c r="C23" s="4394"/>
      <c r="D23" s="4376">
        <f>IF(SUM(Table5.D!H11)=0,"NO",SUM(Table5.D!H11))</f>
        <v>43.41452816463115</v>
      </c>
      <c r="E23" s="4376" t="str">
        <f>IF(SUM(Table5.D!I11:J11)=0,"IE",SUM(Table5.D!I11:J11))</f>
        <v>IE</v>
      </c>
      <c r="F23" s="4377" t="s">
        <v>2147</v>
      </c>
      <c r="G23" s="4377" t="s">
        <v>2147</v>
      </c>
      <c r="H23" s="4377">
        <v>227.33318501082334</v>
      </c>
      <c r="I23" s="4378"/>
      <c r="J23" s="4379">
        <f t="shared" si="4"/>
        <v>1215.6067886096721</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-311332.5287518152</v>
      </c>
      <c r="D28" s="4404"/>
      <c r="E28" s="4404"/>
      <c r="F28" s="4404"/>
      <c r="G28" s="4404"/>
      <c r="H28" s="4404"/>
      <c r="I28" s="4405"/>
      <c r="J28" s="4406"/>
      <c r="K28"/>
      <c r="L28"/>
    </row>
    <row r="29" spans="2:12" ht="18" customHeight="1" x14ac:dyDescent="0.2">
      <c r="B29" s="2487" t="s">
        <v>2081</v>
      </c>
      <c r="C29" s="4407">
        <v>-4057.5504877302737</v>
      </c>
      <c r="D29" s="4408"/>
      <c r="E29" s="4408"/>
      <c r="F29" s="4408"/>
      <c r="G29" s="4408"/>
      <c r="H29" s="4408"/>
      <c r="I29" s="4406"/>
      <c r="J29" s="4406"/>
      <c r="K29"/>
      <c r="L29"/>
    </row>
    <row r="30" spans="2:12" ht="29.25" customHeight="1" thickBot="1" x14ac:dyDescent="0.25">
      <c r="B30" s="2488" t="s">
        <v>2082</v>
      </c>
      <c r="C30" s="4409">
        <v>-1311.8213154512305</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20301.853963994283</v>
      </c>
      <c r="D10" s="3752"/>
      <c r="E10" s="3751">
        <f>IF(SUM(C10)=0,"NA",(F10-SUM(G10:H10))/C10)</f>
        <v>3.3096518454012319E-2</v>
      </c>
      <c r="F10" s="3753">
        <f>F11</f>
        <v>343.91068437000001</v>
      </c>
      <c r="G10" s="3753">
        <f>G11</f>
        <v>-19.05</v>
      </c>
      <c r="H10" s="3754">
        <f>H11</f>
        <v>-308.95999999999998</v>
      </c>
      <c r="I10" s="44"/>
    </row>
    <row r="11" spans="1:13" ht="18" customHeight="1" x14ac:dyDescent="0.2">
      <c r="B11" s="1750" t="s">
        <v>1395</v>
      </c>
      <c r="C11" s="3755">
        <f>IF(SUM(C13:C16)=0,"NO",SUM(C13:C16))</f>
        <v>20301.853963994283</v>
      </c>
      <c r="D11" s="3755">
        <v>1</v>
      </c>
      <c r="E11" s="3755">
        <f>IF(SUM(C11)=0,"NA",(F11-SUM(G11:H11))/C11)</f>
        <v>3.3096518454012319E-2</v>
      </c>
      <c r="F11" s="3755">
        <f>IF(SUM(F13:F16)=0,"NO",SUM(F13:F16))</f>
        <v>343.91068437000001</v>
      </c>
      <c r="G11" s="3756">
        <v>-19.05</v>
      </c>
      <c r="H11" s="3757">
        <v>-308.95999999999998</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12453.708544318497</v>
      </c>
      <c r="D13" s="3762">
        <v>1</v>
      </c>
      <c r="E13" s="3755" t="s">
        <v>2153</v>
      </c>
      <c r="F13" s="3762">
        <v>14.02444897</v>
      </c>
      <c r="G13" s="3763"/>
      <c r="H13" s="3764"/>
      <c r="I13" s="44"/>
    </row>
    <row r="14" spans="1:13" ht="18" customHeight="1" x14ac:dyDescent="0.2">
      <c r="B14" s="1751" t="s">
        <v>1398</v>
      </c>
      <c r="C14" s="3762">
        <v>1833.3862906051722</v>
      </c>
      <c r="D14" s="3762">
        <v>1</v>
      </c>
      <c r="E14" s="3755" t="s">
        <v>2153</v>
      </c>
      <c r="F14" s="3762">
        <v>127.8102143</v>
      </c>
      <c r="G14" s="3763"/>
      <c r="H14" s="3764"/>
      <c r="I14" s="44"/>
    </row>
    <row r="15" spans="1:13" ht="18" customHeight="1" x14ac:dyDescent="0.2">
      <c r="B15" s="1751" t="s">
        <v>1399</v>
      </c>
      <c r="C15" s="3762">
        <v>6014.7591290706132</v>
      </c>
      <c r="D15" s="3762">
        <v>1</v>
      </c>
      <c r="E15" s="3755" t="s">
        <v>2153</v>
      </c>
      <c r="F15" s="3762">
        <v>202.07602109999999</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5941.8983547729704</v>
      </c>
      <c r="D10" s="1913">
        <f>IF(SUM($C10)=0,"NA",F10*1000/$C10)</f>
        <v>0.74999999999999989</v>
      </c>
      <c r="E10" s="1913">
        <f>IF(SUM($C10)=0,"NA",G10*1000/$C10)</f>
        <v>9.6000000000000002E-2</v>
      </c>
      <c r="F10" s="1909">
        <f>IF(SUM(F11:F12)=0,"NO",SUM(F11:F12))</f>
        <v>4.4564237660797268</v>
      </c>
      <c r="G10" s="1909">
        <f>IF(SUM(G11:G12)=0,"NO",SUM(G11:G12))</f>
        <v>0.57042224205820513</v>
      </c>
      <c r="H10" s="1910"/>
      <c r="I10" s="1911"/>
    </row>
    <row r="11" spans="1:9" ht="18" customHeight="1" x14ac:dyDescent="0.2">
      <c r="B11" s="1526" t="s">
        <v>1411</v>
      </c>
      <c r="C11" s="1912">
        <v>5941.8983547729704</v>
      </c>
      <c r="D11" s="1913">
        <f>IF(SUM($C11)=0,"NA",F11*1000/$C11)</f>
        <v>0.74999999999999989</v>
      </c>
      <c r="E11" s="1913">
        <f>IF(SUM($C11)=0,"NA",G11*1000/$C11)</f>
        <v>9.6000000000000002E-2</v>
      </c>
      <c r="F11" s="1912">
        <v>4.4564237660797268</v>
      </c>
      <c r="G11" s="1912">
        <v>0.57042224205820513</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16.13239796550975</v>
      </c>
      <c r="D10" s="2887">
        <f>IF(SUM(G10)=0,"NA",G10*1000/$C10)</f>
        <v>1947.2931829150205</v>
      </c>
      <c r="E10" s="2887" t="str">
        <f t="shared" ref="E10:E20" si="0">IF(SUM(H10)=0,"NA",H10*1000/$C10)</f>
        <v>NA</v>
      </c>
      <c r="F10" s="2887" t="str">
        <f t="shared" ref="F10:F20" si="1">IF(SUM(I10)=0,"NA",I10*1000/$C10)</f>
        <v>NA</v>
      </c>
      <c r="G10" s="2887">
        <f>IF(SUM(G11,G21)=0,"NO",SUM(G11,G21))</f>
        <v>31.414508582309281</v>
      </c>
      <c r="H10" s="2887" t="str">
        <f>IF(SUM(H11,H21)=0,"NO,NE",SUM(H11,H21))</f>
        <v>NO,NE</v>
      </c>
      <c r="I10" s="2888" t="str">
        <f>IF(SUM(I11,I21)=0,"NO,NE",SUM(I11,I21))</f>
        <v>NO,NE</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16.13239796550975</v>
      </c>
      <c r="D21" s="116">
        <f>IF(SUM(G21)=0,"NA",G21*1000/$C21)</f>
        <v>1947.2931829150205</v>
      </c>
      <c r="E21" s="116" t="str">
        <f t="shared" ref="E21:F21" si="3">IF(SUM(H21)=0,"NA",H21*1000/$C21)</f>
        <v>NA</v>
      </c>
      <c r="F21" s="116" t="str">
        <f t="shared" si="3"/>
        <v>NA</v>
      </c>
      <c r="G21" s="2889">
        <f>IF(SUM(G22:G23)=0,"NO",SUM(G22:G23))</f>
        <v>31.414508582309281</v>
      </c>
      <c r="H21" s="116" t="str">
        <f>IF(SUM(H22:H23)=0,"NO,NE",SUM(H22:H23))</f>
        <v>NO,NE</v>
      </c>
      <c r="I21" s="2890" t="str">
        <f>IF(SUM(I22:I23)=0,"NO,NE",SUM(I22:I23))</f>
        <v>NO,NE</v>
      </c>
    </row>
    <row r="22" spans="2:9" ht="18" customHeight="1" x14ac:dyDescent="0.2">
      <c r="B22" s="1526" t="s">
        <v>1434</v>
      </c>
      <c r="C22" s="143" t="s">
        <v>2146</v>
      </c>
      <c r="D22" s="116" t="str">
        <f t="shared" ref="D22:D38" si="4">IF(SUM(G22)=0,"NA",G22*1000/$C22)</f>
        <v>NA</v>
      </c>
      <c r="E22" s="116" t="str">
        <f t="shared" ref="E22:E38" si="5">IF(SUM(H22)=0,"NA",H22*1000/$C22)</f>
        <v>NA</v>
      </c>
      <c r="F22" s="116" t="str">
        <f t="shared" ref="F22:F38" si="6">IF(SUM(I22)=0,"NA",I22*1000/$C22)</f>
        <v>NA</v>
      </c>
      <c r="G22" s="143" t="s">
        <v>2146</v>
      </c>
      <c r="H22" s="143" t="s">
        <v>2146</v>
      </c>
      <c r="I22" s="140" t="s">
        <v>2146</v>
      </c>
    </row>
    <row r="23" spans="2:9" ht="18" customHeight="1" x14ac:dyDescent="0.2">
      <c r="B23" s="1526" t="s">
        <v>1435</v>
      </c>
      <c r="C23" s="2889">
        <f>IF(SUM(C25:C29)=0,"NO",SUM(C25:C29))</f>
        <v>16.13239796550975</v>
      </c>
      <c r="D23" s="116">
        <f t="shared" si="4"/>
        <v>1947.2931829150205</v>
      </c>
      <c r="E23" s="151" t="str">
        <f t="shared" si="5"/>
        <v>NA</v>
      </c>
      <c r="F23" s="151" t="str">
        <f t="shared" si="6"/>
        <v>NA</v>
      </c>
      <c r="G23" s="151">
        <f>IF(SUM(G25:G30)=0,"NO",SUM(G25:G30))</f>
        <v>31.414508582309281</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16.13239796550975</v>
      </c>
      <c r="D27" s="116">
        <f t="shared" si="4"/>
        <v>880.00000000000011</v>
      </c>
      <c r="E27" s="116" t="str">
        <f t="shared" si="5"/>
        <v>NA</v>
      </c>
      <c r="F27" s="116" t="str">
        <f t="shared" si="6"/>
        <v>NA</v>
      </c>
      <c r="G27" s="2897">
        <v>14.196510209648581</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5.6143205858421501</v>
      </c>
      <c r="D30" s="116">
        <f t="shared" si="4"/>
        <v>3066.7999999999988</v>
      </c>
      <c r="E30" s="153" t="str">
        <f t="shared" si="5"/>
        <v>NA</v>
      </c>
      <c r="F30" s="153" t="str">
        <f t="shared" si="6"/>
        <v>NA</v>
      </c>
      <c r="G30" s="1541">
        <f>G31</f>
        <v>17.217998372660698</v>
      </c>
      <c r="H30" s="1541" t="str">
        <f>H31</f>
        <v>NE</v>
      </c>
      <c r="I30" s="2894" t="str">
        <f>I31</f>
        <v>NE</v>
      </c>
    </row>
    <row r="31" spans="2:9" ht="18" customHeight="1" x14ac:dyDescent="0.2">
      <c r="B31" s="2891" t="s">
        <v>2257</v>
      </c>
      <c r="C31" s="162">
        <v>5.6143205858421501</v>
      </c>
      <c r="D31" s="116">
        <f t="shared" si="4"/>
        <v>3066.7999999999988</v>
      </c>
      <c r="E31" s="153" t="str">
        <f t="shared" si="5"/>
        <v>NA</v>
      </c>
      <c r="F31" s="153" t="str">
        <f t="shared" si="6"/>
        <v>NA</v>
      </c>
      <c r="G31" s="161">
        <v>17.217998372660698</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25168.812999999998</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32.399625207695557</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1254.0361142777599</v>
      </c>
      <c r="D10" s="3435">
        <v>829.35629611261197</v>
      </c>
      <c r="E10" s="3435">
        <v>130.029538317809</v>
      </c>
      <c r="F10" s="3436">
        <f>(SUM(H10)-SUM(K10:L10))/C10</f>
        <v>9.5187446243868101E-2</v>
      </c>
      <c r="G10" s="3437">
        <f>SUM(I10:J10)/E10/(44/28)</f>
        <v>3.6492003690392761E-3</v>
      </c>
      <c r="H10" s="3434">
        <v>54.136432723751227</v>
      </c>
      <c r="I10" s="3223">
        <v>0.74564889019555824</v>
      </c>
      <c r="J10" s="3223" t="s">
        <v>2153</v>
      </c>
      <c r="K10" s="3438">
        <v>-14.77034076877241</v>
      </c>
      <c r="L10" s="2911">
        <v>-50.461721723159869</v>
      </c>
      <c r="M10"/>
      <c r="N10" s="1770" t="s">
        <v>1468</v>
      </c>
      <c r="O10" s="3440">
        <v>1</v>
      </c>
    </row>
    <row r="11" spans="1:15" ht="18" customHeight="1" x14ac:dyDescent="0.2">
      <c r="A11"/>
      <c r="B11" s="1749" t="s">
        <v>1383</v>
      </c>
      <c r="C11" s="3435">
        <v>757.77728336941095</v>
      </c>
      <c r="D11" s="3435">
        <v>122.01324434515701</v>
      </c>
      <c r="E11" s="691" t="s">
        <v>2153</v>
      </c>
      <c r="F11" s="3162">
        <f>(SUM(H11)-SUM(K11:L11))/C11</f>
        <v>7.8945147009400904E-2</v>
      </c>
      <c r="G11" s="3162" t="s">
        <v>2147</v>
      </c>
      <c r="H11" s="691">
        <v>43.41452816463115</v>
      </c>
      <c r="I11" s="691" t="s">
        <v>2153</v>
      </c>
      <c r="J11" s="691" t="s">
        <v>2153</v>
      </c>
      <c r="K11" s="3147" t="s">
        <v>2153</v>
      </c>
      <c r="L11" s="2911">
        <v>-16.408310871351439</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349825.36614013097</v>
      </c>
      <c r="D10" s="4213">
        <f t="shared" si="0"/>
        <v>4767.8748875659121</v>
      </c>
      <c r="E10" s="4213">
        <f t="shared" si="0"/>
        <v>77.912878576947051</v>
      </c>
      <c r="F10" s="4213">
        <f t="shared" si="0"/>
        <v>9891.6117285115197</v>
      </c>
      <c r="G10" s="4213">
        <f t="shared" si="0"/>
        <v>212.24369299342177</v>
      </c>
      <c r="H10" s="4213" t="str">
        <f>IF(SUM(H11,H22,H31,H42,H51)=0,"NO",SUM(H11,H22,H31,H42,H51))</f>
        <v>NO</v>
      </c>
      <c r="I10" s="4213">
        <f t="shared" ref="I10:N10" si="1">IF(SUM(I11,I22,I31,I42,I51)=0,"NO",SUM(I11,I22,I31,I42,I51))</f>
        <v>6.3712894659198518E-3</v>
      </c>
      <c r="J10" s="3834" t="str">
        <f t="shared" si="1"/>
        <v>NO</v>
      </c>
      <c r="K10" s="4213">
        <f t="shared" si="1"/>
        <v>3486.0887110849667</v>
      </c>
      <c r="L10" s="4213">
        <f t="shared" si="1"/>
        <v>21456.115746736017</v>
      </c>
      <c r="M10" s="4213">
        <f t="shared" si="1"/>
        <v>1792.0546165214137</v>
      </c>
      <c r="N10" s="4214">
        <f t="shared" si="1"/>
        <v>2083.0037831531004</v>
      </c>
      <c r="O10" s="3818">
        <f>IF(SUM(C10:J10)=0,"NO",SUM(C10,F10:H10)+28*SUM(D10)+265*SUM(E10)+23500*SUM(I10)+16100*SUM(J10))</f>
        <v>514226.35653882154</v>
      </c>
    </row>
    <row r="11" spans="1:15" ht="18" customHeight="1" x14ac:dyDescent="0.25">
      <c r="B11" s="1120" t="s">
        <v>1476</v>
      </c>
      <c r="C11" s="2552">
        <f>Table1!C10</f>
        <v>392802.7484247142</v>
      </c>
      <c r="D11" s="3810">
        <f>Table1!D10</f>
        <v>1430.3765588980289</v>
      </c>
      <c r="E11" s="3810">
        <f>Table1!E10</f>
        <v>10.253157524371714</v>
      </c>
      <c r="F11" s="4215"/>
      <c r="G11" s="4215"/>
      <c r="H11" s="4216"/>
      <c r="I11" s="4215"/>
      <c r="J11" s="98"/>
      <c r="K11" s="3810">
        <f>Table1!F10</f>
        <v>2741.2533523861457</v>
      </c>
      <c r="L11" s="3810">
        <f>Table1!G10</f>
        <v>2214.4751901761674</v>
      </c>
      <c r="M11" s="3810">
        <f>Table1!H10</f>
        <v>759.24079613583206</v>
      </c>
      <c r="N11" s="4217">
        <f>Table1!I10</f>
        <v>641.38587777548821</v>
      </c>
      <c r="O11" s="3781">
        <f t="shared" ref="O11:O58" si="2">IF(SUM(C11:J11)=0,"NO",SUM(C11,F11:H11)+28*SUM(D11)+265*SUM(E11)+23500*SUM(I11)+16100*SUM(J11))</f>
        <v>435570.37881781755</v>
      </c>
    </row>
    <row r="12" spans="1:15" ht="18" customHeight="1" x14ac:dyDescent="0.25">
      <c r="B12" s="1370" t="s">
        <v>1477</v>
      </c>
      <c r="C12" s="4218">
        <f>Table1!C11</f>
        <v>375877.12066882144</v>
      </c>
      <c r="D12" s="4219">
        <f>Table1!D11</f>
        <v>90.31721273105795</v>
      </c>
      <c r="E12" s="4219">
        <f>Table1!E11</f>
        <v>10.000031713248097</v>
      </c>
      <c r="F12" s="69"/>
      <c r="G12" s="69"/>
      <c r="H12" s="69"/>
      <c r="I12" s="69"/>
      <c r="J12" s="69"/>
      <c r="K12" s="4219">
        <f>Table1!F11</f>
        <v>2737.2581932848552</v>
      </c>
      <c r="L12" s="4219">
        <f>Table1!G11</f>
        <v>2191.504793126182</v>
      </c>
      <c r="M12" s="4219">
        <f>Table1!H11</f>
        <v>532.24801741034219</v>
      </c>
      <c r="N12" s="4220">
        <f>Table1!I11</f>
        <v>641.38587777548821</v>
      </c>
      <c r="O12" s="3782">
        <f t="shared" si="2"/>
        <v>381056.01102930179</v>
      </c>
    </row>
    <row r="13" spans="1:15" ht="18" customHeight="1" x14ac:dyDescent="0.25">
      <c r="B13" s="1371" t="s">
        <v>1478</v>
      </c>
      <c r="C13" s="4218">
        <f>Table1!C12</f>
        <v>212993.00937885189</v>
      </c>
      <c r="D13" s="4219">
        <f>Table1!D12</f>
        <v>38.13249127726661</v>
      </c>
      <c r="E13" s="4219">
        <f>Table1!E12</f>
        <v>3.0129441502913004</v>
      </c>
      <c r="F13" s="69"/>
      <c r="G13" s="69"/>
      <c r="H13" s="69"/>
      <c r="I13" s="69"/>
      <c r="J13" s="69"/>
      <c r="K13" s="4219">
        <f>Table1!F12</f>
        <v>1199.1785403744361</v>
      </c>
      <c r="L13" s="4219">
        <f>Table1!G12</f>
        <v>251.19134655056831</v>
      </c>
      <c r="M13" s="4219">
        <f>Table1!H12</f>
        <v>76.863992584503762</v>
      </c>
      <c r="N13" s="4220">
        <f>Table1!I12</f>
        <v>543.06947930929209</v>
      </c>
      <c r="O13" s="3783">
        <f t="shared" si="2"/>
        <v>214859.14933444254</v>
      </c>
    </row>
    <row r="14" spans="1:15" ht="18" customHeight="1" x14ac:dyDescent="0.25">
      <c r="B14" s="1371" t="s">
        <v>1479</v>
      </c>
      <c r="C14" s="4218">
        <f>Table1!C16</f>
        <v>41202.854256055114</v>
      </c>
      <c r="D14" s="4221">
        <f>Table1!D16</f>
        <v>2.3685642924102206</v>
      </c>
      <c r="E14" s="4221">
        <f>Table1!E16</f>
        <v>1.5040470815150182</v>
      </c>
      <c r="F14" s="3784"/>
      <c r="G14" s="3784"/>
      <c r="H14" s="3784"/>
      <c r="I14" s="3784"/>
      <c r="J14" s="69"/>
      <c r="K14" s="4221">
        <f>Table1!F16</f>
        <v>787.79420644007371</v>
      </c>
      <c r="L14" s="4221">
        <f>Table1!G16</f>
        <v>249.37283213993283</v>
      </c>
      <c r="M14" s="4221">
        <f>Table1!H16</f>
        <v>102.16663921289634</v>
      </c>
      <c r="N14" s="4222">
        <f>Table1!I16</f>
        <v>61.111160864040293</v>
      </c>
      <c r="O14" s="3785">
        <f t="shared" si="2"/>
        <v>41667.746532844081</v>
      </c>
    </row>
    <row r="15" spans="1:15" ht="18" customHeight="1" x14ac:dyDescent="0.25">
      <c r="B15" s="1371" t="s">
        <v>1480</v>
      </c>
      <c r="C15" s="4218">
        <f>Table1!C24</f>
        <v>98511.309671759809</v>
      </c>
      <c r="D15" s="4219">
        <f>Table1!D24</f>
        <v>13.740095915565117</v>
      </c>
      <c r="E15" s="4219">
        <f>Table1!E24</f>
        <v>4.7239156075148996</v>
      </c>
      <c r="F15" s="69"/>
      <c r="G15" s="69"/>
      <c r="H15" s="69"/>
      <c r="I15" s="69"/>
      <c r="J15" s="69"/>
      <c r="K15" s="4219">
        <f>Table1!F24</f>
        <v>304.00583327354633</v>
      </c>
      <c r="L15" s="4219">
        <f>Table1!G24</f>
        <v>1025.9524834430783</v>
      </c>
      <c r="M15" s="4219">
        <f>Table1!H24</f>
        <v>230.56616479127365</v>
      </c>
      <c r="N15" s="4220">
        <f>Table1!I24</f>
        <v>27.743527684796636</v>
      </c>
      <c r="O15" s="3783">
        <f t="shared" si="2"/>
        <v>100147.86999338708</v>
      </c>
    </row>
    <row r="16" spans="1:15" ht="18" customHeight="1" x14ac:dyDescent="0.25">
      <c r="B16" s="1371" t="s">
        <v>1481</v>
      </c>
      <c r="C16" s="4218">
        <f>Table1!C30</f>
        <v>22249.420221504901</v>
      </c>
      <c r="D16" s="4219">
        <f>Table1!D30</f>
        <v>36.039131203241482</v>
      </c>
      <c r="E16" s="4219">
        <f>Table1!E30</f>
        <v>0.73332096634122079</v>
      </c>
      <c r="F16" s="69"/>
      <c r="G16" s="69"/>
      <c r="H16" s="69"/>
      <c r="I16" s="69"/>
      <c r="J16" s="69"/>
      <c r="K16" s="4219">
        <f>Table1!F30</f>
        <v>437.35320131097245</v>
      </c>
      <c r="L16" s="4219">
        <f>Table1!G30</f>
        <v>661.84666652685678</v>
      </c>
      <c r="M16" s="4219">
        <f>Table1!H30</f>
        <v>122.13309484934126</v>
      </c>
      <c r="N16" s="4220">
        <f>Table1!I30</f>
        <v>9.1133319935322312</v>
      </c>
      <c r="O16" s="3783">
        <f t="shared" si="2"/>
        <v>23452.845951276086</v>
      </c>
    </row>
    <row r="17" spans="2:15" ht="18" customHeight="1" x14ac:dyDescent="0.25">
      <c r="B17" s="1371" t="s">
        <v>1482</v>
      </c>
      <c r="C17" s="4218">
        <f>Table1!C34</f>
        <v>920.52714064979261</v>
      </c>
      <c r="D17" s="4219">
        <f>Table1!D34</f>
        <v>3.6930042574526749E-2</v>
      </c>
      <c r="E17" s="4219">
        <f>Table1!E34</f>
        <v>2.5803907585655421E-2</v>
      </c>
      <c r="F17" s="69"/>
      <c r="G17" s="69"/>
      <c r="H17" s="69"/>
      <c r="I17" s="69"/>
      <c r="J17" s="69"/>
      <c r="K17" s="4219">
        <f>Table1!F34</f>
        <v>8.9264118858267487</v>
      </c>
      <c r="L17" s="4219">
        <f>Table1!G34</f>
        <v>3.141464465745627</v>
      </c>
      <c r="M17" s="4219">
        <f>Table1!H34</f>
        <v>0.518125972327099</v>
      </c>
      <c r="N17" s="4220">
        <f>Table1!I34</f>
        <v>0.34837792382705768</v>
      </c>
      <c r="O17" s="3783">
        <f t="shared" si="2"/>
        <v>928.39921735207804</v>
      </c>
    </row>
    <row r="18" spans="2:15" ht="18" customHeight="1" x14ac:dyDescent="0.25">
      <c r="B18" s="1370" t="s">
        <v>99</v>
      </c>
      <c r="C18" s="4223">
        <f>Table1!C37</f>
        <v>16925.627755892769</v>
      </c>
      <c r="D18" s="4224">
        <f>Table1!D37</f>
        <v>1340.059346166971</v>
      </c>
      <c r="E18" s="4224">
        <f>Table1!E37</f>
        <v>0.2531258111236166</v>
      </c>
      <c r="F18" s="69"/>
      <c r="G18" s="69"/>
      <c r="H18" s="69"/>
      <c r="I18" s="69"/>
      <c r="J18" s="69"/>
      <c r="K18" s="4224">
        <f>Table1!F37</f>
        <v>3.9951591012905681</v>
      </c>
      <c r="L18" s="4219">
        <f>Table1!G37</f>
        <v>22.970397049985291</v>
      </c>
      <c r="M18" s="4219">
        <f>Table1!H37</f>
        <v>226.99277872548987</v>
      </c>
      <c r="N18" s="4220" t="str">
        <f>Table1!I37</f>
        <v>NO</v>
      </c>
      <c r="O18" s="3783">
        <f t="shared" si="2"/>
        <v>54514.367788515716</v>
      </c>
    </row>
    <row r="19" spans="2:15" ht="18" customHeight="1" x14ac:dyDescent="0.25">
      <c r="B19" s="1371" t="s">
        <v>1483</v>
      </c>
      <c r="C19" s="4225">
        <f>Table1!C38</f>
        <v>2361.4971654210785</v>
      </c>
      <c r="D19" s="4226">
        <f>Table1!D38</f>
        <v>1066.0864761177477</v>
      </c>
      <c r="E19" s="4224">
        <f>Table1!E38</f>
        <v>1.5778380369077659E-3</v>
      </c>
      <c r="F19" s="69"/>
      <c r="G19" s="69"/>
      <c r="H19" s="69"/>
      <c r="I19" s="69"/>
      <c r="J19" s="69"/>
      <c r="K19" s="4224" t="str">
        <f>Table1!F38</f>
        <v>NO</v>
      </c>
      <c r="L19" s="4219" t="str">
        <f>Table1!G38</f>
        <v>NO</v>
      </c>
      <c r="M19" s="4219" t="str">
        <f>Table1!H38</f>
        <v>NO</v>
      </c>
      <c r="N19" s="4220" t="str">
        <f>Table1!I38</f>
        <v>NO</v>
      </c>
      <c r="O19" s="3783">
        <f t="shared" si="2"/>
        <v>32212.336623797797</v>
      </c>
    </row>
    <row r="20" spans="2:15" ht="18" customHeight="1" x14ac:dyDescent="0.25">
      <c r="B20" s="1372" t="s">
        <v>1484</v>
      </c>
      <c r="C20" s="4225">
        <f>Table1!C42</f>
        <v>14564.13059047169</v>
      </c>
      <c r="D20" s="4227">
        <f>Table1!D42</f>
        <v>273.97287004922333</v>
      </c>
      <c r="E20" s="4224">
        <f>Table1!E42</f>
        <v>0.25154797308670884</v>
      </c>
      <c r="F20" s="3784"/>
      <c r="G20" s="3784"/>
      <c r="H20" s="3784"/>
      <c r="I20" s="3784"/>
      <c r="J20" s="69"/>
      <c r="K20" s="4224">
        <f>Table1!F42</f>
        <v>3.9951591012905681</v>
      </c>
      <c r="L20" s="4221">
        <f>Table1!G42</f>
        <v>22.970397049985291</v>
      </c>
      <c r="M20" s="4221">
        <f>Table1!H42</f>
        <v>226.99277872548987</v>
      </c>
      <c r="N20" s="4222" t="str">
        <f>Table1!I42</f>
        <v>NO</v>
      </c>
      <c r="O20" s="3785">
        <f t="shared" si="2"/>
        <v>22302.031164717922</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19841.843270344536</v>
      </c>
      <c r="D22" s="4230">
        <f>'Table2(I)'!D10</f>
        <v>2.9530858210214426</v>
      </c>
      <c r="E22" s="4231">
        <f>'Table2(I)'!E10</f>
        <v>6.1606316530955461</v>
      </c>
      <c r="F22" s="3810">
        <f>'Table2(I)'!F10</f>
        <v>9891.6117285115197</v>
      </c>
      <c r="G22" s="3810">
        <f>'Table2(I)'!G10</f>
        <v>212.24369299342177</v>
      </c>
      <c r="H22" s="3810" t="str">
        <f>'Table2(I)'!H10</f>
        <v>NO</v>
      </c>
      <c r="I22" s="3810">
        <f>'Table2(I)'!I10</f>
        <v>6.3712894659198518E-3</v>
      </c>
      <c r="J22" s="3810" t="str">
        <f>'Table2(I)'!J10</f>
        <v>NO</v>
      </c>
      <c r="K22" s="3810">
        <f>'Table2(I)'!K10</f>
        <v>7.4038640463231848</v>
      </c>
      <c r="L22" s="3810">
        <f>'Table2(I)'!L10</f>
        <v>17.572557186831258</v>
      </c>
      <c r="M22" s="3810">
        <f>'Table2(I)'!M10</f>
        <v>244.977241284043</v>
      </c>
      <c r="N22" s="4217">
        <f>'Table2(I)'!N10</f>
        <v>1441.6179053776123</v>
      </c>
      <c r="O22" s="3781">
        <f t="shared" si="2"/>
        <v>31810.677785357515</v>
      </c>
    </row>
    <row r="23" spans="2:15" ht="18" customHeight="1" x14ac:dyDescent="0.25">
      <c r="B23" s="1133" t="s">
        <v>1487</v>
      </c>
      <c r="C23" s="4232">
        <f>'Table2(I)'!C11</f>
        <v>5522.0794493082831</v>
      </c>
      <c r="D23" s="3789"/>
      <c r="E23" s="98"/>
      <c r="F23" s="98"/>
      <c r="G23" s="98"/>
      <c r="H23" s="98"/>
      <c r="I23" s="98"/>
      <c r="J23" s="69"/>
      <c r="K23" s="4233" t="str">
        <f>'Table2(I)'!K11</f>
        <v>NO</v>
      </c>
      <c r="L23" s="4233" t="str">
        <f>'Table2(I)'!L11</f>
        <v>NO</v>
      </c>
      <c r="M23" s="4233" t="str">
        <f>'Table2(I)'!M11</f>
        <v>NO</v>
      </c>
      <c r="N23" s="4234" t="str">
        <f>'Table2(I)'!N11</f>
        <v>NO</v>
      </c>
      <c r="O23" s="3782">
        <f t="shared" si="2"/>
        <v>5522.0794493082831</v>
      </c>
    </row>
    <row r="24" spans="2:15" ht="18" customHeight="1" x14ac:dyDescent="0.25">
      <c r="B24" s="1133" t="s">
        <v>621</v>
      </c>
      <c r="C24" s="4232">
        <f>'Table2(I)'!C16</f>
        <v>3267.9236320572513</v>
      </c>
      <c r="D24" s="4235">
        <f>'Table2(I)'!D16</f>
        <v>0.43359999999999999</v>
      </c>
      <c r="E24" s="4236">
        <f>'Table2(I)'!E16</f>
        <v>6.1034972207218603</v>
      </c>
      <c r="F24" s="4219" t="str">
        <f>'Table2(I)'!F16</f>
        <v>NO</v>
      </c>
      <c r="G24" s="4219" t="str">
        <f>'Table2(I)'!G16</f>
        <v>NO</v>
      </c>
      <c r="H24" s="4219" t="str">
        <f>'Table2(I)'!H16</f>
        <v>NO</v>
      </c>
      <c r="I24" s="4219" t="str">
        <f>'Table2(I)'!I16</f>
        <v>NO</v>
      </c>
      <c r="J24" s="616" t="str">
        <f>'Table2(I)'!J16</f>
        <v>NO</v>
      </c>
      <c r="K24" s="4219" t="str">
        <f>'Table2(I)'!K16</f>
        <v>NO</v>
      </c>
      <c r="L24" s="4219" t="str">
        <f>'Table2(I)'!L16</f>
        <v>NO</v>
      </c>
      <c r="M24" s="4219">
        <f>'Table2(I)'!M16</f>
        <v>2.8425606806999988</v>
      </c>
      <c r="N24" s="4220" t="str">
        <f>'Table2(I)'!N16</f>
        <v>NO</v>
      </c>
      <c r="O24" s="3783">
        <f t="shared" si="2"/>
        <v>4897.4911955485441</v>
      </c>
    </row>
    <row r="25" spans="2:15" ht="18" customHeight="1" x14ac:dyDescent="0.25">
      <c r="B25" s="1133" t="s">
        <v>459</v>
      </c>
      <c r="C25" s="4232">
        <f>'Table2(I)'!C27</f>
        <v>10659.504142456713</v>
      </c>
      <c r="D25" s="4235">
        <f>'Table2(I)'!D27</f>
        <v>2.5194858210214424</v>
      </c>
      <c r="E25" s="4236">
        <f>'Table2(I)'!E27</f>
        <v>5.7134432373685706E-2</v>
      </c>
      <c r="F25" s="4219" t="str">
        <f>'Table2(I)'!F27</f>
        <v>NO</v>
      </c>
      <c r="G25" s="4219">
        <f>'Table2(I)'!G27</f>
        <v>212.24369299342177</v>
      </c>
      <c r="H25" s="4219" t="str">
        <f>'Table2(I)'!H27</f>
        <v>NO</v>
      </c>
      <c r="I25" s="4219" t="str">
        <f>'Table2(I)'!I27</f>
        <v>NO</v>
      </c>
      <c r="J25" s="4219" t="str">
        <f>'Table2(I)'!J27</f>
        <v>NO</v>
      </c>
      <c r="K25" s="4219">
        <f>'Table2(I)'!K27</f>
        <v>7.4038640463231848</v>
      </c>
      <c r="L25" s="4219">
        <f>'Table2(I)'!L27</f>
        <v>17.572557186831258</v>
      </c>
      <c r="M25" s="4219">
        <f>'Table2(I)'!M27</f>
        <v>6.9536261964107129E-2</v>
      </c>
      <c r="N25" s="4220">
        <f>'Table2(I)'!N27</f>
        <v>1441.6179053776123</v>
      </c>
      <c r="O25" s="3783">
        <f t="shared" si="2"/>
        <v>10957.434063017761</v>
      </c>
    </row>
    <row r="26" spans="2:15" ht="18" customHeight="1" x14ac:dyDescent="0.25">
      <c r="B26" s="1133" t="s">
        <v>1488</v>
      </c>
      <c r="C26" s="4232">
        <f>'Table2(I)'!C35</f>
        <v>173.43878034000002</v>
      </c>
      <c r="D26" s="3790" t="str">
        <f>'Table2(I)'!D35</f>
        <v>NO</v>
      </c>
      <c r="E26" s="616" t="str">
        <f>'Table2(I)'!E35</f>
        <v>NO</v>
      </c>
      <c r="F26" s="69"/>
      <c r="G26" s="69"/>
      <c r="H26" s="69"/>
      <c r="I26" s="69"/>
      <c r="J26" s="69"/>
      <c r="K26" s="616" t="str">
        <f>'Table2(I)'!K35</f>
        <v>NO</v>
      </c>
      <c r="L26" s="4236" t="str">
        <f>'Table2(I)'!L35</f>
        <v>NO</v>
      </c>
      <c r="M26" s="4236">
        <f>'Table2(I)'!M35</f>
        <v>192.58852465921933</v>
      </c>
      <c r="N26" s="4237" t="str">
        <f>'Table2(I)'!N35</f>
        <v>NO</v>
      </c>
      <c r="O26" s="3783">
        <f t="shared" si="2"/>
        <v>173.43878034000002</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9891.6117285115197</v>
      </c>
      <c r="G28" s="4221" t="str">
        <f>'Table2(I)'!G45</f>
        <v>NO</v>
      </c>
      <c r="H28" s="4221" t="str">
        <f>'Table2(I)'!H45</f>
        <v>NO</v>
      </c>
      <c r="I28" s="4221" t="str">
        <f>'Table2(I)'!I45</f>
        <v>NO</v>
      </c>
      <c r="J28" s="4221" t="str">
        <f>'Table2(I)'!J45</f>
        <v>NO</v>
      </c>
      <c r="K28" s="3784"/>
      <c r="L28" s="3784"/>
      <c r="M28" s="3784"/>
      <c r="N28" s="3793"/>
      <c r="O28" s="3785">
        <f t="shared" si="2"/>
        <v>9891.6117285115197</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6.3712894659198518E-3</v>
      </c>
      <c r="J29" s="616" t="str">
        <f>'Table2(I)'!J52</f>
        <v>NO</v>
      </c>
      <c r="K29" s="3796" t="str">
        <f>'Table2(I)'!K52</f>
        <v>NO</v>
      </c>
      <c r="L29" s="3796" t="str">
        <f>'Table2(I)'!L52</f>
        <v>NO</v>
      </c>
      <c r="M29" s="3796" t="str">
        <f>'Table2(I)'!M52</f>
        <v>NO</v>
      </c>
      <c r="N29" s="3797" t="str">
        <f>'Table2(I)'!N52</f>
        <v>NO</v>
      </c>
      <c r="O29" s="3785">
        <f t="shared" si="2"/>
        <v>149.72530244911653</v>
      </c>
    </row>
    <row r="30" spans="2:15" ht="18" customHeight="1" thickBot="1" x14ac:dyDescent="0.3">
      <c r="B30" s="1375" t="s">
        <v>2040</v>
      </c>
      <c r="C30" s="4239">
        <f>'Table2(I)'!C57</f>
        <v>218.8972661822873</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49.476619682159566</v>
      </c>
      <c r="N30" s="4242" t="str">
        <f>'Table2(I)'!N57</f>
        <v>NA</v>
      </c>
      <c r="O30" s="3798">
        <f t="shared" si="2"/>
        <v>218.8972661822873</v>
      </c>
    </row>
    <row r="31" spans="2:15" ht="18" customHeight="1" x14ac:dyDescent="0.25">
      <c r="B31" s="1134" t="s">
        <v>1491</v>
      </c>
      <c r="C31" s="3817">
        <f>Table3!C10</f>
        <v>2674.7142496895085</v>
      </c>
      <c r="D31" s="3799">
        <f>Table3!D10</f>
        <v>2335.5175367420852</v>
      </c>
      <c r="E31" s="3800">
        <f>Table3!E10</f>
        <v>47.212350807632909</v>
      </c>
      <c r="F31" s="3801"/>
      <c r="G31" s="3801"/>
      <c r="H31" s="3801"/>
      <c r="I31" s="3801"/>
      <c r="J31" s="3801"/>
      <c r="K31" s="4243">
        <f>Table3!F10</f>
        <v>21.328273928506135</v>
      </c>
      <c r="L31" s="4243">
        <f>Table3!G10</f>
        <v>336.10064021503138</v>
      </c>
      <c r="M31" s="4243">
        <f>Table3!H10</f>
        <v>19.605870679210163</v>
      </c>
      <c r="N31" s="4244" t="str">
        <f>Table3!I10</f>
        <v>NO</v>
      </c>
      <c r="O31" s="3782">
        <f t="shared" si="2"/>
        <v>80580.478242490615</v>
      </c>
    </row>
    <row r="32" spans="2:15" ht="18" customHeight="1" x14ac:dyDescent="0.25">
      <c r="B32" s="4245" t="s">
        <v>1492</v>
      </c>
      <c r="C32" s="3791"/>
      <c r="D32" s="4246">
        <f>Table3!D11</f>
        <v>2066.7318431597068</v>
      </c>
      <c r="E32" s="98"/>
      <c r="F32" s="3802"/>
      <c r="G32" s="3802"/>
      <c r="H32" s="3789"/>
      <c r="I32" s="3802"/>
      <c r="J32" s="3789"/>
      <c r="K32" s="98"/>
      <c r="L32" s="98"/>
      <c r="M32" s="98"/>
      <c r="N32" s="3803"/>
      <c r="O32" s="3782">
        <f t="shared" si="2"/>
        <v>57868.491608471792</v>
      </c>
    </row>
    <row r="33" spans="2:15" ht="18" customHeight="1" x14ac:dyDescent="0.25">
      <c r="B33" s="4245" t="s">
        <v>1493</v>
      </c>
      <c r="C33" s="3791"/>
      <c r="D33" s="4226">
        <f>Table3!D20</f>
        <v>250.00643884346994</v>
      </c>
      <c r="E33" s="4226">
        <f>Table3!E20</f>
        <v>1.9871377753914132</v>
      </c>
      <c r="F33" s="3802"/>
      <c r="G33" s="3802"/>
      <c r="H33" s="3802"/>
      <c r="I33" s="3802"/>
      <c r="J33" s="3802"/>
      <c r="K33" s="69"/>
      <c r="L33" s="69"/>
      <c r="M33" s="4247" t="str">
        <f>Table3!H20</f>
        <v>NE</v>
      </c>
      <c r="N33" s="3804"/>
      <c r="O33" s="3783">
        <f t="shared" si="2"/>
        <v>7526.7717980958832</v>
      </c>
    </row>
    <row r="34" spans="2:15" ht="18" customHeight="1" x14ac:dyDescent="0.25">
      <c r="B34" s="4245" t="s">
        <v>1494</v>
      </c>
      <c r="C34" s="3791"/>
      <c r="D34" s="4226">
        <f>Table3!D31</f>
        <v>10.161289605189763</v>
      </c>
      <c r="E34" s="69"/>
      <c r="F34" s="3802"/>
      <c r="G34" s="3802"/>
      <c r="H34" s="3802"/>
      <c r="I34" s="3802"/>
      <c r="J34" s="3802"/>
      <c r="K34" s="69"/>
      <c r="L34" s="69"/>
      <c r="M34" s="4247" t="str">
        <f>Table3!H31</f>
        <v>NE</v>
      </c>
      <c r="N34" s="3804"/>
      <c r="O34" s="3783">
        <f t="shared" si="2"/>
        <v>284.51610894531336</v>
      </c>
    </row>
    <row r="35" spans="2:15" ht="18" customHeight="1" x14ac:dyDescent="0.25">
      <c r="B35" s="4245" t="s">
        <v>1495</v>
      </c>
      <c r="C35" s="4248"/>
      <c r="D35" s="4226" t="str">
        <f>Table3!D32</f>
        <v>NE</v>
      </c>
      <c r="E35" s="4226">
        <f>Table3!E32</f>
        <v>44.856052845818496</v>
      </c>
      <c r="F35" s="3802"/>
      <c r="G35" s="3802"/>
      <c r="H35" s="3802"/>
      <c r="I35" s="3802"/>
      <c r="J35" s="3802"/>
      <c r="K35" s="4247" t="str">
        <f>Table3!F32</f>
        <v>NO</v>
      </c>
      <c r="L35" s="4247" t="str">
        <f>Table3!G32</f>
        <v>NO</v>
      </c>
      <c r="M35" s="4247" t="str">
        <f>Table3!H32</f>
        <v>NO</v>
      </c>
      <c r="N35" s="3804"/>
      <c r="O35" s="3783">
        <f t="shared" si="2"/>
        <v>11886.854004141902</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8.6179651337187533</v>
      </c>
      <c r="E37" s="4226">
        <f>Table3!E43</f>
        <v>0.36916018642300469</v>
      </c>
      <c r="F37" s="3802"/>
      <c r="G37" s="3802"/>
      <c r="H37" s="3802"/>
      <c r="I37" s="3802"/>
      <c r="J37" s="3802"/>
      <c r="K37" s="4247">
        <f>Table3!F43</f>
        <v>21.328273928506135</v>
      </c>
      <c r="L37" s="4247">
        <f>Table3!G43</f>
        <v>336.10064021503138</v>
      </c>
      <c r="M37" s="4247">
        <f>Table3!H43</f>
        <v>19.605870679210163</v>
      </c>
      <c r="N37" s="4247" t="str">
        <f>Table3!I43</f>
        <v>NO</v>
      </c>
      <c r="O37" s="3783">
        <f t="shared" si="2"/>
        <v>339.13047314622133</v>
      </c>
    </row>
    <row r="38" spans="2:15" ht="18" customHeight="1" x14ac:dyDescent="0.25">
      <c r="B38" s="4249" t="s">
        <v>721</v>
      </c>
      <c r="C38" s="3794">
        <f>Table3!C44</f>
        <v>1318.3866247265748</v>
      </c>
      <c r="D38" s="4250"/>
      <c r="E38" s="4250"/>
      <c r="F38" s="3792"/>
      <c r="G38" s="3792"/>
      <c r="H38" s="3792"/>
      <c r="I38" s="3792"/>
      <c r="J38" s="3792"/>
      <c r="K38" s="3805"/>
      <c r="L38" s="3805"/>
      <c r="M38" s="3805"/>
      <c r="N38" s="3793"/>
      <c r="O38" s="3785">
        <f t="shared" si="2"/>
        <v>1318.3866247265748</v>
      </c>
    </row>
    <row r="39" spans="2:15" ht="18" customHeight="1" x14ac:dyDescent="0.25">
      <c r="B39" s="4249" t="s">
        <v>722</v>
      </c>
      <c r="C39" s="3806">
        <f>Table3!C45</f>
        <v>1356.3276249629334</v>
      </c>
      <c r="D39" s="4250"/>
      <c r="E39" s="4250"/>
      <c r="F39" s="3792"/>
      <c r="G39" s="3792"/>
      <c r="H39" s="3792"/>
      <c r="I39" s="3792"/>
      <c r="J39" s="3792"/>
      <c r="K39" s="3805"/>
      <c r="L39" s="3805"/>
      <c r="M39" s="3805"/>
      <c r="N39" s="3793"/>
      <c r="O39" s="3785">
        <f t="shared" si="2"/>
        <v>1356.3276249629334</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-65525.354313199576</v>
      </c>
      <c r="D42" s="3809">
        <f>Table4!D10</f>
        <v>553.10963708031409</v>
      </c>
      <c r="E42" s="3810">
        <f>Table4!E10</f>
        <v>12.970667459593113</v>
      </c>
      <c r="F42" s="3801"/>
      <c r="G42" s="3801"/>
      <c r="H42" s="3801"/>
      <c r="I42" s="3801"/>
      <c r="J42" s="3801"/>
      <c r="K42" s="4253">
        <f>Table4!F10</f>
        <v>716.10322072399185</v>
      </c>
      <c r="L42" s="4253">
        <f>Table4!G10</f>
        <v>18887.967359157989</v>
      </c>
      <c r="M42" s="4253">
        <f>Table4!H10</f>
        <v>529.63437579114498</v>
      </c>
      <c r="N42" s="4254" t="str">
        <f>N50</f>
        <v>NO</v>
      </c>
      <c r="O42" s="3781">
        <f t="shared" si="2"/>
        <v>-46601.057598158601</v>
      </c>
    </row>
    <row r="43" spans="2:15" ht="18" customHeight="1" x14ac:dyDescent="0.25">
      <c r="B43" s="4245" t="s">
        <v>2042</v>
      </c>
      <c r="C43" s="4255">
        <f>Table4!C11</f>
        <v>-92396.129653850308</v>
      </c>
      <c r="D43" s="4256">
        <f>Table4!D11</f>
        <v>229.74042865240904</v>
      </c>
      <c r="E43" s="4257">
        <f>Table4!E11</f>
        <v>4.4896358264906517</v>
      </c>
      <c r="F43" s="3792"/>
      <c r="G43" s="3792"/>
      <c r="H43" s="3792"/>
      <c r="I43" s="3792"/>
      <c r="J43" s="3792"/>
      <c r="K43" s="4247">
        <f>Table4!F11</f>
        <v>230.26035840685856</v>
      </c>
      <c r="L43" s="4247">
        <f>Table4!G11</f>
        <v>6244.1655987666927</v>
      </c>
      <c r="M43" s="4247">
        <f>Table4!H11</f>
        <v>228.12787981746212</v>
      </c>
      <c r="N43" s="3811"/>
      <c r="O43" s="3812">
        <f t="shared" si="2"/>
        <v>-84773.644157562827</v>
      </c>
    </row>
    <row r="44" spans="2:15" ht="18" customHeight="1" x14ac:dyDescent="0.25">
      <c r="B44" s="4245" t="s">
        <v>2043</v>
      </c>
      <c r="C44" s="4255">
        <f>Table4!C14</f>
        <v>-2908.4745050085494</v>
      </c>
      <c r="D44" s="4258">
        <f>Table4!D14</f>
        <v>0.80982720000000008</v>
      </c>
      <c r="E44" s="4258">
        <f>Table4!E14</f>
        <v>7.7234494380934424E-2</v>
      </c>
      <c r="F44" s="3802"/>
      <c r="G44" s="3802"/>
      <c r="H44" s="3802"/>
      <c r="I44" s="3802"/>
      <c r="J44" s="3802"/>
      <c r="K44" s="4247">
        <f>Table4!F14</f>
        <v>0.60978060000000001</v>
      </c>
      <c r="L44" s="4247">
        <f>Table4!G14</f>
        <v>23.882404000000001</v>
      </c>
      <c r="M44" s="4247">
        <f>Table4!H14</f>
        <v>2.8868839999999998</v>
      </c>
      <c r="N44" s="4259"/>
      <c r="O44" s="3783">
        <f t="shared" si="2"/>
        <v>-2865.3322023976016</v>
      </c>
    </row>
    <row r="45" spans="2:15" ht="18" customHeight="1" x14ac:dyDescent="0.25">
      <c r="B45" s="4245" t="s">
        <v>2044</v>
      </c>
      <c r="C45" s="4255">
        <f>Table4!C17</f>
        <v>32004.618977773825</v>
      </c>
      <c r="D45" s="4258">
        <f>Table4!D17</f>
        <v>230.90755958100902</v>
      </c>
      <c r="E45" s="4258">
        <f>Table4!E17</f>
        <v>7.8781397149614172</v>
      </c>
      <c r="F45" s="3802"/>
      <c r="G45" s="3802"/>
      <c r="H45" s="3802"/>
      <c r="I45" s="3802"/>
      <c r="J45" s="3802"/>
      <c r="K45" s="4247">
        <f>Table4!F17</f>
        <v>464.29129601540194</v>
      </c>
      <c r="L45" s="4247">
        <f>Table4!G17</f>
        <v>12106.531645451229</v>
      </c>
      <c r="M45" s="4247">
        <f>Table4!H17</f>
        <v>294.80906444040738</v>
      </c>
      <c r="N45" s="4259"/>
      <c r="O45" s="3783">
        <f t="shared" si="2"/>
        <v>40557.737670506853</v>
      </c>
    </row>
    <row r="46" spans="2:15" ht="18" customHeight="1" x14ac:dyDescent="0.25">
      <c r="B46" s="4245" t="s">
        <v>2045</v>
      </c>
      <c r="C46" s="4255">
        <f>Table4!C20</f>
        <v>-689.68753926071963</v>
      </c>
      <c r="D46" s="4258">
        <f>Table4!D20</f>
        <v>90.670087246895918</v>
      </c>
      <c r="E46" s="4258">
        <f>Table4!E20</f>
        <v>0.2741344942480905</v>
      </c>
      <c r="F46" s="3802"/>
      <c r="G46" s="3802"/>
      <c r="H46" s="3802"/>
      <c r="I46" s="3802"/>
      <c r="J46" s="3802"/>
      <c r="K46" s="4247">
        <f>Table4!F20</f>
        <v>20.202563073159972</v>
      </c>
      <c r="L46" s="4247">
        <f>Table4!G20</f>
        <v>484.43563627340126</v>
      </c>
      <c r="M46" s="4247">
        <f>Table4!H20</f>
        <v>0.31084619994209917</v>
      </c>
      <c r="N46" s="4259"/>
      <c r="O46" s="3783">
        <f t="shared" si="2"/>
        <v>1921.72054462811</v>
      </c>
    </row>
    <row r="47" spans="2:15" ht="18" customHeight="1" x14ac:dyDescent="0.25">
      <c r="B47" s="4245" t="s">
        <v>2046</v>
      </c>
      <c r="C47" s="4255">
        <f>Table4!C23</f>
        <v>3625.8625635434787</v>
      </c>
      <c r="D47" s="4258">
        <f>Table4!D23</f>
        <v>0.98173440000000001</v>
      </c>
      <c r="E47" s="4260">
        <f>Table4!E23</f>
        <v>4.0960516634874961E-2</v>
      </c>
      <c r="F47" s="3802"/>
      <c r="G47" s="3802"/>
      <c r="H47" s="3802"/>
      <c r="I47" s="3802"/>
      <c r="J47" s="3802"/>
      <c r="K47" s="4247">
        <f>Table4!F23</f>
        <v>0.73922262857142873</v>
      </c>
      <c r="L47" s="4247">
        <f>Table4!G23</f>
        <v>28.952074666666665</v>
      </c>
      <c r="M47" s="4247">
        <f>Table4!H23</f>
        <v>3.4997013333333333</v>
      </c>
      <c r="N47" s="1838"/>
      <c r="O47" s="3783">
        <f t="shared" si="2"/>
        <v>3664.2056636517204</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-5161.5441563973091</v>
      </c>
      <c r="D49" s="3792"/>
      <c r="E49" s="3792"/>
      <c r="F49" s="3792"/>
      <c r="G49" s="3792"/>
      <c r="H49" s="3792"/>
      <c r="I49" s="3792"/>
      <c r="J49" s="3792"/>
      <c r="K49" s="3792"/>
      <c r="L49" s="3792"/>
      <c r="M49" s="3792"/>
      <c r="N49" s="3814"/>
      <c r="O49" s="3785">
        <f t="shared" si="2"/>
        <v>-5161.5441563973091</v>
      </c>
    </row>
    <row r="50" spans="2:15" ht="18" customHeight="1" thickBot="1" x14ac:dyDescent="0.3">
      <c r="B50" s="4251" t="s">
        <v>2049</v>
      </c>
      <c r="C50" s="4264" t="str">
        <f>Table4!C30</f>
        <v>NO</v>
      </c>
      <c r="D50" s="4265" t="str">
        <f>Table4!D30</f>
        <v>NO</v>
      </c>
      <c r="E50" s="4265">
        <f>Table4!E30</f>
        <v>0.21056241287714289</v>
      </c>
      <c r="F50" s="3807"/>
      <c r="G50" s="3807"/>
      <c r="H50" s="3807"/>
      <c r="I50" s="3807"/>
      <c r="J50" s="3807"/>
      <c r="K50" s="4266" t="str">
        <f>Table4!F30</f>
        <v>NO</v>
      </c>
      <c r="L50" s="4266" t="str">
        <f>Table4!G30</f>
        <v>NO</v>
      </c>
      <c r="M50" s="4266" t="str">
        <f>Table4!H30</f>
        <v>NO</v>
      </c>
      <c r="N50" s="4266" t="s">
        <v>2146</v>
      </c>
      <c r="O50" s="3798">
        <f t="shared" si="2"/>
        <v>55.799039412442866</v>
      </c>
    </row>
    <row r="51" spans="2:15" ht="18" customHeight="1" x14ac:dyDescent="0.25">
      <c r="B51" s="1377" t="s">
        <v>1500</v>
      </c>
      <c r="C51" s="3815">
        <f>Table5!C10</f>
        <v>31.414508582309281</v>
      </c>
      <c r="D51" s="3799">
        <f>Table5!D10</f>
        <v>445.91806902446217</v>
      </c>
      <c r="E51" s="3800">
        <f>Table5!E10</f>
        <v>1.3160711322537635</v>
      </c>
      <c r="F51" s="3801"/>
      <c r="G51" s="3801"/>
      <c r="H51" s="3801"/>
      <c r="I51" s="3801"/>
      <c r="J51" s="3801"/>
      <c r="K51" s="4243" t="str">
        <f>Table5!F10</f>
        <v>NO</v>
      </c>
      <c r="L51" s="4243" t="str">
        <f>Table5!G10</f>
        <v>NO</v>
      </c>
      <c r="M51" s="4243">
        <f>Table5!H10</f>
        <v>238.59633263118354</v>
      </c>
      <c r="N51" s="4244" t="str">
        <f>Table5!I10</f>
        <v>NO</v>
      </c>
      <c r="O51" s="4267">
        <f t="shared" si="2"/>
        <v>12865.879291314497</v>
      </c>
    </row>
    <row r="52" spans="2:15" ht="18" customHeight="1" x14ac:dyDescent="0.25">
      <c r="B52" s="4245" t="s">
        <v>2050</v>
      </c>
      <c r="C52" s="4248"/>
      <c r="D52" s="4246">
        <f>Table5!D11</f>
        <v>343.91068437000001</v>
      </c>
      <c r="E52" s="3816"/>
      <c r="F52" s="3801"/>
      <c r="G52" s="3801"/>
      <c r="H52" s="3801"/>
      <c r="I52" s="3801"/>
      <c r="J52" s="3801"/>
      <c r="K52" s="4247" t="str">
        <f>Table5!F11</f>
        <v>NO</v>
      </c>
      <c r="L52" s="4247" t="str">
        <f>Table5!G11</f>
        <v>NO</v>
      </c>
      <c r="M52" s="4247">
        <f>Table5!H11</f>
        <v>2.9863330967130217</v>
      </c>
      <c r="N52" s="3803"/>
      <c r="O52" s="4267">
        <f t="shared" si="2"/>
        <v>9629.4991623599999</v>
      </c>
    </row>
    <row r="53" spans="2:15" ht="18" customHeight="1" x14ac:dyDescent="0.25">
      <c r="B53" s="4245" t="s">
        <v>1501</v>
      </c>
      <c r="C53" s="4248"/>
      <c r="D53" s="4246">
        <f>Table5!D15</f>
        <v>4.4564237660797268</v>
      </c>
      <c r="E53" s="4246">
        <f>Table5!E15</f>
        <v>0.57042224205820513</v>
      </c>
      <c r="F53" s="3802"/>
      <c r="G53" s="3802"/>
      <c r="H53" s="3802"/>
      <c r="I53" s="3802"/>
      <c r="J53" s="3802"/>
      <c r="K53" s="4247" t="str">
        <f>Table5!F15</f>
        <v>NA,NE</v>
      </c>
      <c r="L53" s="4247" t="str">
        <f>Table5!G15</f>
        <v>NA,NE</v>
      </c>
      <c r="M53" s="4247" t="str">
        <f>Table5!H15</f>
        <v>NA,NE</v>
      </c>
      <c r="N53" s="3803"/>
      <c r="O53" s="3782">
        <f t="shared" si="2"/>
        <v>275.94175959565672</v>
      </c>
    </row>
    <row r="54" spans="2:15" ht="18" customHeight="1" x14ac:dyDescent="0.25">
      <c r="B54" s="4245" t="s">
        <v>2051</v>
      </c>
      <c r="C54" s="4268">
        <f>Table5!C18</f>
        <v>31.414508582309281</v>
      </c>
      <c r="D54" s="4226" t="str">
        <f>Table5!D18</f>
        <v>NO,NE</v>
      </c>
      <c r="E54" s="4226" t="str">
        <f>Table5!E18</f>
        <v>NO,NE</v>
      </c>
      <c r="F54" s="3802"/>
      <c r="G54" s="3802"/>
      <c r="H54" s="3802"/>
      <c r="I54" s="3802"/>
      <c r="J54" s="3802"/>
      <c r="K54" s="4247" t="str">
        <f>Table5!F18</f>
        <v>NA</v>
      </c>
      <c r="L54" s="4247" t="str">
        <f>Table5!G18</f>
        <v>NA</v>
      </c>
      <c r="M54" s="4247" t="str">
        <f>Table5!H18</f>
        <v>NA</v>
      </c>
      <c r="N54" s="4269" t="str">
        <f>Table5!I18</f>
        <v>NA</v>
      </c>
      <c r="O54" s="4270">
        <f t="shared" si="2"/>
        <v>31.414508582309281</v>
      </c>
    </row>
    <row r="55" spans="2:15" ht="18" customHeight="1" x14ac:dyDescent="0.25">
      <c r="B55" s="4245" t="s">
        <v>1502</v>
      </c>
      <c r="C55" s="3791"/>
      <c r="D55" s="4226">
        <f>Table5!D21</f>
        <v>97.550960888382377</v>
      </c>
      <c r="E55" s="4226">
        <f>Table5!E21</f>
        <v>0.74564889019555824</v>
      </c>
      <c r="F55" s="3802"/>
      <c r="G55" s="3802"/>
      <c r="H55" s="3802"/>
      <c r="I55" s="3802"/>
      <c r="J55" s="3802"/>
      <c r="K55" s="4247" t="str">
        <f>Table5!F21</f>
        <v>NO</v>
      </c>
      <c r="L55" s="4247" t="str">
        <f>Table5!G21</f>
        <v>NO</v>
      </c>
      <c r="M55" s="4247">
        <f>Table5!H21</f>
        <v>235.60999953447052</v>
      </c>
      <c r="N55" s="3803"/>
      <c r="O55" s="4270">
        <f t="shared" si="2"/>
        <v>2929.0238607765295</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16922.532561538646</v>
      </c>
      <c r="D61" s="3820">
        <f>Table1!D52</f>
        <v>0.2727685039635539</v>
      </c>
      <c r="E61" s="3820">
        <f>Table1!E52</f>
        <v>0.13996125113980071</v>
      </c>
      <c r="F61" s="628"/>
      <c r="G61" s="628"/>
      <c r="H61" s="628"/>
      <c r="I61" s="628"/>
      <c r="J61" s="628"/>
      <c r="K61" s="3820">
        <f>Table1!F52</f>
        <v>142.69559529876514</v>
      </c>
      <c r="L61" s="3820">
        <f>Table1!G52</f>
        <v>24.534255962431025</v>
      </c>
      <c r="M61" s="3820">
        <f>Table1!H52</f>
        <v>13.257550825467753</v>
      </c>
      <c r="N61" s="3821">
        <f>Table1!I52</f>
        <v>42.500583398411692</v>
      </c>
      <c r="O61" s="4267">
        <f t="shared" ref="O61:O67" si="4">IF(SUM(C61:J61)=0,"NO",SUM(C61,F61:H61)+28*SUM(D61)+265*SUM(E61)+23500*SUM(I61)+16100*SUM(J61))</f>
        <v>16967.259811201675</v>
      </c>
    </row>
    <row r="62" spans="2:15" ht="18" customHeight="1" x14ac:dyDescent="0.25">
      <c r="B62" s="1371" t="s">
        <v>111</v>
      </c>
      <c r="C62" s="4279">
        <f>Table1!C53</f>
        <v>14415.981132621524</v>
      </c>
      <c r="D62" s="4233">
        <f>Table1!D53</f>
        <v>3.3506509302325571E-2</v>
      </c>
      <c r="E62" s="4233">
        <f>Table1!E53</f>
        <v>7.160068123659262E-2</v>
      </c>
      <c r="F62" s="628"/>
      <c r="G62" s="628"/>
      <c r="H62" s="628"/>
      <c r="I62" s="628"/>
      <c r="J62" s="2135"/>
      <c r="K62" s="4233">
        <f>Table1!F53</f>
        <v>75.369989795230723</v>
      </c>
      <c r="L62" s="4233">
        <f>Table1!G53</f>
        <v>22.737083511319572</v>
      </c>
      <c r="M62" s="4233">
        <f>Table1!H53</f>
        <v>11.146084289693967</v>
      </c>
      <c r="N62" s="4234">
        <f>Table1!I53</f>
        <v>1.6984345587283984</v>
      </c>
      <c r="O62" s="3782">
        <f t="shared" si="4"/>
        <v>14435.893495409686</v>
      </c>
    </row>
    <row r="63" spans="2:15" ht="18" customHeight="1" x14ac:dyDescent="0.25">
      <c r="B63" s="1380" t="s">
        <v>1503</v>
      </c>
      <c r="C63" s="4279">
        <f>Table1!C54</f>
        <v>2506.5514289171228</v>
      </c>
      <c r="D63" s="4219">
        <f>Table1!D54</f>
        <v>0.2392619946612283</v>
      </c>
      <c r="E63" s="4219">
        <f>Table1!E54</f>
        <v>6.8360569903208088E-2</v>
      </c>
      <c r="F63" s="628"/>
      <c r="G63" s="628"/>
      <c r="H63" s="628"/>
      <c r="I63" s="628"/>
      <c r="J63" s="628"/>
      <c r="K63" s="4219">
        <f>Table1!F54</f>
        <v>67.325605503534419</v>
      </c>
      <c r="L63" s="4219">
        <f>Table1!G54</f>
        <v>1.7971724511114533</v>
      </c>
      <c r="M63" s="4219">
        <f>Table1!H54</f>
        <v>2.1114665357737872</v>
      </c>
      <c r="N63" s="4220">
        <f>Table1!I54</f>
        <v>40.802148839683291</v>
      </c>
      <c r="O63" s="3783">
        <f t="shared" si="4"/>
        <v>2531.3663157919873</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16465.223251645039</v>
      </c>
      <c r="D65" s="3823"/>
      <c r="E65" s="3823"/>
      <c r="F65" s="3824"/>
      <c r="G65" s="3824"/>
      <c r="H65" s="3824"/>
      <c r="I65" s="3824"/>
      <c r="J65" s="3823"/>
      <c r="K65" s="3823"/>
      <c r="L65" s="3823"/>
      <c r="M65" s="3823"/>
      <c r="N65" s="3825"/>
      <c r="O65" s="3812">
        <f t="shared" si="4"/>
        <v>16465.223251645039</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-311332.5287518152</v>
      </c>
      <c r="D67" s="3824"/>
      <c r="E67" s="3824"/>
      <c r="F67" s="3828"/>
      <c r="G67" s="3824"/>
      <c r="H67" s="3824"/>
      <c r="I67" s="3824"/>
      <c r="J67" s="3824"/>
      <c r="K67" s="3824"/>
      <c r="L67" s="3824"/>
      <c r="M67" s="3824"/>
      <c r="N67" s="3829"/>
      <c r="O67" s="3785">
        <f t="shared" si="4"/>
        <v>-311332.5287518152</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349825.36614013097</v>
      </c>
      <c r="D10" s="4213">
        <f>IFERROR(Summary1!D10*28,Summary1!D10)</f>
        <v>133500.49685184553</v>
      </c>
      <c r="E10" s="4213">
        <f>IFERROR(Summary1!E10*265,Summary1!E10)</f>
        <v>20646.912822890969</v>
      </c>
      <c r="F10" s="4213">
        <f>Summary1!F10</f>
        <v>9891.6117285115197</v>
      </c>
      <c r="G10" s="4213">
        <f>Summary1!G10</f>
        <v>212.24369299342177</v>
      </c>
      <c r="H10" s="4213" t="str">
        <f>Summary1!H10</f>
        <v>NO</v>
      </c>
      <c r="I10" s="4288">
        <f>IFERROR(Summary1!I10*23500,Summary1!I10)</f>
        <v>149.72530244911653</v>
      </c>
      <c r="J10" s="4289" t="str">
        <f>IFERROR(Summary1!J10*16100,Summary1!J10)</f>
        <v>NO</v>
      </c>
      <c r="K10" s="4214">
        <f>IF(SUM(C10:J10)=0,"NO",SUM(C10:J10))</f>
        <v>514226.35653882154</v>
      </c>
    </row>
    <row r="11" spans="2:12" ht="18" customHeight="1" x14ac:dyDescent="0.2">
      <c r="B11" s="1550" t="s">
        <v>1476</v>
      </c>
      <c r="C11" s="4253">
        <f>Summary1!C11</f>
        <v>392802.7484247142</v>
      </c>
      <c r="D11" s="4253">
        <f>IFERROR(Summary1!D11*28,Summary1!D11)</f>
        <v>40050.543649144805</v>
      </c>
      <c r="E11" s="4253">
        <f>IFERROR(Summary1!E11*265,Summary1!E11)</f>
        <v>2717.086743958504</v>
      </c>
      <c r="F11" s="1929"/>
      <c r="G11" s="1929"/>
      <c r="H11" s="1930"/>
      <c r="I11" s="1930"/>
      <c r="J11" s="627"/>
      <c r="K11" s="4290">
        <f t="shared" ref="K11:K55" si="0">IF(SUM(C11:J11)=0,"NO",SUM(C11:J11))</f>
        <v>435570.37881781755</v>
      </c>
      <c r="L11" s="19"/>
    </row>
    <row r="12" spans="2:12" ht="18" customHeight="1" x14ac:dyDescent="0.2">
      <c r="B12" s="620" t="s">
        <v>131</v>
      </c>
      <c r="C12" s="4247">
        <f>Summary1!C12</f>
        <v>375877.12066882144</v>
      </c>
      <c r="D12" s="4247">
        <f>IFERROR(Summary1!D12*28,Summary1!D12)</f>
        <v>2528.8819564696228</v>
      </c>
      <c r="E12" s="4247">
        <f>IFERROR(Summary1!E12*265,Summary1!E12)</f>
        <v>2650.0084040107458</v>
      </c>
      <c r="F12" s="628"/>
      <c r="G12" s="628"/>
      <c r="H12" s="628"/>
      <c r="I12" s="69"/>
      <c r="J12" s="69"/>
      <c r="K12" s="4291">
        <f t="shared" si="0"/>
        <v>381056.01102930179</v>
      </c>
      <c r="L12" s="19"/>
    </row>
    <row r="13" spans="2:12" ht="18" customHeight="1" x14ac:dyDescent="0.2">
      <c r="B13" s="1392" t="s">
        <v>1478</v>
      </c>
      <c r="C13" s="4247">
        <f>Summary1!C13</f>
        <v>212993.00937885189</v>
      </c>
      <c r="D13" s="4247">
        <f>IFERROR(Summary1!D13*28,Summary1!D13)</f>
        <v>1067.7097557634652</v>
      </c>
      <c r="E13" s="4247">
        <f>IFERROR(Summary1!E13*265,Summary1!E13)</f>
        <v>798.43019982719454</v>
      </c>
      <c r="F13" s="628"/>
      <c r="G13" s="628"/>
      <c r="H13" s="628"/>
      <c r="I13" s="69"/>
      <c r="J13" s="69"/>
      <c r="K13" s="4291">
        <f t="shared" si="0"/>
        <v>214859.14933444254</v>
      </c>
      <c r="L13" s="19"/>
    </row>
    <row r="14" spans="2:12" ht="18" customHeight="1" x14ac:dyDescent="0.2">
      <c r="B14" s="1392" t="s">
        <v>1517</v>
      </c>
      <c r="C14" s="4247">
        <f>Summary1!C14</f>
        <v>41202.854256055114</v>
      </c>
      <c r="D14" s="4247">
        <f>IFERROR(Summary1!D14*28,Summary1!D14)</f>
        <v>66.31980018748618</v>
      </c>
      <c r="E14" s="4247">
        <f>IFERROR(Summary1!E14*265,Summary1!E14)</f>
        <v>398.57247660147982</v>
      </c>
      <c r="F14" s="628"/>
      <c r="G14" s="628"/>
      <c r="H14" s="628"/>
      <c r="I14" s="69"/>
      <c r="J14" s="69"/>
      <c r="K14" s="4291">
        <f t="shared" si="0"/>
        <v>41667.746532844081</v>
      </c>
      <c r="L14" s="19"/>
    </row>
    <row r="15" spans="2:12" ht="18" customHeight="1" x14ac:dyDescent="0.2">
      <c r="B15" s="1392" t="s">
        <v>1480</v>
      </c>
      <c r="C15" s="4247">
        <f>Summary1!C15</f>
        <v>98511.309671759809</v>
      </c>
      <c r="D15" s="4247">
        <f>IFERROR(Summary1!D15*28,Summary1!D15)</f>
        <v>384.72268563582327</v>
      </c>
      <c r="E15" s="4247">
        <f>IFERROR(Summary1!E15*265,Summary1!E15)</f>
        <v>1251.8376359914485</v>
      </c>
      <c r="F15" s="628"/>
      <c r="G15" s="628"/>
      <c r="H15" s="628"/>
      <c r="I15" s="69"/>
      <c r="J15" s="69"/>
      <c r="K15" s="4291">
        <f t="shared" si="0"/>
        <v>100147.86999338708</v>
      </c>
      <c r="L15" s="19"/>
    </row>
    <row r="16" spans="2:12" ht="18" customHeight="1" x14ac:dyDescent="0.2">
      <c r="B16" s="1392" t="s">
        <v>1481</v>
      </c>
      <c r="C16" s="4247">
        <f>Summary1!C16</f>
        <v>22249.420221504901</v>
      </c>
      <c r="D16" s="4247">
        <f>IFERROR(Summary1!D16*28,Summary1!D16)</f>
        <v>1009.0956736907615</v>
      </c>
      <c r="E16" s="4247">
        <f>IFERROR(Summary1!E16*265,Summary1!E16)</f>
        <v>194.3300560804235</v>
      </c>
      <c r="F16" s="628"/>
      <c r="G16" s="628"/>
      <c r="H16" s="628"/>
      <c r="I16" s="69"/>
      <c r="J16" s="69"/>
      <c r="K16" s="4291">
        <f t="shared" si="0"/>
        <v>23452.845951276086</v>
      </c>
      <c r="L16" s="19"/>
    </row>
    <row r="17" spans="2:12" ht="18" customHeight="1" x14ac:dyDescent="0.2">
      <c r="B17" s="1392" t="s">
        <v>1482</v>
      </c>
      <c r="C17" s="4247">
        <f>Summary1!C17</f>
        <v>920.52714064979261</v>
      </c>
      <c r="D17" s="4247">
        <f>IFERROR(Summary1!D17*28,Summary1!D17)</f>
        <v>1.0340411920867489</v>
      </c>
      <c r="E17" s="4247">
        <f>IFERROR(Summary1!E17*265,Summary1!E17)</f>
        <v>6.8380355101986865</v>
      </c>
      <c r="F17" s="628"/>
      <c r="G17" s="628"/>
      <c r="H17" s="628"/>
      <c r="I17" s="69"/>
      <c r="J17" s="69"/>
      <c r="K17" s="4291">
        <f t="shared" si="0"/>
        <v>928.39921735207804</v>
      </c>
      <c r="L17" s="19"/>
    </row>
    <row r="18" spans="2:12" ht="18" customHeight="1" x14ac:dyDescent="0.2">
      <c r="B18" s="620" t="s">
        <v>99</v>
      </c>
      <c r="C18" s="4247">
        <f>Summary1!C18</f>
        <v>16925.627755892769</v>
      </c>
      <c r="D18" s="4247">
        <f>IFERROR(Summary1!D18*28,Summary1!D18)</f>
        <v>37521.661692675189</v>
      </c>
      <c r="E18" s="4247">
        <f>IFERROR(Summary1!E18*265,Summary1!E18)</f>
        <v>67.078339947758394</v>
      </c>
      <c r="F18" s="628"/>
      <c r="G18" s="628"/>
      <c r="H18" s="628"/>
      <c r="I18" s="69"/>
      <c r="J18" s="69"/>
      <c r="K18" s="4291">
        <f t="shared" si="0"/>
        <v>54514.367788515716</v>
      </c>
      <c r="L18" s="19"/>
    </row>
    <row r="19" spans="2:12" ht="18" customHeight="1" x14ac:dyDescent="0.2">
      <c r="B19" s="1392" t="s">
        <v>1483</v>
      </c>
      <c r="C19" s="4247">
        <f>Summary1!C19</f>
        <v>2361.4971654210785</v>
      </c>
      <c r="D19" s="4247">
        <f>IFERROR(Summary1!D19*28,Summary1!D19)</f>
        <v>29850.421331296937</v>
      </c>
      <c r="E19" s="4247">
        <f>IFERROR(Summary1!E19*265,Summary1!E19)</f>
        <v>0.41812707978055796</v>
      </c>
      <c r="F19" s="628"/>
      <c r="G19" s="628"/>
      <c r="H19" s="628"/>
      <c r="I19" s="69"/>
      <c r="J19" s="69"/>
      <c r="K19" s="4291">
        <f t="shared" si="0"/>
        <v>32212.336623797797</v>
      </c>
      <c r="L19" s="19"/>
    </row>
    <row r="20" spans="2:12" ht="18" customHeight="1" x14ac:dyDescent="0.2">
      <c r="B20" s="1393" t="s">
        <v>1484</v>
      </c>
      <c r="C20" s="4247">
        <f>Summary1!C20</f>
        <v>14564.13059047169</v>
      </c>
      <c r="D20" s="4247">
        <f>IFERROR(Summary1!D20*28,Summary1!D20)</f>
        <v>7671.2403613782535</v>
      </c>
      <c r="E20" s="4247">
        <f>IFERROR(Summary1!E20*265,Summary1!E20)</f>
        <v>66.660212867977847</v>
      </c>
      <c r="F20" s="628"/>
      <c r="G20" s="628"/>
      <c r="H20" s="628"/>
      <c r="I20" s="69"/>
      <c r="J20" s="69"/>
      <c r="K20" s="4291">
        <f t="shared" si="0"/>
        <v>22302.031164717922</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19841.843270344536</v>
      </c>
      <c r="D22" s="4253">
        <f>IFERROR(Summary1!D22*28,Summary1!D22)</f>
        <v>82.686402988600392</v>
      </c>
      <c r="E22" s="4253">
        <f>IFERROR(Summary1!E22*265,Summary1!E22)</f>
        <v>1632.5673880703198</v>
      </c>
      <c r="F22" s="4253">
        <f>Summary1!F22</f>
        <v>9891.6117285115197</v>
      </c>
      <c r="G22" s="4253">
        <f>Summary1!G22</f>
        <v>212.24369299342177</v>
      </c>
      <c r="H22" s="4253" t="str">
        <f>Summary1!H22</f>
        <v>NO</v>
      </c>
      <c r="I22" s="4253">
        <f>IFERROR(Summary1!I22*23500,Summary1!I22)</f>
        <v>149.72530244911653</v>
      </c>
      <c r="J22" s="4293" t="str">
        <f>IFERROR(Summary1!J22*16100,Summary1!J22)</f>
        <v>NO</v>
      </c>
      <c r="K22" s="4290">
        <f t="shared" si="0"/>
        <v>31810.677785357519</v>
      </c>
      <c r="L22" s="19"/>
    </row>
    <row r="23" spans="2:12" ht="18" customHeight="1" x14ac:dyDescent="0.2">
      <c r="B23" s="1394" t="s">
        <v>1487</v>
      </c>
      <c r="C23" s="4247">
        <f>Summary1!C23</f>
        <v>5522.0794493082831</v>
      </c>
      <c r="D23" s="628"/>
      <c r="E23" s="628"/>
      <c r="F23" s="628"/>
      <c r="G23" s="628"/>
      <c r="H23" s="628"/>
      <c r="I23" s="69"/>
      <c r="J23" s="69"/>
      <c r="K23" s="4291">
        <f t="shared" si="0"/>
        <v>5522.0794493082831</v>
      </c>
      <c r="L23" s="19"/>
    </row>
    <row r="24" spans="2:12" ht="18" customHeight="1" x14ac:dyDescent="0.2">
      <c r="B24" s="1394" t="s">
        <v>621</v>
      </c>
      <c r="C24" s="4247">
        <f>Summary1!C24</f>
        <v>3267.9236320572513</v>
      </c>
      <c r="D24" s="4247">
        <f>IFERROR(Summary1!D24*28,Summary1!D24)</f>
        <v>12.140799999999999</v>
      </c>
      <c r="E24" s="4247">
        <f>IFERROR(Summary1!E24*265,Summary1!E24)</f>
        <v>1617.4267634912931</v>
      </c>
      <c r="F24" s="1924" t="str">
        <f>Summary1!F24</f>
        <v>NO</v>
      </c>
      <c r="G24" s="1924" t="str">
        <f>Summary1!G24</f>
        <v>NO</v>
      </c>
      <c r="H24" s="1924" t="str">
        <f>Summary1!H24</f>
        <v>NO</v>
      </c>
      <c r="I24" s="616" t="str">
        <f>IFERROR(Summary1!I24*23500,Summary1!I24)</f>
        <v>NO</v>
      </c>
      <c r="J24" s="616" t="str">
        <f>IFERROR(Summary1!J24*16100,Summary1!J24)</f>
        <v>NO</v>
      </c>
      <c r="K24" s="4291">
        <f t="shared" si="0"/>
        <v>4897.4911955485441</v>
      </c>
      <c r="L24" s="19"/>
    </row>
    <row r="25" spans="2:12" ht="18" customHeight="1" x14ac:dyDescent="0.2">
      <c r="B25" s="1394" t="s">
        <v>459</v>
      </c>
      <c r="C25" s="4247">
        <f>Summary1!C25</f>
        <v>10659.504142456713</v>
      </c>
      <c r="D25" s="4247">
        <f>IFERROR(Summary1!D25*28,Summary1!D25)</f>
        <v>70.545602988600393</v>
      </c>
      <c r="E25" s="4247">
        <f>IFERROR(Summary1!E25*265,Summary1!E25)</f>
        <v>15.140624579026712</v>
      </c>
      <c r="F25" s="1924" t="str">
        <f>Summary1!F25</f>
        <v>NO</v>
      </c>
      <c r="G25" s="4247">
        <f>Summary1!G25</f>
        <v>212.24369299342177</v>
      </c>
      <c r="H25" s="4247" t="str">
        <f>Summary1!H25</f>
        <v>NO</v>
      </c>
      <c r="I25" s="4247" t="str">
        <f>IFERROR(Summary1!I25*23500,Summary1!I25)</f>
        <v>NO</v>
      </c>
      <c r="J25" s="4247" t="str">
        <f>IFERROR(Summary1!J25*16100,Summary1!J25)</f>
        <v>NO</v>
      </c>
      <c r="K25" s="4291">
        <f t="shared" si="0"/>
        <v>10957.434063017761</v>
      </c>
      <c r="L25" s="19"/>
    </row>
    <row r="26" spans="2:12" ht="18" customHeight="1" x14ac:dyDescent="0.2">
      <c r="B26" s="1395" t="s">
        <v>1519</v>
      </c>
      <c r="C26" s="4247">
        <f>Summary1!C26</f>
        <v>173.43878034000002</v>
      </c>
      <c r="D26" s="4247" t="str">
        <f>IFERROR(Summary1!D26*28,Summary1!D26)</f>
        <v>NO</v>
      </c>
      <c r="E26" s="4247" t="str">
        <f>IFERROR(Summary1!E26*265,Summary1!E26)</f>
        <v>NO</v>
      </c>
      <c r="F26" s="628"/>
      <c r="G26" s="628"/>
      <c r="H26" s="628"/>
      <c r="I26" s="69"/>
      <c r="J26" s="69"/>
      <c r="K26" s="4291">
        <f t="shared" si="0"/>
        <v>173.43878034000002</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9891.6117285115197</v>
      </c>
      <c r="G28" s="4247" t="str">
        <f>Summary1!G28</f>
        <v>NO</v>
      </c>
      <c r="H28" s="4247" t="str">
        <f>Summary1!H28</f>
        <v>NO</v>
      </c>
      <c r="I28" s="4247" t="str">
        <f>IFERROR(Summary1!I28*23500,Summary1!I28)</f>
        <v>NO</v>
      </c>
      <c r="J28" s="4247" t="str">
        <f>IFERROR(Summary1!J28*16100,Summary1!J28)</f>
        <v>NO</v>
      </c>
      <c r="K28" s="4291">
        <f t="shared" si="0"/>
        <v>9891.6117285115197</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149.72530244911653</v>
      </c>
      <c r="J29" s="4247" t="str">
        <f>IFERROR(Summary1!J29*16100,Summary1!J29)</f>
        <v>NO</v>
      </c>
      <c r="K29" s="4291">
        <f t="shared" si="0"/>
        <v>149.72530244911653</v>
      </c>
      <c r="L29" s="19"/>
    </row>
    <row r="30" spans="2:12" ht="18" customHeight="1" thickBot="1" x14ac:dyDescent="0.25">
      <c r="B30" s="1407" t="s">
        <v>1523</v>
      </c>
      <c r="C30" s="4266">
        <f>Summary1!C30</f>
        <v>218.8972661822873</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218.8972661822873</v>
      </c>
      <c r="L30" s="19"/>
    </row>
    <row r="31" spans="2:12" ht="18" customHeight="1" x14ac:dyDescent="0.2">
      <c r="B31" s="772" t="s">
        <v>1491</v>
      </c>
      <c r="C31" s="4253">
        <f>Summary1!C31</f>
        <v>2674.7142496895085</v>
      </c>
      <c r="D31" s="4253">
        <f>IFERROR(Summary1!D31*28,Summary1!D31)</f>
        <v>65394.491028778386</v>
      </c>
      <c r="E31" s="4253">
        <f>IFERROR(Summary1!E31*265,Summary1!E31)</f>
        <v>12511.272964022721</v>
      </c>
      <c r="F31" s="1929"/>
      <c r="G31" s="1929"/>
      <c r="H31" s="1929"/>
      <c r="I31" s="4215"/>
      <c r="J31" s="627"/>
      <c r="K31" s="4290">
        <f t="shared" si="0"/>
        <v>80580.478242490615</v>
      </c>
      <c r="L31" s="19"/>
    </row>
    <row r="32" spans="2:12" ht="18" customHeight="1" x14ac:dyDescent="0.2">
      <c r="B32" s="620" t="s">
        <v>1492</v>
      </c>
      <c r="C32" s="628"/>
      <c r="D32" s="4247">
        <f>IFERROR(Summary1!D32*28,Summary1!D32)</f>
        <v>57868.491608471792</v>
      </c>
      <c r="E32" s="628"/>
      <c r="F32" s="628"/>
      <c r="G32" s="628"/>
      <c r="H32" s="628"/>
      <c r="I32" s="69"/>
      <c r="J32" s="69"/>
      <c r="K32" s="4291">
        <f t="shared" si="0"/>
        <v>57868.491608471792</v>
      </c>
      <c r="L32" s="19"/>
    </row>
    <row r="33" spans="2:12" ht="18" customHeight="1" x14ac:dyDescent="0.2">
      <c r="B33" s="620" t="s">
        <v>1493</v>
      </c>
      <c r="C33" s="628"/>
      <c r="D33" s="4247">
        <f>IFERROR(Summary1!D33*28,Summary1!D33)</f>
        <v>7000.1802876171587</v>
      </c>
      <c r="E33" s="4247">
        <f>IFERROR(Summary1!E33*265,Summary1!E33)</f>
        <v>526.59151047872456</v>
      </c>
      <c r="F33" s="628"/>
      <c r="G33" s="628"/>
      <c r="H33" s="628"/>
      <c r="I33" s="69"/>
      <c r="J33" s="69"/>
      <c r="K33" s="4291">
        <f t="shared" si="0"/>
        <v>7526.7717980958832</v>
      </c>
      <c r="L33" s="19"/>
    </row>
    <row r="34" spans="2:12" ht="18" customHeight="1" x14ac:dyDescent="0.2">
      <c r="B34" s="620" t="s">
        <v>1494</v>
      </c>
      <c r="C34" s="628"/>
      <c r="D34" s="4247">
        <f>IFERROR(Summary1!D34*28,Summary1!D34)</f>
        <v>284.51610894531336</v>
      </c>
      <c r="E34" s="628"/>
      <c r="F34" s="628"/>
      <c r="G34" s="628"/>
      <c r="H34" s="628"/>
      <c r="I34" s="69"/>
      <c r="J34" s="69"/>
      <c r="K34" s="4291">
        <f t="shared" si="0"/>
        <v>284.51610894531336</v>
      </c>
      <c r="L34" s="19"/>
    </row>
    <row r="35" spans="2:12" ht="18" customHeight="1" x14ac:dyDescent="0.2">
      <c r="B35" s="620" t="s">
        <v>1495</v>
      </c>
      <c r="C35" s="4294"/>
      <c r="D35" s="4247" t="str">
        <f>IFERROR(Summary1!D35*28,Summary1!D35)</f>
        <v>NE</v>
      </c>
      <c r="E35" s="4247">
        <f>IFERROR(Summary1!E35*265,Summary1!E35)</f>
        <v>11886.854004141902</v>
      </c>
      <c r="F35" s="628"/>
      <c r="G35" s="628"/>
      <c r="H35" s="628"/>
      <c r="I35" s="69"/>
      <c r="J35" s="69"/>
      <c r="K35" s="4291">
        <f t="shared" si="0"/>
        <v>11886.854004141902</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241.30302374412508</v>
      </c>
      <c r="E37" s="4247">
        <f>IFERROR(Summary1!E37*265,Summary1!E37)</f>
        <v>97.827449402096249</v>
      </c>
      <c r="F37" s="628"/>
      <c r="G37" s="628"/>
      <c r="H37" s="628"/>
      <c r="I37" s="69"/>
      <c r="J37" s="69"/>
      <c r="K37" s="4291">
        <f t="shared" si="0"/>
        <v>339.13047314622133</v>
      </c>
      <c r="L37" s="19"/>
    </row>
    <row r="38" spans="2:12" ht="18" customHeight="1" x14ac:dyDescent="0.2">
      <c r="B38" s="620" t="s">
        <v>721</v>
      </c>
      <c r="C38" s="1924">
        <f>Summary1!C38</f>
        <v>1318.3866247265748</v>
      </c>
      <c r="D38" s="4295"/>
      <c r="E38" s="4295"/>
      <c r="F38" s="628"/>
      <c r="G38" s="628"/>
      <c r="H38" s="628"/>
      <c r="I38" s="69"/>
      <c r="J38" s="69"/>
      <c r="K38" s="4291">
        <f t="shared" si="0"/>
        <v>1318.3866247265748</v>
      </c>
      <c r="L38" s="19"/>
    </row>
    <row r="39" spans="2:12" ht="18" customHeight="1" x14ac:dyDescent="0.2">
      <c r="B39" s="620" t="s">
        <v>722</v>
      </c>
      <c r="C39" s="1924">
        <f>Summary1!C39</f>
        <v>1356.3276249629334</v>
      </c>
      <c r="D39" s="4295"/>
      <c r="E39" s="4295"/>
      <c r="F39" s="628"/>
      <c r="G39" s="628"/>
      <c r="H39" s="628"/>
      <c r="I39" s="69"/>
      <c r="J39" s="69"/>
      <c r="K39" s="4291">
        <f t="shared" si="0"/>
        <v>1356.3276249629334</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-65525.354313199576</v>
      </c>
      <c r="D42" s="1927">
        <f>IFERROR(Summary1!D42*28,Summary1!D42)</f>
        <v>15487.069838248794</v>
      </c>
      <c r="E42" s="1927">
        <f>IFERROR(Summary1!E42*265,Summary1!E42)</f>
        <v>3437.2268767921751</v>
      </c>
      <c r="F42" s="1929"/>
      <c r="G42" s="1929"/>
      <c r="H42" s="1929"/>
      <c r="I42" s="4215"/>
      <c r="J42" s="627"/>
      <c r="K42" s="4290">
        <f t="shared" si="0"/>
        <v>-46601.057598158601</v>
      </c>
      <c r="L42" s="19"/>
    </row>
    <row r="43" spans="2:12" ht="18" customHeight="1" x14ac:dyDescent="0.2">
      <c r="B43" s="620" t="s">
        <v>981</v>
      </c>
      <c r="C43" s="1924">
        <f>Summary1!C43</f>
        <v>-92396.129653850308</v>
      </c>
      <c r="D43" s="1924">
        <f>IFERROR(Summary1!D43*28,Summary1!D43)</f>
        <v>6432.732002267453</v>
      </c>
      <c r="E43" s="1924">
        <f>IFERROR(Summary1!E43*265,Summary1!E43)</f>
        <v>1189.7534940200228</v>
      </c>
      <c r="F43" s="1931"/>
      <c r="G43" s="1931"/>
      <c r="H43" s="1931"/>
      <c r="I43" s="3352"/>
      <c r="J43" s="69"/>
      <c r="K43" s="4291">
        <f t="shared" si="0"/>
        <v>-84773.644157562827</v>
      </c>
      <c r="L43" s="19"/>
    </row>
    <row r="44" spans="2:12" ht="18" customHeight="1" x14ac:dyDescent="0.2">
      <c r="B44" s="620" t="s">
        <v>984</v>
      </c>
      <c r="C44" s="1924">
        <f>Summary1!C44</f>
        <v>-2908.4745050085494</v>
      </c>
      <c r="D44" s="1924">
        <f>IFERROR(Summary1!D44*28,Summary1!D44)</f>
        <v>22.675161600000003</v>
      </c>
      <c r="E44" s="1924">
        <f>IFERROR(Summary1!E44*265,Summary1!E44)</f>
        <v>20.467141010947621</v>
      </c>
      <c r="F44" s="1931"/>
      <c r="G44" s="1931"/>
      <c r="H44" s="1931"/>
      <c r="I44" s="3352"/>
      <c r="J44" s="69"/>
      <c r="K44" s="4291">
        <f t="shared" si="0"/>
        <v>-2865.3322023976016</v>
      </c>
      <c r="L44" s="19"/>
    </row>
    <row r="45" spans="2:12" ht="18" customHeight="1" x14ac:dyDescent="0.2">
      <c r="B45" s="620" t="s">
        <v>987</v>
      </c>
      <c r="C45" s="1924">
        <f>Summary1!C45</f>
        <v>32004.618977773825</v>
      </c>
      <c r="D45" s="1924">
        <f>IFERROR(Summary1!D45*28,Summary1!D45)</f>
        <v>6465.4116682682525</v>
      </c>
      <c r="E45" s="1924">
        <f>IFERROR(Summary1!E45*265,Summary1!E45)</f>
        <v>2087.7070244647757</v>
      </c>
      <c r="F45" s="1931"/>
      <c r="G45" s="1931"/>
      <c r="H45" s="1931"/>
      <c r="I45" s="3352"/>
      <c r="J45" s="69"/>
      <c r="K45" s="4291">
        <f t="shared" si="0"/>
        <v>40557.737670506853</v>
      </c>
      <c r="L45" s="19"/>
    </row>
    <row r="46" spans="2:12" ht="18" customHeight="1" x14ac:dyDescent="0.2">
      <c r="B46" s="620" t="s">
        <v>1525</v>
      </c>
      <c r="C46" s="1924">
        <f>Summary1!C46</f>
        <v>-689.68753926071963</v>
      </c>
      <c r="D46" s="1924">
        <f>IFERROR(Summary1!D46*28,Summary1!D46)</f>
        <v>2538.7624429130856</v>
      </c>
      <c r="E46" s="1924">
        <f>IFERROR(Summary1!E46*265,Summary1!E46)</f>
        <v>72.645640975743987</v>
      </c>
      <c r="F46" s="1931"/>
      <c r="G46" s="1931"/>
      <c r="H46" s="1931"/>
      <c r="I46" s="3352"/>
      <c r="J46" s="69"/>
      <c r="K46" s="4291">
        <f t="shared" si="0"/>
        <v>1921.72054462811</v>
      </c>
      <c r="L46" s="19"/>
    </row>
    <row r="47" spans="2:12" ht="18" customHeight="1" x14ac:dyDescent="0.2">
      <c r="B47" s="620" t="s">
        <v>1526</v>
      </c>
      <c r="C47" s="1924">
        <f>Summary1!C47</f>
        <v>3625.8625635434787</v>
      </c>
      <c r="D47" s="1924">
        <f>IFERROR(Summary1!D47*28,Summary1!D47)</f>
        <v>27.488563200000002</v>
      </c>
      <c r="E47" s="1924">
        <f>IFERROR(Summary1!E47*265,Summary1!E47)</f>
        <v>10.854536908241865</v>
      </c>
      <c r="F47" s="1931"/>
      <c r="G47" s="1931"/>
      <c r="H47" s="1931"/>
      <c r="I47" s="3352"/>
      <c r="J47" s="69"/>
      <c r="K47" s="4291">
        <f t="shared" si="0"/>
        <v>3664.2056636517204</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-5161.5441563973091</v>
      </c>
      <c r="D49" s="3835"/>
      <c r="E49" s="3835"/>
      <c r="F49" s="1931"/>
      <c r="G49" s="1931"/>
      <c r="H49" s="1931"/>
      <c r="I49" s="3352"/>
      <c r="J49" s="69"/>
      <c r="K49" s="4291">
        <f t="shared" si="0"/>
        <v>-5161.5441563973091</v>
      </c>
      <c r="L49" s="19"/>
    </row>
    <row r="50" spans="2:12" ht="18" customHeight="1" thickBot="1" x14ac:dyDescent="0.25">
      <c r="B50" s="1552" t="s">
        <v>1529</v>
      </c>
      <c r="C50" s="1926" t="str">
        <f>Summary1!C50</f>
        <v>NO</v>
      </c>
      <c r="D50" s="1926" t="str">
        <f>IFERROR(Summary1!D50*28,Summary1!D50)</f>
        <v>NO</v>
      </c>
      <c r="E50" s="1926">
        <f>IFERROR(Summary1!E50*265,Summary1!E50)</f>
        <v>55.799039412442866</v>
      </c>
      <c r="F50" s="3024"/>
      <c r="G50" s="3024"/>
      <c r="H50" s="3024"/>
      <c r="I50" s="3828"/>
      <c r="J50" s="87"/>
      <c r="K50" s="4292">
        <f t="shared" si="0"/>
        <v>55.799039412442866</v>
      </c>
      <c r="L50" s="19"/>
    </row>
    <row r="51" spans="2:12" ht="18" customHeight="1" x14ac:dyDescent="0.2">
      <c r="B51" s="1550" t="s">
        <v>1500</v>
      </c>
      <c r="C51" s="1927">
        <f>Summary1!C51</f>
        <v>31.414508582309281</v>
      </c>
      <c r="D51" s="1927">
        <f>IFERROR(Summary1!D51*28,Summary1!D51)</f>
        <v>12485.705932684941</v>
      </c>
      <c r="E51" s="1927">
        <f>IFERROR(Summary1!E51*265,Summary1!E51)</f>
        <v>348.75885004724734</v>
      </c>
      <c r="F51" s="1929"/>
      <c r="G51" s="1929"/>
      <c r="H51" s="1929"/>
      <c r="I51" s="4215"/>
      <c r="J51" s="627"/>
      <c r="K51" s="4290">
        <f t="shared" si="0"/>
        <v>12865.879291314497</v>
      </c>
      <c r="L51" s="19"/>
    </row>
    <row r="52" spans="2:12" ht="18" customHeight="1" x14ac:dyDescent="0.2">
      <c r="B52" s="620" t="s">
        <v>1530</v>
      </c>
      <c r="C52" s="628"/>
      <c r="D52" s="1924">
        <f>IFERROR(Summary1!D52*28,Summary1!D52)</f>
        <v>9629.4991623599999</v>
      </c>
      <c r="E52" s="1931"/>
      <c r="F52" s="628"/>
      <c r="G52" s="628"/>
      <c r="H52" s="628"/>
      <c r="I52" s="69"/>
      <c r="J52" s="69"/>
      <c r="K52" s="4291">
        <f t="shared" si="0"/>
        <v>9629.4991623599999</v>
      </c>
      <c r="L52" s="19"/>
    </row>
    <row r="53" spans="2:12" ht="18" customHeight="1" x14ac:dyDescent="0.2">
      <c r="B53" s="1396" t="s">
        <v>1531</v>
      </c>
      <c r="C53" s="628"/>
      <c r="D53" s="1924">
        <f>IFERROR(Summary1!D53*28,Summary1!D53)</f>
        <v>124.77986545023235</v>
      </c>
      <c r="E53" s="1924">
        <f>IFERROR(Summary1!E53*265,Summary1!E53)</f>
        <v>151.16189414542436</v>
      </c>
      <c r="F53" s="628"/>
      <c r="G53" s="628"/>
      <c r="H53" s="628"/>
      <c r="I53" s="69"/>
      <c r="J53" s="69"/>
      <c r="K53" s="4291">
        <f t="shared" si="0"/>
        <v>275.94175959565672</v>
      </c>
      <c r="L53" s="19"/>
    </row>
    <row r="54" spans="2:12" ht="18" customHeight="1" x14ac:dyDescent="0.2">
      <c r="B54" s="1397" t="s">
        <v>1532</v>
      </c>
      <c r="C54" s="1924">
        <f>Summary1!C54</f>
        <v>31.414508582309281</v>
      </c>
      <c r="D54" s="1924" t="str">
        <f>IFERROR(Summary1!D54*28,Summary1!D54)</f>
        <v>NO,NE</v>
      </c>
      <c r="E54" s="1924" t="str">
        <f>IFERROR(Summary1!E54*265,Summary1!E54)</f>
        <v>NO,NE</v>
      </c>
      <c r="F54" s="628"/>
      <c r="G54" s="628"/>
      <c r="H54" s="628"/>
      <c r="I54" s="69"/>
      <c r="J54" s="69"/>
      <c r="K54" s="4291">
        <f t="shared" si="0"/>
        <v>31.414508582309281</v>
      </c>
      <c r="L54" s="19"/>
    </row>
    <row r="55" spans="2:12" ht="18" customHeight="1" x14ac:dyDescent="0.2">
      <c r="B55" s="620" t="s">
        <v>1533</v>
      </c>
      <c r="C55" s="628"/>
      <c r="D55" s="1924">
        <f>IFERROR(Summary1!D55*28,Summary1!D55)</f>
        <v>2731.4269048747065</v>
      </c>
      <c r="E55" s="1924">
        <f>IFERROR(Summary1!E55*265,Summary1!E55)</f>
        <v>197.59695590182292</v>
      </c>
      <c r="F55" s="628"/>
      <c r="G55" s="628"/>
      <c r="H55" s="628"/>
      <c r="I55" s="69"/>
      <c r="J55" s="69"/>
      <c r="K55" s="4291">
        <f t="shared" si="0"/>
        <v>2929.0238607765295</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16922.532561538646</v>
      </c>
      <c r="D60" s="4219">
        <f>IFERROR(Summary1!D61*28,Summary1!D61)</f>
        <v>7.6375181109795092</v>
      </c>
      <c r="E60" s="4219">
        <f>IFERROR(Summary1!E61*265,Summary1!E61)</f>
        <v>37.089731552047191</v>
      </c>
      <c r="F60" s="1931"/>
      <c r="G60" s="1931"/>
      <c r="H60" s="1932"/>
      <c r="I60" s="630"/>
      <c r="J60" s="630"/>
      <c r="K60" s="4220">
        <f t="shared" ref="K60:K66" si="2">IF(SUM(C60:J60)=0,"NO",SUM(C60:J60))</f>
        <v>16967.259811201675</v>
      </c>
    </row>
    <row r="61" spans="2:12" ht="18" customHeight="1" x14ac:dyDescent="0.2">
      <c r="B61" s="1386" t="s">
        <v>111</v>
      </c>
      <c r="C61" s="4219">
        <f>Summary1!C62</f>
        <v>14415.981132621524</v>
      </c>
      <c r="D61" s="4219">
        <f>IFERROR(Summary1!D62*28,Summary1!D62)</f>
        <v>0.93818226046511599</v>
      </c>
      <c r="E61" s="4219">
        <f>IFERROR(Summary1!E62*265,Summary1!E62)</f>
        <v>18.974180527697044</v>
      </c>
      <c r="F61" s="628"/>
      <c r="G61" s="628"/>
      <c r="H61" s="628"/>
      <c r="I61" s="631"/>
      <c r="J61" s="631"/>
      <c r="K61" s="4234">
        <f t="shared" si="2"/>
        <v>14435.893495409686</v>
      </c>
    </row>
    <row r="62" spans="2:12" ht="18" customHeight="1" x14ac:dyDescent="0.2">
      <c r="B62" s="1387" t="s">
        <v>1503</v>
      </c>
      <c r="C62" s="4219">
        <f>Summary1!C63</f>
        <v>2506.5514289171228</v>
      </c>
      <c r="D62" s="4219">
        <f>IFERROR(Summary1!D63*28,Summary1!D63)</f>
        <v>6.6993358505143927</v>
      </c>
      <c r="E62" s="4219">
        <f>IFERROR(Summary1!E63*265,Summary1!E63)</f>
        <v>18.115551024350143</v>
      </c>
      <c r="F62" s="628"/>
      <c r="G62" s="628"/>
      <c r="H62" s="628"/>
      <c r="I62" s="632"/>
      <c r="J62" s="632"/>
      <c r="K62" s="4220">
        <f t="shared" si="2"/>
        <v>2531.3663157919873</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16465.223251645039</v>
      </c>
      <c r="D64" s="1931"/>
      <c r="E64" s="1931"/>
      <c r="F64" s="1931"/>
      <c r="G64" s="1931"/>
      <c r="H64" s="1931"/>
      <c r="I64" s="3352"/>
      <c r="J64" s="3352"/>
      <c r="K64" s="3821">
        <f t="shared" si="2"/>
        <v>16465.223251645039</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-311332.5287518152</v>
      </c>
      <c r="D66" s="4301"/>
      <c r="E66" s="4301"/>
      <c r="F66" s="4301"/>
      <c r="G66" s="4301"/>
      <c r="H66" s="4301"/>
      <c r="I66" s="3824"/>
      <c r="J66" s="3824"/>
      <c r="K66" s="4302">
        <f t="shared" si="2"/>
        <v>-311332.5287518152</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560827.41413698019</v>
      </c>
      <c r="N71" s="1126"/>
    </row>
    <row r="72" spans="2:14" s="634" customFormat="1" ht="18" customHeight="1" x14ac:dyDescent="0.25">
      <c r="B72" s="637"/>
      <c r="C72" s="638"/>
      <c r="D72" s="638"/>
      <c r="E72" s="638"/>
      <c r="F72" s="638"/>
      <c r="G72" s="638"/>
      <c r="H72" s="638"/>
      <c r="I72" s="638"/>
      <c r="J72" s="2553" t="s">
        <v>2122</v>
      </c>
      <c r="K72" s="3821">
        <f>K10</f>
        <v>514226.35653882154</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765093.82887237088</v>
      </c>
      <c r="D10" s="3076" t="s">
        <v>1814</v>
      </c>
      <c r="E10" s="628"/>
      <c r="F10" s="628"/>
      <c r="G10" s="628"/>
      <c r="H10" s="1913">
        <f>IF(SUM(H11:H15)=0,"NO",SUM(H11:H15))</f>
        <v>41202.854256055114</v>
      </c>
      <c r="I10" s="1913">
        <f t="shared" ref="I10:K10" si="0">IF(SUM(I11:I16)=0,"NO",SUM(I11:I16))</f>
        <v>2.3685642924102202</v>
      </c>
      <c r="J10" s="1847">
        <f t="shared" si="0"/>
        <v>1.5040470815150182</v>
      </c>
      <c r="K10" s="3065" t="str">
        <f t="shared" si="0"/>
        <v>NO</v>
      </c>
    </row>
    <row r="11" spans="2:11" ht="18" customHeight="1" x14ac:dyDescent="0.2">
      <c r="B11" s="282" t="s">
        <v>132</v>
      </c>
      <c r="C11" s="1913">
        <f>IF(SUM(C18,C25,C32,C39,C46,C53,C62,C69,C76,C83,C90,C97,C114,C104:C107)=0,"NO",SUM(C18,C25,C32,C39,C46,C53,C62,C69,C76,C83,C90,C97,C114,C104:C107))</f>
        <v>228305.89729359336</v>
      </c>
      <c r="D11" s="3077" t="s">
        <v>1814</v>
      </c>
      <c r="E11" s="1913">
        <f>IFERROR(H11*1000/$C11,"NA")</f>
        <v>69.106579059206481</v>
      </c>
      <c r="F11" s="1913">
        <f t="shared" ref="F11:G16" si="1">IFERROR(I11*1000000/$C11,"NA")</f>
        <v>4.1071310951543509</v>
      </c>
      <c r="G11" s="1913">
        <f t="shared" si="1"/>
        <v>2.6383890439239983</v>
      </c>
      <c r="H11" s="1913">
        <f>IF(SUM(H18,H25,H32,H39,H46,H53,H62,H69,H76,H83,H90,H97,H114,H104:H107)=0,"NO",SUM(H18,H25,H32,H39,H46,H53,H62,H69,H76,H83,H90,H97,H114,H104:H107))</f>
        <v>15777.439541002786</v>
      </c>
      <c r="I11" s="1913">
        <f>IF(SUM(I18,I25,I32,I39,I46,I53,I62,I69,I76,I83,I90,I97,I114,I104:I107)=0,"NO",SUM(I18,I25,I32,I39,I46,I53,I62,I69,I76,I83,I90,I97,I114,I104:I107))</f>
        <v>0.93768224998163285</v>
      </c>
      <c r="J11" s="1913">
        <f>IF(SUM(J18,J25,J32,J39,J46,J53,J62,J69,J76,J83,J90,J97,J114,J104:J107)=0,"NO",SUM(J18,J25,J32,J39,J46,J53,J62,J69,J76,J83,J90,J97,J114,J104:J107))</f>
        <v>0.6023597780826544</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118284.38720269309</v>
      </c>
      <c r="D12" s="3077" t="s">
        <v>1814</v>
      </c>
      <c r="E12" s="1913">
        <f t="shared" ref="E12:E16" si="2">IFERROR(H12*1000/$C12,"NA")</f>
        <v>82.157995093921315</v>
      </c>
      <c r="F12" s="1913">
        <f t="shared" si="1"/>
        <v>0.94818906756182442</v>
      </c>
      <c r="G12" s="1913">
        <f t="shared" si="1"/>
        <v>0.70021990865506256</v>
      </c>
      <c r="H12" s="1913">
        <f>IF(SUM(H19,H26,H33,H40,H47,H54,H63,H70,H77,H84,H91,H98,H115)=0,"NO",SUM(H19,H26,H33,H40,H47,H54,H63,H70,H77,H84,H91,H98,H115))</f>
        <v>9718.0081034863488</v>
      </c>
      <c r="I12" s="1913">
        <f>IF(SUM(I19,I26,I33,I40,I47,I54,I63,I70,I77,I84,I91,I98,I115)=0,"NO",SUM(I19,I26,I33,I40,I47,I54,I63,I70,I77,I84,I91,I98,I115))</f>
        <v>0.11215596280884335</v>
      </c>
      <c r="J12" s="1913">
        <f>IF(SUM(J19,J26,J33,J40,J47,J54,J63,J70,J77,J84,J91,J98,J115)=0,"NO",SUM(J19,J26,J33,J40,J47,J54,J63,J70,J77,J84,J91,J98,J115))</f>
        <v>8.2825082802389802E-2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305513.55844891461</v>
      </c>
      <c r="D13" s="3077" t="s">
        <v>1814</v>
      </c>
      <c r="E13" s="1913">
        <f t="shared" si="2"/>
        <v>51.413124482304887</v>
      </c>
      <c r="F13" s="1913">
        <f t="shared" si="1"/>
        <v>0.97226254150130864</v>
      </c>
      <c r="G13" s="1913">
        <f t="shared" si="1"/>
        <v>0.54791114334273128</v>
      </c>
      <c r="H13" s="1913">
        <f t="shared" ref="H13:K14" si="3">IF(SUM(H20,H27,H34,H41,H48,H55,H64,H71,H78,H85,H92,H99,H116,H109)=0,"NO",SUM(H20,H27,H34,H41,H48,H55,H64,H71,H78,H85,H92,H99,H116,H109))</f>
        <v>15707.406611565977</v>
      </c>
      <c r="I13" s="1913">
        <f t="shared" si="3"/>
        <v>0.29703938880065028</v>
      </c>
      <c r="J13" s="1913">
        <f t="shared" si="3"/>
        <v>0.16739428311645116</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112989.98592716984</v>
      </c>
      <c r="D16" s="3092" t="s">
        <v>1814</v>
      </c>
      <c r="E16" s="1913">
        <f t="shared" si="2"/>
        <v>94.242613848024263</v>
      </c>
      <c r="F16" s="1913">
        <f t="shared" si="1"/>
        <v>9.0422764675592067</v>
      </c>
      <c r="G16" s="1913">
        <f t="shared" si="1"/>
        <v>5.765713945069793</v>
      </c>
      <c r="H16" s="1913">
        <f>IF(SUM(H23,H30,H37,H44,H51,H58,H67,H74,H81,H88,H95,H102,H119,H111)=0,"NO",SUM(H23,H30,H37,H44,H51,H58,H67,H74,H81,H88,H95,H102,H119,H111))</f>
        <v>10648.471612427962</v>
      </c>
      <c r="I16" s="1913">
        <f>IF(SUM(I23,I30,I37,I44,I51,I58,I67,I74,I81,I88,I95,I102,I119,I111)=0,"NO",SUM(I23,I30,I37,I44,I51,I58,I67,I74,I81,I88,I95,I102,I119,I111))</f>
        <v>1.0216866908190938</v>
      </c>
      <c r="J16" s="1913">
        <f>IF(SUM(J23,J30,J37,J44,J51,J58,J67,J74,J81,J88,J95,J102,J119,J111)=0,"NO",SUM(J23,J30,J37,J44,J51,J58,J67,J74,J81,J88,J95,J102,J119,J111))</f>
        <v>0.65146793751352283</v>
      </c>
      <c r="K16" s="3065" t="str">
        <f>IF(SUM(K23,K30,K37,K44,K51,K58,K67,K74,K81,K88,K95,K102,K119,K111)=0,"NO",SUM(K23,K30,K37,K44,K51,K58,K67,K74,K81,K88,K95,K102,K119,K111))</f>
        <v>NO</v>
      </c>
    </row>
    <row r="17" spans="2:11" ht="18" customHeight="1" x14ac:dyDescent="0.2">
      <c r="B17" s="1241" t="s">
        <v>151</v>
      </c>
      <c r="C17" s="1913">
        <f>IF(SUM(C18:C23)=0,"NO",SUM(C18:C23))</f>
        <v>34075.459039924259</v>
      </c>
      <c r="D17" s="3076" t="s">
        <v>1814</v>
      </c>
      <c r="E17" s="628"/>
      <c r="F17" s="628"/>
      <c r="G17" s="628"/>
      <c r="H17" s="1913">
        <f>IF(SUM(H18:H22)=0,"NO",SUM(H18:H22))</f>
        <v>1548.2113369611609</v>
      </c>
      <c r="I17" s="1913">
        <f t="shared" ref="I17:K17" si="4">IF(SUM(I18:I23)=0,"NO",SUM(I18:I23))</f>
        <v>3.4349557004766537E-2</v>
      </c>
      <c r="J17" s="1913">
        <f t="shared" si="4"/>
        <v>1.9744503957533965E-2</v>
      </c>
      <c r="K17" s="3065" t="str">
        <f t="shared" si="4"/>
        <v>NO</v>
      </c>
    </row>
    <row r="18" spans="2:11" ht="18" customHeight="1" x14ac:dyDescent="0.2">
      <c r="B18" s="282" t="s">
        <v>132</v>
      </c>
      <c r="C18" s="691">
        <v>1525.0361082553625</v>
      </c>
      <c r="D18" s="3077" t="s">
        <v>1814</v>
      </c>
      <c r="E18" s="1913">
        <f>IFERROR(H18*1000/$C18,"NA")</f>
        <v>81.928049988974763</v>
      </c>
      <c r="F18" s="1913">
        <f t="shared" ref="F18:G23" si="5">IFERROR(I18*1000000/$C18,"NA")</f>
        <v>2.1465108638017831</v>
      </c>
      <c r="G18" s="1913">
        <f t="shared" si="5"/>
        <v>0.99642640906330349</v>
      </c>
      <c r="H18" s="691">
        <v>124.94323451213685</v>
      </c>
      <c r="I18" s="691">
        <v>3.2735065740601282E-3</v>
      </c>
      <c r="J18" s="691">
        <v>1.5195862530407661E-3</v>
      </c>
      <c r="K18" s="3093" t="s">
        <v>2146</v>
      </c>
    </row>
    <row r="19" spans="2:11" ht="18" customHeight="1" x14ac:dyDescent="0.2">
      <c r="B19" s="282" t="s">
        <v>133</v>
      </c>
      <c r="C19" s="691">
        <v>18549.781789418452</v>
      </c>
      <c r="D19" s="3077" t="s">
        <v>1814</v>
      </c>
      <c r="E19" s="1913">
        <f t="shared" ref="E19:E23" si="6">IFERROR(H19*1000/$C19,"NA")</f>
        <v>37.923264614766353</v>
      </c>
      <c r="F19" s="1913">
        <f t="shared" si="5"/>
        <v>0.95476001238083208</v>
      </c>
      <c r="G19" s="1913">
        <f t="shared" si="5"/>
        <v>0.56193178395815235</v>
      </c>
      <c r="H19" s="691">
        <v>703.46828334629004</v>
      </c>
      <c r="I19" s="691">
        <v>1.7710589890926894E-2</v>
      </c>
      <c r="J19" s="691">
        <v>1.0423711972962359E-2</v>
      </c>
      <c r="K19" s="3093" t="s">
        <v>2146</v>
      </c>
    </row>
    <row r="20" spans="2:11" ht="18" customHeight="1" x14ac:dyDescent="0.2">
      <c r="B20" s="282" t="s">
        <v>134</v>
      </c>
      <c r="C20" s="691">
        <v>14000.641142250448</v>
      </c>
      <c r="D20" s="3077" t="s">
        <v>1814</v>
      </c>
      <c r="E20" s="1913">
        <f t="shared" si="6"/>
        <v>51.411918339265007</v>
      </c>
      <c r="F20" s="1913">
        <f t="shared" si="5"/>
        <v>0.95463203463203461</v>
      </c>
      <c r="G20" s="1913">
        <f t="shared" si="5"/>
        <v>0.55720346320346315</v>
      </c>
      <c r="H20" s="691">
        <v>719.79981910273398</v>
      </c>
      <c r="I20" s="691">
        <v>1.3365460539779519E-2</v>
      </c>
      <c r="J20" s="691">
        <v>7.8012057315308397E-3</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192692.59144105573</v>
      </c>
      <c r="D24" s="3077" t="s">
        <v>1814</v>
      </c>
      <c r="E24" s="628"/>
      <c r="F24" s="628"/>
      <c r="G24" s="628"/>
      <c r="H24" s="1913">
        <f>IF(SUM(H25:H29)=0,"NO",SUM(H25:H29))</f>
        <v>12259.232226541404</v>
      </c>
      <c r="I24" s="1913">
        <f t="shared" ref="I24:K24" si="7">IF(SUM(I25:I30)=0,"NO",SUM(I25:I30))</f>
        <v>0.20897714954619148</v>
      </c>
      <c r="J24" s="1913">
        <f t="shared" si="7"/>
        <v>0.13514915309544726</v>
      </c>
      <c r="K24" s="3065" t="str">
        <f t="shared" si="7"/>
        <v>NO</v>
      </c>
    </row>
    <row r="25" spans="2:11" ht="18" customHeight="1" x14ac:dyDescent="0.2">
      <c r="B25" s="282" t="s">
        <v>132</v>
      </c>
      <c r="C25" s="691">
        <v>7914.2208094021798</v>
      </c>
      <c r="D25" s="3077" t="s">
        <v>1814</v>
      </c>
      <c r="E25" s="1913">
        <f>IFERROR(H25*1000/$C25,"NA")</f>
        <v>68.10976830229076</v>
      </c>
      <c r="F25" s="1913">
        <f t="shared" ref="F25:G30" si="8">IFERROR(I25*1000000/$C25,"NA")</f>
        <v>1.8819216512366854</v>
      </c>
      <c r="G25" s="1913">
        <f t="shared" si="8"/>
        <v>1.3300520828968232</v>
      </c>
      <c r="H25" s="691">
        <v>539.03574562155052</v>
      </c>
      <c r="I25" s="691">
        <v>1.4893943493881887E-2</v>
      </c>
      <c r="J25" s="691">
        <v>1.0526325872050751E-2</v>
      </c>
      <c r="K25" s="3093" t="s">
        <v>2146</v>
      </c>
    </row>
    <row r="26" spans="2:11" ht="18" customHeight="1" x14ac:dyDescent="0.2">
      <c r="B26" s="282" t="s">
        <v>133</v>
      </c>
      <c r="C26" s="691">
        <v>59167.683368971346</v>
      </c>
      <c r="D26" s="3077" t="s">
        <v>1814</v>
      </c>
      <c r="E26" s="1913">
        <f t="shared" ref="E26:E30" si="9">IFERROR(H26*1000/$C26,"NA")</f>
        <v>90.790074314050727</v>
      </c>
      <c r="F26" s="1913">
        <f t="shared" si="8"/>
        <v>0.95238095238095222</v>
      </c>
      <c r="G26" s="1913">
        <f t="shared" si="8"/>
        <v>0.70609523809523822</v>
      </c>
      <c r="H26" s="691">
        <v>5371.8383700591321</v>
      </c>
      <c r="I26" s="691">
        <v>5.6350174637115558E-2</v>
      </c>
      <c r="J26" s="691">
        <v>4.1778019475957488E-2</v>
      </c>
      <c r="K26" s="3093" t="s">
        <v>2146</v>
      </c>
    </row>
    <row r="27" spans="2:11" ht="18" customHeight="1" x14ac:dyDescent="0.2">
      <c r="B27" s="282" t="s">
        <v>134</v>
      </c>
      <c r="C27" s="691">
        <v>123480.28075840672</v>
      </c>
      <c r="D27" s="3077" t="s">
        <v>1814</v>
      </c>
      <c r="E27" s="1913">
        <f t="shared" si="9"/>
        <v>51.411918339265</v>
      </c>
      <c r="F27" s="1913">
        <f t="shared" si="8"/>
        <v>0.95727272727272716</v>
      </c>
      <c r="G27" s="1913">
        <f t="shared" si="8"/>
        <v>0.57027272727272738</v>
      </c>
      <c r="H27" s="691">
        <v>6348.3581108607214</v>
      </c>
      <c r="I27" s="691">
        <v>0.11820430512600207</v>
      </c>
      <c r="J27" s="691">
        <v>7.0417436472498679E-2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2130.4065042754883</v>
      </c>
      <c r="D30" s="3077" t="s">
        <v>1814</v>
      </c>
      <c r="E30" s="1913">
        <f t="shared" si="9"/>
        <v>93.999999999999972</v>
      </c>
      <c r="F30" s="1913">
        <f t="shared" si="8"/>
        <v>9.1666666666666625</v>
      </c>
      <c r="G30" s="1913">
        <f t="shared" si="8"/>
        <v>5.8333333333333321</v>
      </c>
      <c r="H30" s="691">
        <v>200.25821140189584</v>
      </c>
      <c r="I30" s="691">
        <v>1.9528726289191969E-2</v>
      </c>
      <c r="J30" s="691">
        <v>1.2427371274940346E-2</v>
      </c>
      <c r="K30" s="3093" t="s">
        <v>2146</v>
      </c>
    </row>
    <row r="31" spans="2:11" ht="18" customHeight="1" x14ac:dyDescent="0.2">
      <c r="B31" s="1241" t="s">
        <v>153</v>
      </c>
      <c r="C31" s="1913">
        <f>IF(SUM(C32:C37)=0,"NO",SUM(C32:C37))</f>
        <v>117022.27716226412</v>
      </c>
      <c r="D31" s="3077" t="s">
        <v>1814</v>
      </c>
      <c r="E31" s="628"/>
      <c r="F31" s="628"/>
      <c r="G31" s="628"/>
      <c r="H31" s="1913">
        <f>IF(SUM(H32:H36)=0,"NO",SUM(H32:H36))</f>
        <v>7112.3362329107122</v>
      </c>
      <c r="I31" s="1913">
        <f t="shared" ref="I31:K31" si="10">IF(SUM(I32:I37)=0,"NO",SUM(I32:I37))</f>
        <v>0.17769100456369946</v>
      </c>
      <c r="J31" s="1913">
        <f t="shared" si="10"/>
        <v>7.5921768776407272E-2</v>
      </c>
      <c r="K31" s="3065" t="str">
        <f t="shared" si="10"/>
        <v>NO</v>
      </c>
    </row>
    <row r="32" spans="2:11" ht="18" customHeight="1" x14ac:dyDescent="0.2">
      <c r="B32" s="282" t="s">
        <v>132</v>
      </c>
      <c r="C32" s="691">
        <v>58441.590793926407</v>
      </c>
      <c r="D32" s="3077" t="s">
        <v>1814</v>
      </c>
      <c r="E32" s="1913">
        <f>IFERROR(H32*1000/$C32,"NA")</f>
        <v>68.014383633110995</v>
      </c>
      <c r="F32" s="1913">
        <f t="shared" ref="F32:G37" si="11">IFERROR(I32*1000000/$C32,"NA")</f>
        <v>2.0185523617660954</v>
      </c>
      <c r="G32" s="1913">
        <f t="shared" si="11"/>
        <v>0.71083058595294013</v>
      </c>
      <c r="H32" s="691">
        <v>3974.8687763873986</v>
      </c>
      <c r="I32" s="691">
        <v>0.11796741112244785</v>
      </c>
      <c r="J32" s="691">
        <v>4.1542070228068662E-2</v>
      </c>
      <c r="K32" s="3093" t="s">
        <v>2146</v>
      </c>
    </row>
    <row r="33" spans="2:11" ht="18" customHeight="1" x14ac:dyDescent="0.2">
      <c r="B33" s="282" t="s">
        <v>133</v>
      </c>
      <c r="C33" s="691">
        <v>4782.2452086352296</v>
      </c>
      <c r="D33" s="3077" t="s">
        <v>1814</v>
      </c>
      <c r="E33" s="1913">
        <f t="shared" ref="E33:E37" si="12">IFERROR(H33*1000/$C33,"NA")</f>
        <v>84.813843769482702</v>
      </c>
      <c r="F33" s="1913">
        <f t="shared" si="11"/>
        <v>0.89485014497638737</v>
      </c>
      <c r="G33" s="1913">
        <f t="shared" si="11"/>
        <v>0.64301146987918156</v>
      </c>
      <c r="H33" s="691">
        <v>405.6005979925456</v>
      </c>
      <c r="I33" s="691">
        <v>4.2793928182598695E-3</v>
      </c>
      <c r="J33" s="691">
        <v>3.0750385209272124E-3</v>
      </c>
      <c r="K33" s="3093" t="s">
        <v>2146</v>
      </c>
    </row>
    <row r="34" spans="2:11" ht="18" customHeight="1" x14ac:dyDescent="0.2">
      <c r="B34" s="282" t="s">
        <v>134</v>
      </c>
      <c r="C34" s="691">
        <v>53129.692652653139</v>
      </c>
      <c r="D34" s="3077" t="s">
        <v>1814</v>
      </c>
      <c r="E34" s="1913">
        <f t="shared" si="12"/>
        <v>51.418834217448584</v>
      </c>
      <c r="F34" s="1913">
        <f t="shared" si="11"/>
        <v>0.95211030176379952</v>
      </c>
      <c r="G34" s="1913">
        <f t="shared" si="11"/>
        <v>0.5262183143021828</v>
      </c>
      <c r="H34" s="691">
        <v>2731.8668585307678</v>
      </c>
      <c r="I34" s="691">
        <v>5.0585327704135506E-2</v>
      </c>
      <c r="J34" s="691">
        <v>2.7957817307072204E-2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v>668.74850704934931</v>
      </c>
      <c r="D37" s="3077" t="s">
        <v>1814</v>
      </c>
      <c r="E37" s="1913">
        <f t="shared" si="12"/>
        <v>88.367861460277496</v>
      </c>
      <c r="F37" s="1913">
        <f t="shared" si="11"/>
        <v>7.265620584776368</v>
      </c>
      <c r="G37" s="1913">
        <f t="shared" si="11"/>
        <v>5.0046358011416388</v>
      </c>
      <c r="H37" s="691">
        <v>59.09587542270431</v>
      </c>
      <c r="I37" s="691">
        <v>4.8588729188562161E-3</v>
      </c>
      <c r="J37" s="691">
        <v>3.3468427203391955E-3</v>
      </c>
      <c r="K37" s="3093" t="s">
        <v>2146</v>
      </c>
    </row>
    <row r="38" spans="2:11" ht="18" customHeight="1" x14ac:dyDescent="0.2">
      <c r="B38" s="1241" t="s">
        <v>154</v>
      </c>
      <c r="C38" s="1913">
        <f>IF(SUM(C39:C44)=0,"NO",SUM(C39:C44))</f>
        <v>38567.70926879473</v>
      </c>
      <c r="D38" s="3077" t="s">
        <v>1814</v>
      </c>
      <c r="E38" s="628"/>
      <c r="F38" s="628"/>
      <c r="G38" s="628"/>
      <c r="H38" s="1913">
        <f>IF(SUM(H39:H43)=0,"NO",SUM(H39:H43))</f>
        <v>998.30599372598238</v>
      </c>
      <c r="I38" s="1913">
        <f t="shared" ref="I38:K38" si="13">IF(SUM(I39:I44)=0,"NO",SUM(I39:I44))</f>
        <v>0.20948110733520175</v>
      </c>
      <c r="J38" s="1913">
        <f t="shared" si="13"/>
        <v>0.13845232349288944</v>
      </c>
      <c r="K38" s="3065" t="str">
        <f t="shared" si="13"/>
        <v>NO</v>
      </c>
    </row>
    <row r="39" spans="2:11" ht="18" customHeight="1" x14ac:dyDescent="0.2">
      <c r="B39" s="282" t="s">
        <v>132</v>
      </c>
      <c r="C39" s="691">
        <v>686.35199999999998</v>
      </c>
      <c r="D39" s="3077" t="s">
        <v>1814</v>
      </c>
      <c r="E39" s="1913">
        <f>IFERROR(H39*1000/$C39,"NA")</f>
        <v>67.705262708795289</v>
      </c>
      <c r="F39" s="1913">
        <f t="shared" ref="F39:G44" si="14">IFERROR(I39*1000000/$C39,"NA")</f>
        <v>1.0458595313176924</v>
      </c>
      <c r="G39" s="1913">
        <f t="shared" si="14"/>
        <v>1.072721124177747</v>
      </c>
      <c r="H39" s="691">
        <v>46.469642470707065</v>
      </c>
      <c r="I39" s="691">
        <v>7.1782778103896081E-4</v>
      </c>
      <c r="J39" s="691">
        <v>7.3626428902164487E-4</v>
      </c>
      <c r="K39" s="3093" t="s">
        <v>2146</v>
      </c>
    </row>
    <row r="40" spans="2:11" ht="18" customHeight="1" x14ac:dyDescent="0.2">
      <c r="B40" s="282" t="s">
        <v>133</v>
      </c>
      <c r="C40" s="691">
        <v>3102.6510000000003</v>
      </c>
      <c r="D40" s="3077" t="s">
        <v>1814</v>
      </c>
      <c r="E40" s="1913">
        <f t="shared" ref="E40:E44" si="15">IFERROR(H40*1000/$C40,"NA")</f>
        <v>89.642425422646625</v>
      </c>
      <c r="F40" s="1913">
        <f t="shared" si="14"/>
        <v>0.93775999943274302</v>
      </c>
      <c r="G40" s="1913">
        <f t="shared" si="14"/>
        <v>0.65691936470119372</v>
      </c>
      <c r="H40" s="691">
        <v>278.12916087999997</v>
      </c>
      <c r="I40" s="691">
        <v>2.9095419999999998E-3</v>
      </c>
      <c r="J40" s="691">
        <v>2.0381915238095235E-3</v>
      </c>
      <c r="K40" s="3093" t="s">
        <v>2146</v>
      </c>
    </row>
    <row r="41" spans="2:11" ht="18" customHeight="1" x14ac:dyDescent="0.2">
      <c r="B41" s="282" t="s">
        <v>134</v>
      </c>
      <c r="C41" s="691">
        <v>13104.105276319608</v>
      </c>
      <c r="D41" s="3077" t="s">
        <v>1814</v>
      </c>
      <c r="E41" s="1913">
        <f t="shared" si="15"/>
        <v>51.411918339265</v>
      </c>
      <c r="F41" s="1913">
        <f t="shared" si="14"/>
        <v>0.91363636363636358</v>
      </c>
      <c r="G41" s="1913">
        <f t="shared" si="14"/>
        <v>0.86863636363636354</v>
      </c>
      <c r="H41" s="691">
        <v>673.70719037527533</v>
      </c>
      <c r="I41" s="691">
        <v>1.1972387093364732E-2</v>
      </c>
      <c r="J41" s="691">
        <v>1.1382702355930349E-2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21674.600992475123</v>
      </c>
      <c r="D44" s="3076" t="s">
        <v>1814</v>
      </c>
      <c r="E44" s="1913">
        <f t="shared" si="15"/>
        <v>93.526244577448622</v>
      </c>
      <c r="F44" s="1913">
        <f t="shared" si="14"/>
        <v>8.9450943308303028</v>
      </c>
      <c r="G44" s="1913">
        <f t="shared" si="14"/>
        <v>5.7345999295341166</v>
      </c>
      <c r="H44" s="691">
        <v>2027.144033540839</v>
      </c>
      <c r="I44" s="691">
        <v>0.19388135046079807</v>
      </c>
      <c r="J44" s="691">
        <v>0.12429516532412793</v>
      </c>
      <c r="K44" s="3093" t="s">
        <v>2146</v>
      </c>
    </row>
    <row r="45" spans="2:11" ht="18" customHeight="1" x14ac:dyDescent="0.2">
      <c r="B45" s="1241" t="s">
        <v>155</v>
      </c>
      <c r="C45" s="1913">
        <f>IF(SUM(C46:C51)=0,"NO",SUM(C46:C51))</f>
        <v>129470.6201297262</v>
      </c>
      <c r="D45" s="3076" t="s">
        <v>1814</v>
      </c>
      <c r="E45" s="628"/>
      <c r="F45" s="628"/>
      <c r="G45" s="628"/>
      <c r="H45" s="1913">
        <f>IF(SUM(H46:H50)=0,"NO",SUM(H46:H50))</f>
        <v>2523.2465172004277</v>
      </c>
      <c r="I45" s="1913">
        <f t="shared" ref="I45:K45" si="16">IF(SUM(I46:I51)=0,"NO",SUM(I46:I51))</f>
        <v>0.84467887705264166</v>
      </c>
      <c r="J45" s="1913">
        <f t="shared" si="16"/>
        <v>0.54075044892106183</v>
      </c>
      <c r="K45" s="3065" t="str">
        <f t="shared" si="16"/>
        <v>NO</v>
      </c>
    </row>
    <row r="46" spans="2:11" ht="18" customHeight="1" x14ac:dyDescent="0.2">
      <c r="B46" s="282" t="s">
        <v>132</v>
      </c>
      <c r="C46" s="691">
        <v>3183.0253727318009</v>
      </c>
      <c r="D46" s="3076" t="s">
        <v>1814</v>
      </c>
      <c r="E46" s="1913">
        <f>IFERROR(H46*1000/$C46,"NA")</f>
        <v>67.75060626680218</v>
      </c>
      <c r="F46" s="1913">
        <f t="shared" ref="F46:G51" si="17">IFERROR(I46*1000000/$C46,"NA")</f>
        <v>7.4833576988802442</v>
      </c>
      <c r="G46" s="1913">
        <f t="shared" si="17"/>
        <v>2.5760100170018823</v>
      </c>
      <c r="H46" s="691">
        <v>215.65189876519347</v>
      </c>
      <c r="I46" s="691">
        <v>2.3819717428763681E-2</v>
      </c>
      <c r="J46" s="691">
        <v>8.1995052445282685E-3</v>
      </c>
      <c r="K46" s="3093" t="s">
        <v>2146</v>
      </c>
    </row>
    <row r="47" spans="2:11" ht="18" customHeight="1" x14ac:dyDescent="0.2">
      <c r="B47" s="282" t="s">
        <v>133</v>
      </c>
      <c r="C47" s="691">
        <v>6396.366</v>
      </c>
      <c r="D47" s="3076" t="s">
        <v>1814</v>
      </c>
      <c r="E47" s="1913">
        <f t="shared" ref="E47:E51" si="18">IFERROR(H47*1000/$C47,"NA")</f>
        <v>90.009585130056664</v>
      </c>
      <c r="F47" s="1913">
        <f t="shared" si="17"/>
        <v>0.95238095238095211</v>
      </c>
      <c r="G47" s="1913">
        <f t="shared" si="17"/>
        <v>0.67523809523809508</v>
      </c>
      <c r="H47" s="691">
        <v>575.73424999999997</v>
      </c>
      <c r="I47" s="691">
        <v>6.0917771428571415E-3</v>
      </c>
      <c r="J47" s="691">
        <v>4.3190699942857137E-3</v>
      </c>
      <c r="K47" s="3093" t="s">
        <v>2146</v>
      </c>
    </row>
    <row r="48" spans="2:11" ht="18" customHeight="1" x14ac:dyDescent="0.2">
      <c r="B48" s="282" t="s">
        <v>134</v>
      </c>
      <c r="C48" s="691">
        <v>33685.970576059117</v>
      </c>
      <c r="D48" s="3076" t="s">
        <v>1814</v>
      </c>
      <c r="E48" s="1913">
        <f t="shared" si="18"/>
        <v>51.411918339264986</v>
      </c>
      <c r="F48" s="1913">
        <f t="shared" si="17"/>
        <v>0.91409090909090895</v>
      </c>
      <c r="G48" s="1913">
        <f t="shared" si="17"/>
        <v>0.86459090909090874</v>
      </c>
      <c r="H48" s="691">
        <v>1731.8603684352345</v>
      </c>
      <c r="I48" s="691">
        <v>3.0792039467479489E-2</v>
      </c>
      <c r="J48" s="691">
        <v>2.9124583923964553E-2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86205.258180935285</v>
      </c>
      <c r="D51" s="3076" t="s">
        <v>1814</v>
      </c>
      <c r="E51" s="1913">
        <f t="shared" si="18"/>
        <v>94.58277501398463</v>
      </c>
      <c r="F51" s="1913">
        <f t="shared" si="17"/>
        <v>9.0942868167979256</v>
      </c>
      <c r="G51" s="1913">
        <f t="shared" si="17"/>
        <v>5.7897545960678229</v>
      </c>
      <c r="H51" s="691">
        <v>8153.5325395498603</v>
      </c>
      <c r="I51" s="691">
        <v>0.78397534301354133</v>
      </c>
      <c r="J51" s="691">
        <v>0.49910728975828333</v>
      </c>
      <c r="K51" s="3093" t="s">
        <v>2146</v>
      </c>
    </row>
    <row r="52" spans="2:11" ht="18" customHeight="1" x14ac:dyDescent="0.2">
      <c r="B52" s="1241" t="s">
        <v>156</v>
      </c>
      <c r="C52" s="3094">
        <f>IF(SUM(C53:C58)=0,"NO",SUM(C53:C58))</f>
        <v>81072.096911015207</v>
      </c>
      <c r="D52" s="3076" t="s">
        <v>1814</v>
      </c>
      <c r="E52" s="628"/>
      <c r="F52" s="628"/>
      <c r="G52" s="628"/>
      <c r="H52" s="1913">
        <f>IF(SUM(H53:H57)=0,"NO",SUM(H53:H57))</f>
        <v>4928.9200618486893</v>
      </c>
      <c r="I52" s="1913">
        <f t="shared" ref="I52:K52" si="19">IF(SUM(I53:I58)=0,"NO",SUM(I53:I58))</f>
        <v>0.28799645111745847</v>
      </c>
      <c r="J52" s="1913">
        <f t="shared" si="19"/>
        <v>4.7816347510090104E-2</v>
      </c>
      <c r="K52" s="3065" t="str">
        <f t="shared" si="19"/>
        <v>NO</v>
      </c>
    </row>
    <row r="53" spans="2:11" ht="18" customHeight="1" x14ac:dyDescent="0.2">
      <c r="B53" s="282" t="s">
        <v>132</v>
      </c>
      <c r="C53" s="2147">
        <v>7083.8218226063564</v>
      </c>
      <c r="D53" s="3076" t="s">
        <v>1814</v>
      </c>
      <c r="E53" s="1913">
        <f>IFERROR(H53*1000/$C53,"NA")</f>
        <v>64.179950100401712</v>
      </c>
      <c r="F53" s="1913">
        <f t="shared" ref="F53:G58" si="20">IFERROR(I53*1000000/$C53,"NA")</f>
        <v>27.99269115737831</v>
      </c>
      <c r="G53" s="1913">
        <f t="shared" si="20"/>
        <v>1.8139383675771727</v>
      </c>
      <c r="H53" s="691">
        <v>454.63933109501266</v>
      </c>
      <c r="I53" s="691">
        <v>0.19829523649411646</v>
      </c>
      <c r="J53" s="691">
        <v>1.2849616193106128E-2</v>
      </c>
      <c r="K53" s="3093" t="s">
        <v>2146</v>
      </c>
    </row>
    <row r="54" spans="2:11" ht="18" customHeight="1" x14ac:dyDescent="0.2">
      <c r="B54" s="282" t="s">
        <v>133</v>
      </c>
      <c r="C54" s="691">
        <v>20494.357777064535</v>
      </c>
      <c r="D54" s="3076" t="s">
        <v>1814</v>
      </c>
      <c r="E54" s="1913">
        <f t="shared" ref="E54:E58" si="21">IFERROR(H54*1000/$C54,"NA")</f>
        <v>89.870292754644979</v>
      </c>
      <c r="F54" s="1913">
        <f t="shared" si="20"/>
        <v>0.94167188645369293</v>
      </c>
      <c r="G54" s="1913">
        <f t="shared" si="20"/>
        <v>0.82165397388100636</v>
      </c>
      <c r="H54" s="691">
        <v>1841.8339332432249</v>
      </c>
      <c r="I54" s="691">
        <v>1.9298960549585274E-2</v>
      </c>
      <c r="J54" s="691">
        <v>1.6839270509664182E-2</v>
      </c>
      <c r="K54" s="3093" t="s">
        <v>2146</v>
      </c>
    </row>
    <row r="55" spans="2:11" ht="18" customHeight="1" x14ac:dyDescent="0.2">
      <c r="B55" s="282" t="s">
        <v>134</v>
      </c>
      <c r="C55" s="691">
        <v>51203.045568909729</v>
      </c>
      <c r="D55" s="3076" t="s">
        <v>1814</v>
      </c>
      <c r="E55" s="1913">
        <f t="shared" si="21"/>
        <v>51.411918339265</v>
      </c>
      <c r="F55" s="1913">
        <f t="shared" si="20"/>
        <v>0.9982053647889787</v>
      </c>
      <c r="G55" s="1913">
        <f t="shared" si="20"/>
        <v>0.11597225337808888</v>
      </c>
      <c r="H55" s="691">
        <v>2632.4467975104517</v>
      </c>
      <c r="I55" s="691">
        <v>5.1111154780420234E-2</v>
      </c>
      <c r="J55" s="691">
        <v>5.9381325744474293E-3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2290.8717424345878</v>
      </c>
      <c r="D58" s="3076" t="s">
        <v>1814</v>
      </c>
      <c r="E58" s="3095">
        <f t="shared" si="21"/>
        <v>90.229439613113371</v>
      </c>
      <c r="F58" s="3095">
        <f t="shared" si="20"/>
        <v>8.4208552299113837</v>
      </c>
      <c r="G58" s="3095">
        <f t="shared" si="20"/>
        <v>5.3208252592606256</v>
      </c>
      <c r="H58" s="2190">
        <v>206.70407354538946</v>
      </c>
      <c r="I58" s="691">
        <v>1.92910992933365E-2</v>
      </c>
      <c r="J58" s="691">
        <v>1.2189328232872356E-2</v>
      </c>
      <c r="K58" s="3093" t="s">
        <v>2146</v>
      </c>
    </row>
    <row r="59" spans="2:11" ht="18" customHeight="1" x14ac:dyDescent="0.2">
      <c r="B59" s="1241" t="s">
        <v>157</v>
      </c>
      <c r="C59" s="3094">
        <f>IF(SUM(C61,C68,C75,C82,C89,C96,C103,C112)=0,"NO",SUM(C61,C68,C75,C82,C89,C96,C103,C112))</f>
        <v>172193.07491959067</v>
      </c>
      <c r="D59" s="3076" t="s">
        <v>1814</v>
      </c>
      <c r="E59" s="1914"/>
      <c r="F59" s="1914"/>
      <c r="G59" s="1914"/>
      <c r="H59" s="1913">
        <f>IF(SUM(H61,H68,H75,H82,H89,H96,H103,H112)=0,"NO",SUM(H61,H68,H75,H82,H89,H96,H103,H112))</f>
        <v>11832.601886866736</v>
      </c>
      <c r="I59" s="1913">
        <f>IF(SUM(I61,I68,I75,I82,I89,I96,I103,I112)=0,"NO",SUM(I61,I68,I75,I82,I89,I96,I103,I112))</f>
        <v>0.60539014579026129</v>
      </c>
      <c r="J59" s="1913">
        <f>IF(SUM(J61,J68,J75,J82,J89,J96,J103,J112)=0,"NO",SUM(J61,J68,J75,J82,J89,J96,J103,J112))</f>
        <v>0.54621253576158846</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1989.2133509131604</v>
      </c>
      <c r="D61" s="3076" t="s">
        <v>1814</v>
      </c>
      <c r="E61" s="628"/>
      <c r="F61" s="628"/>
      <c r="G61" s="628"/>
      <c r="H61" s="1913">
        <f>IF(SUM(H62:H66)=0,"NO",SUM(H62:H66))</f>
        <v>115.74283342198594</v>
      </c>
      <c r="I61" s="1913">
        <f t="shared" ref="I61:K61" si="22">IF(SUM(I62:I67)=0,"NO",SUM(I62:I67))</f>
        <v>1.7091990973950665E-2</v>
      </c>
      <c r="J61" s="1913">
        <f t="shared" si="22"/>
        <v>3.6179457747821074E-3</v>
      </c>
      <c r="K61" s="3065" t="str">
        <f t="shared" si="22"/>
        <v>NO</v>
      </c>
    </row>
    <row r="62" spans="2:11" ht="18" customHeight="1" x14ac:dyDescent="0.2">
      <c r="B62" s="158" t="s">
        <v>132</v>
      </c>
      <c r="C62" s="691">
        <v>877.73846929388026</v>
      </c>
      <c r="D62" s="3076" t="s">
        <v>1814</v>
      </c>
      <c r="E62" s="1913">
        <f>IFERROR(H62*1000/$C62,"NA")</f>
        <v>66.762230005907583</v>
      </c>
      <c r="F62" s="1913">
        <f t="shared" ref="F62:G67" si="23">IFERROR(I62*1000000/$C62,"NA")</f>
        <v>18.295107137053332</v>
      </c>
      <c r="G62" s="1913">
        <f t="shared" si="23"/>
        <v>3.0923980103199034</v>
      </c>
      <c r="H62" s="691">
        <v>58.599777572031279</v>
      </c>
      <c r="I62" s="691">
        <v>1.6058319334044734E-2</v>
      </c>
      <c r="J62" s="691">
        <v>2.714316696025633E-3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1111.47488161928</v>
      </c>
      <c r="D64" s="3076" t="s">
        <v>1814</v>
      </c>
      <c r="E64" s="1913">
        <f t="shared" si="24"/>
        <v>51.411918339264993</v>
      </c>
      <c r="F64" s="1913">
        <f t="shared" si="23"/>
        <v>0.92999999999999983</v>
      </c>
      <c r="G64" s="1913">
        <f t="shared" si="23"/>
        <v>0.81299999999999994</v>
      </c>
      <c r="H64" s="691">
        <v>57.143055849954656</v>
      </c>
      <c r="I64" s="691">
        <v>1.0336716399059302E-3</v>
      </c>
      <c r="J64" s="691">
        <v>9.0362907875647463E-4</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125632.72599999998</v>
      </c>
      <c r="D75" s="3077" t="s">
        <v>1814</v>
      </c>
      <c r="E75" s="628"/>
      <c r="F75" s="628"/>
      <c r="G75" s="628"/>
      <c r="H75" s="1913">
        <f>IF(SUM(H76:H80)=0,"NO",SUM(H76:H80))</f>
        <v>8797.3857696012346</v>
      </c>
      <c r="I75" s="1913">
        <f t="shared" ref="I75:K75" si="28">IF(SUM(I76:I81)=0,"NO",SUM(I76:I81))</f>
        <v>0.42353783417125979</v>
      </c>
      <c r="J75" s="1913">
        <f t="shared" si="28"/>
        <v>0.41562011036125912</v>
      </c>
      <c r="K75" s="3065" t="str">
        <f t="shared" si="28"/>
        <v>NO</v>
      </c>
    </row>
    <row r="76" spans="2:11" ht="18" customHeight="1" x14ac:dyDescent="0.2">
      <c r="B76" s="158" t="s">
        <v>132</v>
      </c>
      <c r="C76" s="691">
        <v>115087.42599999998</v>
      </c>
      <c r="D76" s="3077" t="s">
        <v>1814</v>
      </c>
      <c r="E76" s="1913">
        <f>IFERROR(H76*1000/$C76,"NA")</f>
        <v>69.784759229426555</v>
      </c>
      <c r="F76" s="1913">
        <f t="shared" ref="F76:G81" si="29">IFERROR(I76*1000000/$C76,"NA")</f>
        <v>3.5453258167164199</v>
      </c>
      <c r="G76" s="1913">
        <f t="shared" si="29"/>
        <v>3.5353461343502142</v>
      </c>
      <c r="H76" s="691">
        <v>8031.3483137444446</v>
      </c>
      <c r="I76" s="691">
        <v>0.40802242257724047</v>
      </c>
      <c r="J76" s="691">
        <v>0.40687388662141627</v>
      </c>
      <c r="K76" s="3093" t="s">
        <v>2146</v>
      </c>
    </row>
    <row r="77" spans="2:11" ht="18" customHeight="1" x14ac:dyDescent="0.2">
      <c r="B77" s="158" t="s">
        <v>133</v>
      </c>
      <c r="C77" s="691">
        <v>5303.07</v>
      </c>
      <c r="D77" s="3077" t="s">
        <v>1814</v>
      </c>
      <c r="E77" s="1913">
        <f t="shared" ref="E77:E81" si="30">IFERROR(H77*1000/$C77,"NA")</f>
        <v>93.806535212779764</v>
      </c>
      <c r="F77" s="1913">
        <f t="shared" si="29"/>
        <v>0.95238095238095233</v>
      </c>
      <c r="G77" s="1913">
        <f t="shared" si="29"/>
        <v>0.75923809523809538</v>
      </c>
      <c r="H77" s="691">
        <v>497.46262269083599</v>
      </c>
      <c r="I77" s="691">
        <v>5.0505428571428566E-3</v>
      </c>
      <c r="J77" s="691">
        <v>4.0262927657142861E-3</v>
      </c>
      <c r="K77" s="3093" t="s">
        <v>2146</v>
      </c>
    </row>
    <row r="78" spans="2:11" ht="18" customHeight="1" x14ac:dyDescent="0.2">
      <c r="B78" s="158" t="s">
        <v>134</v>
      </c>
      <c r="C78" s="691">
        <v>5223.9799999999996</v>
      </c>
      <c r="D78" s="3077" t="s">
        <v>1814</v>
      </c>
      <c r="E78" s="1913">
        <f t="shared" si="30"/>
        <v>51.411918339265007</v>
      </c>
      <c r="F78" s="1913">
        <f t="shared" si="29"/>
        <v>1.9754545454545451</v>
      </c>
      <c r="G78" s="1913">
        <f t="shared" si="29"/>
        <v>0.88481818181818161</v>
      </c>
      <c r="H78" s="691">
        <v>268.57483316595358</v>
      </c>
      <c r="I78" s="691">
        <v>1.0319735036363634E-2</v>
      </c>
      <c r="J78" s="691">
        <v>4.6222724854545439E-3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v>18.250000000000004</v>
      </c>
      <c r="D81" s="3076" t="s">
        <v>1814</v>
      </c>
      <c r="E81" s="1913">
        <f t="shared" si="30"/>
        <v>88.305545632449721</v>
      </c>
      <c r="F81" s="1913">
        <f t="shared" si="29"/>
        <v>7.9525315349490686</v>
      </c>
      <c r="G81" s="1913">
        <f t="shared" si="29"/>
        <v>5.3511500643283654</v>
      </c>
      <c r="H81" s="691">
        <v>1.6115762077922078</v>
      </c>
      <c r="I81" s="691">
        <v>1.4513370051282053E-4</v>
      </c>
      <c r="J81" s="691">
        <v>9.7658488673992689E-5</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35074.839249458979</v>
      </c>
      <c r="D89" s="3077" t="s">
        <v>1814</v>
      </c>
      <c r="E89" s="628"/>
      <c r="F89" s="628"/>
      <c r="G89" s="628"/>
      <c r="H89" s="1913">
        <f>IF(SUM(H90:H94)=0,"NO",SUM(H90:H94))</f>
        <v>2389.1225262409539</v>
      </c>
      <c r="I89" s="1913">
        <f t="shared" ref="I89:K89" si="36">IF(SUM(I90:I95)=0,"NO",SUM(I90:I95))</f>
        <v>0.1208928261433002</v>
      </c>
      <c r="J89" s="1913">
        <f t="shared" si="36"/>
        <v>0.11799163740044885</v>
      </c>
      <c r="K89" s="3065" t="str">
        <f t="shared" si="36"/>
        <v>NO</v>
      </c>
    </row>
    <row r="90" spans="2:11" ht="18" customHeight="1" x14ac:dyDescent="0.2">
      <c r="B90" s="158" t="s">
        <v>132</v>
      </c>
      <c r="C90" s="691">
        <v>31747.400950259504</v>
      </c>
      <c r="D90" s="3077" t="s">
        <v>1814</v>
      </c>
      <c r="E90" s="1913">
        <f>IFERROR(H90*1000/$C90,"NA")</f>
        <v>69.868637613762317</v>
      </c>
      <c r="F90" s="1913">
        <f t="shared" ref="F90:G95" si="37">IFERROR(I90*1000000/$C90,"NA")</f>
        <v>3.7125369442029328</v>
      </c>
      <c r="G90" s="1913">
        <f t="shared" si="37"/>
        <v>3.6212127656088358</v>
      </c>
      <c r="H90" s="691">
        <v>2218.1476521724949</v>
      </c>
      <c r="I90" s="691">
        <v>0.11786339891026171</v>
      </c>
      <c r="J90" s="691">
        <v>0.1149640935959818</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3325.5882991994799</v>
      </c>
      <c r="D92" s="3077" t="s">
        <v>1814</v>
      </c>
      <c r="E92" s="1913">
        <f t="shared" si="38"/>
        <v>51.411918339265007</v>
      </c>
      <c r="F92" s="1913">
        <f t="shared" si="37"/>
        <v>0.90909090909090917</v>
      </c>
      <c r="G92" s="1913">
        <f t="shared" si="37"/>
        <v>0.90909090909090917</v>
      </c>
      <c r="H92" s="691">
        <v>170.97487406845886</v>
      </c>
      <c r="I92" s="691">
        <v>3.0232620901813455E-3</v>
      </c>
      <c r="J92" s="691">
        <v>3.0232620901813455E-3</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v>1.85</v>
      </c>
      <c r="D95" s="3076" t="s">
        <v>1814</v>
      </c>
      <c r="E95" s="1913">
        <f t="shared" si="38"/>
        <v>67.731221340821321</v>
      </c>
      <c r="F95" s="1913">
        <f t="shared" si="37"/>
        <v>3.3325096525096525</v>
      </c>
      <c r="G95" s="1913">
        <f t="shared" si="37"/>
        <v>2.3144401544401547</v>
      </c>
      <c r="H95" s="691">
        <v>0.12530275948051944</v>
      </c>
      <c r="I95" s="691">
        <v>6.1651428571428576E-6</v>
      </c>
      <c r="J95" s="691">
        <v>4.281714285714286E-6</v>
      </c>
      <c r="K95" s="3093" t="s">
        <v>2146</v>
      </c>
    </row>
    <row r="96" spans="2:11" ht="18" customHeight="1" x14ac:dyDescent="0.2">
      <c r="B96" s="1242" t="s">
        <v>165</v>
      </c>
      <c r="C96" s="1913">
        <f>IF(SUM(C97:C102)=0,"NO",SUM(C97:C102))</f>
        <v>6847.3649908655425</v>
      </c>
      <c r="D96" s="3076" t="s">
        <v>1814</v>
      </c>
      <c r="E96" s="628"/>
      <c r="F96" s="628"/>
      <c r="G96" s="628"/>
      <c r="H96" s="1913">
        <f>IF(SUM(H97:H101)=0,"NO",SUM(H97:H101))</f>
        <v>385.32825825759681</v>
      </c>
      <c r="I96" s="1913">
        <f t="shared" ref="I96:K96" si="42">IF(SUM(I97:I102)=0,"NO",SUM(I97:I102))</f>
        <v>6.1845274738360247E-3</v>
      </c>
      <c r="J96" s="1913">
        <f t="shared" si="42"/>
        <v>5.8860365907397686E-3</v>
      </c>
      <c r="K96" s="3065" t="str">
        <f t="shared" si="42"/>
        <v>NO</v>
      </c>
    </row>
    <row r="97" spans="2:11" ht="18" customHeight="1" x14ac:dyDescent="0.2">
      <c r="B97" s="158" t="s">
        <v>132</v>
      </c>
      <c r="C97" s="691">
        <v>877.77207944111331</v>
      </c>
      <c r="D97" s="3076" t="s">
        <v>1814</v>
      </c>
      <c r="E97" s="1913">
        <f>IFERROR(H97*1000/$C97,"NA")</f>
        <v>67.876499863086821</v>
      </c>
      <c r="F97" s="1913">
        <f t="shared" ref="F97:G102" si="43">IFERROR(I97*1000000/$C97,"NA")</f>
        <v>0.79362833916019315</v>
      </c>
      <c r="G97" s="1913">
        <f t="shared" si="43"/>
        <v>1.0621057465796957</v>
      </c>
      <c r="H97" s="691">
        <v>59.580096430006158</v>
      </c>
      <c r="I97" s="691">
        <v>6.966247975680399E-4</v>
      </c>
      <c r="J97" s="691">
        <v>9.3228676976161572E-4</v>
      </c>
      <c r="K97" s="3093" t="s">
        <v>2146</v>
      </c>
    </row>
    <row r="98" spans="2:11" ht="18" customHeight="1" x14ac:dyDescent="0.2">
      <c r="B98" s="158" t="s">
        <v>133</v>
      </c>
      <c r="C98" s="691">
        <v>488.23205860355574</v>
      </c>
      <c r="D98" s="3076" t="s">
        <v>1814</v>
      </c>
      <c r="E98" s="1913">
        <f t="shared" ref="E98:E102" si="44">IFERROR(H98*1000/$C98,"NA")</f>
        <v>90</v>
      </c>
      <c r="F98" s="1913">
        <f t="shared" si="43"/>
        <v>0.95238095238095222</v>
      </c>
      <c r="G98" s="1913">
        <f t="shared" si="43"/>
        <v>0.66666666666666663</v>
      </c>
      <c r="H98" s="691">
        <v>43.940885274320017</v>
      </c>
      <c r="I98" s="691">
        <v>4.6498291295576731E-4</v>
      </c>
      <c r="J98" s="691">
        <v>3.2548803906903715E-4</v>
      </c>
      <c r="K98" s="3093" t="s">
        <v>2146</v>
      </c>
    </row>
    <row r="99" spans="2:11" ht="18" customHeight="1" x14ac:dyDescent="0.2">
      <c r="B99" s="158" t="s">
        <v>134</v>
      </c>
      <c r="C99" s="691">
        <v>5481.3608528208733</v>
      </c>
      <c r="D99" s="3076" t="s">
        <v>1814</v>
      </c>
      <c r="E99" s="1913">
        <f t="shared" si="44"/>
        <v>51.411918339264986</v>
      </c>
      <c r="F99" s="1913">
        <f t="shared" si="43"/>
        <v>0.91636363636363616</v>
      </c>
      <c r="G99" s="1913">
        <f t="shared" si="43"/>
        <v>0.84436363636363654</v>
      </c>
      <c r="H99" s="691">
        <v>281.80727655327064</v>
      </c>
      <c r="I99" s="691">
        <v>5.0229197633122179E-3</v>
      </c>
      <c r="J99" s="691">
        <v>4.6282617819091163E-3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2648.931328352985</v>
      </c>
      <c r="D112" s="3076" t="s">
        <v>1814</v>
      </c>
      <c r="E112" s="628"/>
      <c r="F112" s="628"/>
      <c r="G112" s="628"/>
      <c r="H112" s="1913">
        <f>H113</f>
        <v>145.02249934496552</v>
      </c>
      <c r="I112" s="1913">
        <f>I113</f>
        <v>3.7682967027914654E-2</v>
      </c>
      <c r="J112" s="1913">
        <f>J113</f>
        <v>3.096805634358608E-3</v>
      </c>
      <c r="K112" s="3065" t="str">
        <f>K113</f>
        <v>NO</v>
      </c>
    </row>
    <row r="113" spans="2:11" ht="18" customHeight="1" x14ac:dyDescent="0.2">
      <c r="B113" s="3090" t="s">
        <v>2259</v>
      </c>
      <c r="C113" s="3099">
        <f>IF(SUM(C114:C119)=0,"NO",SUM(C114:C119))</f>
        <v>2648.931328352985</v>
      </c>
      <c r="D113" s="3099" t="s">
        <v>1814</v>
      </c>
      <c r="E113" s="628"/>
      <c r="F113" s="628"/>
      <c r="G113" s="628"/>
      <c r="H113" s="3099">
        <f>IF(SUM(H114:H118)=0,"NO",SUM(H114:H118))</f>
        <v>145.02249934496552</v>
      </c>
      <c r="I113" s="3099">
        <f t="shared" ref="I113" si="51">IF(SUM(I114:I119)=0,"NO",SUM(I114:I119))</f>
        <v>3.7682967027914654E-2</v>
      </c>
      <c r="J113" s="3099">
        <f t="shared" ref="J113" si="52">IF(SUM(J114:J119)=0,"NO",SUM(J114:J119))</f>
        <v>3.096805634358608E-3</v>
      </c>
      <c r="K113" s="3100" t="str">
        <f t="shared" ref="K113" si="53">IF(SUM(K114:K119)=0,"NO",SUM(K114:K119))</f>
        <v>NO</v>
      </c>
    </row>
    <row r="114" spans="2:11" ht="18" customHeight="1" x14ac:dyDescent="0.2">
      <c r="B114" s="158" t="s">
        <v>132</v>
      </c>
      <c r="C114" s="691">
        <v>881.5128876767634</v>
      </c>
      <c r="D114" s="3076" t="s">
        <v>1814</v>
      </c>
      <c r="E114" s="1913">
        <f>IFERROR(H114*1000/$C114,"NA")</f>
        <v>61.434237648567475</v>
      </c>
      <c r="F114" s="1913">
        <f t="shared" ref="F114:G119" si="54">IFERROR(I114*1000000/$C114,"NA")</f>
        <v>40.922647839309512</v>
      </c>
      <c r="G114" s="1913">
        <f t="shared" si="54"/>
        <v>1.7036918468781905</v>
      </c>
      <c r="H114" s="691">
        <v>54.15507223180925</v>
      </c>
      <c r="I114" s="691">
        <v>3.6073841468208995E-2</v>
      </c>
      <c r="J114" s="691">
        <v>1.5018263196529521E-3</v>
      </c>
      <c r="K114" s="3093" t="s">
        <v>2146</v>
      </c>
    </row>
    <row r="115" spans="2:11" ht="18" customHeight="1" x14ac:dyDescent="0.2">
      <c r="B115" s="158" t="s">
        <v>133</v>
      </c>
      <c r="C115" s="691" t="s">
        <v>2146</v>
      </c>
      <c r="D115" s="3076" t="s">
        <v>1814</v>
      </c>
      <c r="E115" s="1913" t="str">
        <f t="shared" ref="E115:E119" si="55">IFERROR(H115*1000/$C115,"NA")</f>
        <v>NA</v>
      </c>
      <c r="F115" s="1913" t="str">
        <f t="shared" si="54"/>
        <v>NA</v>
      </c>
      <c r="G115" s="1913" t="str">
        <f t="shared" si="54"/>
        <v>NA</v>
      </c>
      <c r="H115" s="691" t="s">
        <v>2146</v>
      </c>
      <c r="I115" s="691" t="s">
        <v>2146</v>
      </c>
      <c r="J115" s="691" t="s">
        <v>2146</v>
      </c>
      <c r="K115" s="3093" t="s">
        <v>2146</v>
      </c>
    </row>
    <row r="116" spans="2:11" ht="18" customHeight="1" x14ac:dyDescent="0.2">
      <c r="B116" s="158" t="s">
        <v>134</v>
      </c>
      <c r="C116" s="691">
        <v>1767.4184406762215</v>
      </c>
      <c r="D116" s="3076" t="s">
        <v>1814</v>
      </c>
      <c r="E116" s="1913">
        <f t="shared" si="55"/>
        <v>51.412515011663011</v>
      </c>
      <c r="F116" s="1913">
        <f t="shared" si="54"/>
        <v>0.91043836743606588</v>
      </c>
      <c r="G116" s="1913">
        <f t="shared" si="54"/>
        <v>0.90243446486583578</v>
      </c>
      <c r="H116" s="691">
        <v>90.867427113156268</v>
      </c>
      <c r="I116" s="691">
        <v>1.6091255597056563E-3</v>
      </c>
      <c r="J116" s="691">
        <v>1.5949793147056559E-3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4767.8748875659121</v>
      </c>
      <c r="D10" s="4413">
        <f t="shared" ref="D10:F10" si="0">SUM(D11:D16)</f>
        <v>21456.115746736017</v>
      </c>
      <c r="E10" s="4413">
        <f t="shared" si="0"/>
        <v>1792.0546165214137</v>
      </c>
      <c r="F10" s="4413">
        <f t="shared" si="0"/>
        <v>3486.0887110849667</v>
      </c>
      <c r="G10" s="4414" t="s">
        <v>2146</v>
      </c>
      <c r="H10" s="4415" t="s">
        <v>2312</v>
      </c>
      <c r="I10" s="4416" t="s">
        <v>2313</v>
      </c>
    </row>
    <row r="11" spans="2:9" ht="18" customHeight="1" x14ac:dyDescent="0.2">
      <c r="B11" s="1558" t="s">
        <v>1476</v>
      </c>
      <c r="C11" s="4417">
        <f>Table1!D10</f>
        <v>1430.3765588980289</v>
      </c>
      <c r="D11" s="4418">
        <f>Table1!G10</f>
        <v>2214.4751901761674</v>
      </c>
      <c r="E11" s="4418">
        <f>Table1!H10</f>
        <v>759.24079613583206</v>
      </c>
      <c r="F11" s="4418">
        <f>Table1!F10</f>
        <v>2741.2533523861457</v>
      </c>
      <c r="G11" s="4419" t="s">
        <v>2146</v>
      </c>
      <c r="H11" s="4420" t="s">
        <v>2154</v>
      </c>
      <c r="I11" s="4421" t="s">
        <v>2154</v>
      </c>
    </row>
    <row r="12" spans="2:9" ht="18" customHeight="1" x14ac:dyDescent="0.2">
      <c r="B12" s="2393" t="s">
        <v>1551</v>
      </c>
      <c r="C12" s="4422">
        <f>'Table2(I)'!D10</f>
        <v>2.9530858210214426</v>
      </c>
      <c r="D12" s="4388">
        <f>'Table2(I)'!L10</f>
        <v>17.572557186831258</v>
      </c>
      <c r="E12" s="4388">
        <f>'Table2(I)'!M10</f>
        <v>244.977241284043</v>
      </c>
      <c r="F12" s="4388">
        <f>'Table2(I)'!K10</f>
        <v>7.4038640463231848</v>
      </c>
      <c r="G12" s="4423" t="s">
        <v>2146</v>
      </c>
      <c r="H12" s="4424" t="s">
        <v>2146</v>
      </c>
      <c r="I12" s="4425" t="s">
        <v>2146</v>
      </c>
    </row>
    <row r="13" spans="2:9" ht="18" customHeight="1" x14ac:dyDescent="0.2">
      <c r="B13" s="2393" t="s">
        <v>1552</v>
      </c>
      <c r="C13" s="4422">
        <f>Table3!D10</f>
        <v>2335.5175367420852</v>
      </c>
      <c r="D13" s="4388">
        <f>Table3!G10</f>
        <v>336.10064021503138</v>
      </c>
      <c r="E13" s="4388">
        <f>Table3!H10</f>
        <v>19.605870679210163</v>
      </c>
      <c r="F13" s="4388">
        <f>Table3!F10</f>
        <v>21.328273928506135</v>
      </c>
      <c r="G13" s="4426"/>
      <c r="H13" s="4424" t="s">
        <v>2154</v>
      </c>
      <c r="I13" s="4425" t="s">
        <v>2153</v>
      </c>
    </row>
    <row r="14" spans="2:9" ht="18" customHeight="1" x14ac:dyDescent="0.2">
      <c r="B14" s="2393" t="s">
        <v>1553</v>
      </c>
      <c r="C14" s="4422">
        <f>Table4!D10</f>
        <v>553.10963708031409</v>
      </c>
      <c r="D14" s="4388">
        <f>Table4!G10</f>
        <v>18887.967359157989</v>
      </c>
      <c r="E14" s="4423">
        <f>Table4!H10</f>
        <v>529.63437579114498</v>
      </c>
      <c r="F14" s="4423">
        <f>Table4!F10</f>
        <v>716.10322072399185</v>
      </c>
      <c r="G14" s="4426"/>
      <c r="H14" s="4427" t="s">
        <v>2154</v>
      </c>
      <c r="I14" s="4425" t="s">
        <v>2154</v>
      </c>
    </row>
    <row r="15" spans="2:9" ht="18" customHeight="1" x14ac:dyDescent="0.2">
      <c r="B15" s="2393" t="s">
        <v>1554</v>
      </c>
      <c r="C15" s="4422">
        <f>Table5!D10</f>
        <v>445.91806902446217</v>
      </c>
      <c r="D15" s="4388" t="str">
        <f>Table5!G10</f>
        <v>NO</v>
      </c>
      <c r="E15" s="4423">
        <f>Table5!H10</f>
        <v>238.59633263118354</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2018</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362300.19879301282</v>
      </c>
      <c r="D10" s="4193">
        <f>SUM(D11,D22,D30,D41,D50,D56)</f>
        <v>349825.36614013097</v>
      </c>
      <c r="E10" s="3840">
        <f>IF(D10="NO",IF(C10="NO","NA",-C10),IF(C10="NO",D10,D10-C10))</f>
        <v>-12474.832652881858</v>
      </c>
      <c r="F10" s="3838">
        <f>IF(E10="NA","NA",E10/C10*100)</f>
        <v>-3.4432309710127713</v>
      </c>
      <c r="G10" s="3841">
        <f>IF(E10="NA","NA",E10/Table8s2!$G$35*100)</f>
        <v>-2.22436213680434</v>
      </c>
      <c r="H10" s="3842">
        <f>IF(E10="NA","NA",E10/Table8s2!$G$34*100)</f>
        <v>-2.4259419017041517</v>
      </c>
      <c r="I10" s="4194">
        <f>SUM(I11,I22,I30,I41,I50,I56)</f>
        <v>136638.32202465419</v>
      </c>
      <c r="J10" s="4193">
        <f>SUM(J11,J22,J30,J41,J50,J56)</f>
        <v>133500.49685184553</v>
      </c>
      <c r="K10" s="3840">
        <f t="shared" ref="K10:K12" si="0">IF(J10="NO",IF(I10="NO","NA",-I10),IF(I10="NO",J10,J10-I10))</f>
        <v>-3137.8251728086616</v>
      </c>
      <c r="L10" s="3838">
        <f t="shared" ref="L10:L12" si="1">IF(K10="NA","NA",K10/I10*100)</f>
        <v>-2.2964459211102515</v>
      </c>
      <c r="M10" s="3841">
        <f>IF(K10="NA","NA",K10/Table8s2!$G$35*100)</f>
        <v>-0.5594992494504305</v>
      </c>
      <c r="N10" s="3842">
        <f>IF(K10="NA","NA",K10/Table8s2!$G$34*100)</f>
        <v>-0.61020310081515072</v>
      </c>
      <c r="O10" s="4194">
        <f>SUM(O11,O22,O30,O41,O50,O56)</f>
        <v>20806.975537885464</v>
      </c>
      <c r="P10" s="4193">
        <f>SUM(P11,P22,P30,P41,P50,P56)</f>
        <v>20646.912822890965</v>
      </c>
      <c r="Q10" s="3840">
        <f t="shared" ref="Q10:Q12" si="2">IF(P10="NO",IF(O10="NO","NA",-O10),IF(O10="NO",P10,P10-O10))</f>
        <v>-160.0627149944994</v>
      </c>
      <c r="R10" s="3838">
        <f t="shared" ref="R10:R12" si="3">IF(Q10="NA","NA",Q10/O10*100)</f>
        <v>-0.76927429795385815</v>
      </c>
      <c r="S10" s="3841">
        <f>IF(Q10="NA","NA",Q10/Table8s2!$G$35*100)</f>
        <v>-2.8540458429766526E-2</v>
      </c>
      <c r="T10" s="3842">
        <f>IF(Q10="NA","NA",Q10/Table8s2!$G$34*100)</f>
        <v>-3.1126898292778475E-2</v>
      </c>
    </row>
    <row r="11" spans="2:20" ht="18" customHeight="1" x14ac:dyDescent="0.2">
      <c r="B11" s="1405" t="s">
        <v>1476</v>
      </c>
      <c r="C11" s="3839">
        <f>SUM(C12,C18,C21)</f>
        <v>393737.93068071129</v>
      </c>
      <c r="D11" s="3839">
        <f>Summary2!C11</f>
        <v>392802.7484247142</v>
      </c>
      <c r="E11" s="3843">
        <f t="shared" ref="E11:E38" si="4">IF(D11="NO",IF(C11="NO","NA",-C11),IF(C11="NO",D11,D11-C11))</f>
        <v>-935.18225599708967</v>
      </c>
      <c r="F11" s="3839">
        <f t="shared" ref="F11:F38" si="5">IF(E11="NA","NA",E11/C11*100)</f>
        <v>-0.23751388503015339</v>
      </c>
      <c r="G11" s="3844">
        <f>IF(E11="NA","NA",E11/Table8s2!$G$35*100)</f>
        <v>-0.16675045342356865</v>
      </c>
      <c r="H11" s="3845">
        <f>IF(E11="NA","NA",E11/Table8s2!$G$34*100)</f>
        <v>-0.18186198433928155</v>
      </c>
      <c r="I11" s="3846">
        <f>SUM(I12,I18,I21)</f>
        <v>40050.236735815459</v>
      </c>
      <c r="J11" s="3839">
        <f>Summary2!D11</f>
        <v>40050.543649144805</v>
      </c>
      <c r="K11" s="3843">
        <f t="shared" si="0"/>
        <v>0.30691332934657112</v>
      </c>
      <c r="L11" s="3839">
        <f t="shared" si="1"/>
        <v>7.6632088686784167E-4</v>
      </c>
      <c r="M11" s="3844">
        <f>IF(K11="NA","NA",K11/Table8s2!$G$35*100)</f>
        <v>5.4725093961189376E-5</v>
      </c>
      <c r="N11" s="3845">
        <f>IF(K11="NA","NA",K11/Table8s2!$G$34*100)</f>
        <v>5.9684480471276792E-5</v>
      </c>
      <c r="O11" s="3846">
        <f>SUM(O12,O18,O21)</f>
        <v>2721.7367344968879</v>
      </c>
      <c r="P11" s="3839">
        <f>Summary2!E11</f>
        <v>2717.086743958504</v>
      </c>
      <c r="Q11" s="3843">
        <f t="shared" si="2"/>
        <v>-4.6499905383839177</v>
      </c>
      <c r="R11" s="3839">
        <f t="shared" si="3"/>
        <v>-0.17084644813170979</v>
      </c>
      <c r="S11" s="3844">
        <f>IF(Q11="NA","NA",Q11/Table8s2!$G$35*100)</f>
        <v>-8.2913039219729956E-4</v>
      </c>
      <c r="T11" s="3845">
        <f>IF(Q11="NA","NA",Q11/Table8s2!$G$34*100)</f>
        <v>-9.0426919570639832E-4</v>
      </c>
    </row>
    <row r="12" spans="2:20" ht="18" customHeight="1" x14ac:dyDescent="0.2">
      <c r="B12" s="620" t="s">
        <v>131</v>
      </c>
      <c r="C12" s="3839">
        <f>SUM(C13:C17)</f>
        <v>376812.30292481853</v>
      </c>
      <c r="D12" s="3839">
        <f>Summary2!C12</f>
        <v>375877.12066882144</v>
      </c>
      <c r="E12" s="3839">
        <f t="shared" si="4"/>
        <v>-935.18225599708967</v>
      </c>
      <c r="F12" s="3847">
        <f t="shared" si="5"/>
        <v>-0.24818251653096288</v>
      </c>
      <c r="G12" s="3844">
        <f>IF(E12="NA","NA",E12/Table8s2!$G$35*100)</f>
        <v>-0.16675045342356865</v>
      </c>
      <c r="H12" s="3845">
        <f>IF(E12="NA","NA",E12/Table8s2!$G$34*100)</f>
        <v>-0.18186198433928155</v>
      </c>
      <c r="I12" s="3846">
        <f>SUM(I13:I17)</f>
        <v>2528.9542357358837</v>
      </c>
      <c r="J12" s="3839">
        <f>Summary2!D12</f>
        <v>2528.8819564696228</v>
      </c>
      <c r="K12" s="3839">
        <f t="shared" si="0"/>
        <v>-7.2279266260920849E-2</v>
      </c>
      <c r="L12" s="3847">
        <f t="shared" si="1"/>
        <v>-2.8580693647818731E-3</v>
      </c>
      <c r="M12" s="3844">
        <f>IF(K12="NA","NA",K12/Table8s2!$G$35*100)</f>
        <v>-1.2887969531972074E-5</v>
      </c>
      <c r="N12" s="3845">
        <f>IF(K12="NA","NA",K12/Table8s2!$G$34*100)</f>
        <v>-1.4055924077369637E-5</v>
      </c>
      <c r="O12" s="3848">
        <f>SUM(O13:O17)</f>
        <v>2654.6583945491298</v>
      </c>
      <c r="P12" s="3847">
        <f>Summary2!E12</f>
        <v>2650.0084040107458</v>
      </c>
      <c r="Q12" s="3839">
        <f t="shared" si="2"/>
        <v>-4.6499905383839177</v>
      </c>
      <c r="R12" s="3847">
        <f t="shared" si="3"/>
        <v>-0.17516342396188708</v>
      </c>
      <c r="S12" s="3844">
        <f>IF(Q12="NA","NA",Q12/Table8s2!$G$35*100)</f>
        <v>-8.2913039219729956E-4</v>
      </c>
      <c r="T12" s="3845">
        <f>IF(Q12="NA","NA",Q12/Table8s2!$G$34*100)</f>
        <v>-9.0426919570639832E-4</v>
      </c>
    </row>
    <row r="13" spans="2:20" ht="18" customHeight="1" x14ac:dyDescent="0.2">
      <c r="B13" s="1392" t="s">
        <v>1478</v>
      </c>
      <c r="C13" s="3847">
        <v>212752.089627162</v>
      </c>
      <c r="D13" s="3839">
        <f>Summary2!C13</f>
        <v>212993.00937885189</v>
      </c>
      <c r="E13" s="3839">
        <f t="shared" si="4"/>
        <v>240.91975168988574</v>
      </c>
      <c r="F13" s="3847">
        <f t="shared" si="5"/>
        <v>0.11323966411426852</v>
      </c>
      <c r="G13" s="3844">
        <f>IF(E13="NA","NA",E13/Table8s2!$G$35*100)</f>
        <v>4.2957912829675246E-2</v>
      </c>
      <c r="H13" s="3845">
        <f>IF(E13="NA","NA",E13/Table8s2!$G$34*100)</f>
        <v>4.6850914704465854E-2</v>
      </c>
      <c r="I13" s="3846">
        <v>1067.2620229194581</v>
      </c>
      <c r="J13" s="3839">
        <f>Summary2!D13</f>
        <v>1067.7097557634652</v>
      </c>
      <c r="K13" s="3839">
        <f t="shared" ref="K13" si="6">IF(J13="NO",IF(I13="NO","NA",-I13),IF(I13="NO",J13,J13-I13))</f>
        <v>0.4477328440070778</v>
      </c>
      <c r="L13" s="3847">
        <f t="shared" ref="L13" si="7">IF(K13="NA","NA",K13/I13*100)</f>
        <v>4.195153902153477E-2</v>
      </c>
      <c r="M13" s="3844">
        <f>IF(K13="NA","NA",K13/Table8s2!$G$35*100)</f>
        <v>7.9834336325385221E-5</v>
      </c>
      <c r="N13" s="3845">
        <f>IF(K13="NA","NA",K13/Table8s2!$G$34*100)</f>
        <v>8.7069213453137384E-5</v>
      </c>
      <c r="O13" s="3848">
        <v>797.12225105848506</v>
      </c>
      <c r="P13" s="3847">
        <f>Summary2!E13</f>
        <v>798.43019982719454</v>
      </c>
      <c r="Q13" s="3839">
        <f t="shared" ref="Q13" si="8">IF(P13="NO",IF(O13="NO","NA",-O13),IF(O13="NO",P13,P13-O13))</f>
        <v>1.3079487687094797</v>
      </c>
      <c r="R13" s="3847">
        <f t="shared" ref="R13" si="9">IF(Q13="NA","NA",Q13/O13*100)</f>
        <v>0.16408383619610128</v>
      </c>
      <c r="S13" s="3844">
        <f>IF(Q13="NA","NA",Q13/Table8s2!$G$35*100)</f>
        <v>2.332176950947012E-4</v>
      </c>
      <c r="T13" s="3845">
        <f>IF(Q13="NA","NA",Q13/Table8s2!$G$34*100)</f>
        <v>2.5435272853633592E-4</v>
      </c>
    </row>
    <row r="14" spans="2:20" ht="18" customHeight="1" x14ac:dyDescent="0.2">
      <c r="B14" s="1392" t="s">
        <v>1517</v>
      </c>
      <c r="C14" s="3847">
        <v>41202.85425605515</v>
      </c>
      <c r="D14" s="3839">
        <f>Summary2!C14</f>
        <v>41202.854256055114</v>
      </c>
      <c r="E14" s="3839">
        <f t="shared" si="4"/>
        <v>-3.637978807091713E-11</v>
      </c>
      <c r="F14" s="3847">
        <f t="shared" si="5"/>
        <v>-8.8294339622286668E-14</v>
      </c>
      <c r="G14" s="3844">
        <f>IF(E14="NA","NA",E14/Table8s2!$G$35*100)</f>
        <v>-6.486806306874201E-15</v>
      </c>
      <c r="H14" s="3845">
        <f>IF(E14="NA","NA",E14/Table8s2!$G$34*100)</f>
        <v>-7.0746642229277938E-15</v>
      </c>
      <c r="I14" s="3846">
        <v>66.31980018748618</v>
      </c>
      <c r="J14" s="3839">
        <f>Summary2!D14</f>
        <v>66.31980018748618</v>
      </c>
      <c r="K14" s="3839">
        <f t="shared" ref="K14:K20" si="10">IF(J14="NO",IF(I14="NO","NA",-I14),IF(I14="NO",J14,J14-I14))</f>
        <v>0</v>
      </c>
      <c r="L14" s="3847">
        <f t="shared" ref="L14:L20" si="11">IF(K14="NA","NA",K14/I14*100)</f>
        <v>0</v>
      </c>
      <c r="M14" s="3844">
        <f>IF(K14="NA","NA",K14/Table8s2!$G$35*100)</f>
        <v>0</v>
      </c>
      <c r="N14" s="3845">
        <f>IF(K14="NA","NA",K14/Table8s2!$G$34*100)</f>
        <v>0</v>
      </c>
      <c r="O14" s="3848">
        <v>398.57247660147976</v>
      </c>
      <c r="P14" s="3847">
        <f>Summary2!E14</f>
        <v>398.57247660147982</v>
      </c>
      <c r="Q14" s="3839">
        <f t="shared" ref="Q14:Q20" si="12">IF(P14="NO",IF(O14="NO","NA",-O14),IF(O14="NO",P14,P14-O14))</f>
        <v>5.6843418860808015E-14</v>
      </c>
      <c r="R14" s="3847">
        <f t="shared" ref="R14:R20" si="13">IF(Q14="NA","NA",Q14/O14*100)</f>
        <v>1.4261752177545362E-14</v>
      </c>
      <c r="S14" s="3844">
        <f>IF(Q14="NA","NA",Q14/Table8s2!$G$35*100)</f>
        <v>1.0135634854490941E-17</v>
      </c>
      <c r="T14" s="3845">
        <f>IF(Q14="NA","NA",Q14/Table8s2!$G$34*100)</f>
        <v>1.105416284832468E-17</v>
      </c>
    </row>
    <row r="15" spans="2:20" ht="18" customHeight="1" x14ac:dyDescent="0.2">
      <c r="B15" s="1392" t="s">
        <v>1480</v>
      </c>
      <c r="C15" s="3847">
        <v>98510.311021874295</v>
      </c>
      <c r="D15" s="3839">
        <f>Summary2!C15</f>
        <v>98511.309671759809</v>
      </c>
      <c r="E15" s="3839">
        <f t="shared" si="4"/>
        <v>0.998649885514169</v>
      </c>
      <c r="F15" s="3847">
        <f t="shared" si="5"/>
        <v>1.0137516318392478E-3</v>
      </c>
      <c r="G15" s="3844">
        <f>IF(E15="NA","NA",E15/Table8s2!$G$35*100)</f>
        <v>1.780672378597834E-4</v>
      </c>
      <c r="H15" s="3845">
        <f>IF(E15="NA","NA",E15/Table8s2!$G$34*100)</f>
        <v>1.9420433682861528E-4</v>
      </c>
      <c r="I15" s="3846">
        <v>384.65782929897051</v>
      </c>
      <c r="J15" s="3839">
        <f>Summary2!D15</f>
        <v>384.72268563582327</v>
      </c>
      <c r="K15" s="3839">
        <f t="shared" si="10"/>
        <v>6.4856336852756158E-2</v>
      </c>
      <c r="L15" s="3847">
        <f t="shared" si="11"/>
        <v>1.6860786889728786E-2</v>
      </c>
      <c r="M15" s="3844">
        <f>IF(K15="NA","NA",K15/Table8s2!$G$35*100)</f>
        <v>1.1564402027771635E-5</v>
      </c>
      <c r="N15" s="3845">
        <f>IF(K15="NA","NA",K15/Table8s2!$G$34*100)</f>
        <v>1.2612410085180032E-5</v>
      </c>
      <c r="O15" s="3848">
        <v>1252.3003665649605</v>
      </c>
      <c r="P15" s="3847">
        <f>Summary2!E15</f>
        <v>1251.8376359914485</v>
      </c>
      <c r="Q15" s="3839">
        <f t="shared" si="12"/>
        <v>-0.4627305735120899</v>
      </c>
      <c r="R15" s="3847">
        <f t="shared" si="13"/>
        <v>-3.6950446224123717E-2</v>
      </c>
      <c r="S15" s="3844">
        <f>IF(Q15="NA","NA",Q15/Table8s2!$G$35*100)</f>
        <v>-8.2508551088600945E-5</v>
      </c>
      <c r="T15" s="3845">
        <f>IF(Q15="NA","NA",Q15/Table8s2!$G$34*100)</f>
        <v>-8.9985775257934699E-5</v>
      </c>
    </row>
    <row r="16" spans="2:20" ht="18" customHeight="1" x14ac:dyDescent="0.2">
      <c r="B16" s="1392" t="s">
        <v>1481</v>
      </c>
      <c r="C16" s="3847">
        <v>23426.520879077314</v>
      </c>
      <c r="D16" s="3839">
        <f>Summary2!C16</f>
        <v>22249.420221504901</v>
      </c>
      <c r="E16" s="3839">
        <f t="shared" si="4"/>
        <v>-1177.1006575724132</v>
      </c>
      <c r="F16" s="3847">
        <f t="shared" si="5"/>
        <v>-5.0246498984990335</v>
      </c>
      <c r="G16" s="3844">
        <f>IF(E16="NA","NA",E16/Table8s2!$G$35*100)</f>
        <v>-0.2098864334910901</v>
      </c>
      <c r="H16" s="3845">
        <f>IF(E16="NA","NA",E16/Table8s2!$G$34*100)</f>
        <v>-0.22890710338056117</v>
      </c>
      <c r="I16" s="3846">
        <v>1009.6805421378825</v>
      </c>
      <c r="J16" s="3839">
        <f>Summary2!D16</f>
        <v>1009.0956736907615</v>
      </c>
      <c r="K16" s="3839">
        <f t="shared" si="10"/>
        <v>-0.58486844712103903</v>
      </c>
      <c r="L16" s="3847">
        <f t="shared" si="11"/>
        <v>-5.7926088768893901E-2</v>
      </c>
      <c r="M16" s="3844">
        <f>IF(K16="NA","NA",K16/Table8s2!$G$35*100)</f>
        <v>-1.042867078851796E-4</v>
      </c>
      <c r="N16" s="3845">
        <f>IF(K16="NA","NA",K16/Table8s2!$G$34*100)</f>
        <v>-1.1373754761574233E-4</v>
      </c>
      <c r="O16" s="3848">
        <v>199.82526481400583</v>
      </c>
      <c r="P16" s="3847">
        <f>Summary2!E16</f>
        <v>194.3300560804235</v>
      </c>
      <c r="Q16" s="3839">
        <f t="shared" si="12"/>
        <v>-5.4952087335823308</v>
      </c>
      <c r="R16" s="3847">
        <f t="shared" si="13"/>
        <v>-2.7500069816983266</v>
      </c>
      <c r="S16" s="3844">
        <f>IF(Q16="NA","NA",Q16/Table8s2!$G$35*100)</f>
        <v>-9.7983953620358233E-4</v>
      </c>
      <c r="T16" s="3845">
        <f>IF(Q16="NA","NA",Q16/Table8s2!$G$34*100)</f>
        <v>-1.0686361489849986E-3</v>
      </c>
    </row>
    <row r="17" spans="2:20" ht="18" customHeight="1" x14ac:dyDescent="0.2">
      <c r="B17" s="1392" t="s">
        <v>1482</v>
      </c>
      <c r="C17" s="3847">
        <v>920.52714064979261</v>
      </c>
      <c r="D17" s="3839">
        <f>Summary2!C17</f>
        <v>920.52714064979261</v>
      </c>
      <c r="E17" s="3839">
        <f t="shared" si="4"/>
        <v>0</v>
      </c>
      <c r="F17" s="3847">
        <f t="shared" si="5"/>
        <v>0</v>
      </c>
      <c r="G17" s="3844">
        <f>IF(E17="NA","NA",E17/Table8s2!$G$35*100)</f>
        <v>0</v>
      </c>
      <c r="H17" s="3845">
        <f>IF(E17="NA","NA",E17/Table8s2!$G$34*100)</f>
        <v>0</v>
      </c>
      <c r="I17" s="3846">
        <v>1.0340411920867489</v>
      </c>
      <c r="J17" s="3839">
        <f>Summary2!D17</f>
        <v>1.0340411920867489</v>
      </c>
      <c r="K17" s="3839">
        <f t="shared" si="10"/>
        <v>0</v>
      </c>
      <c r="L17" s="3847">
        <f t="shared" si="11"/>
        <v>0</v>
      </c>
      <c r="M17" s="3844">
        <f>IF(K17="NA","NA",K17/Table8s2!$G$35*100)</f>
        <v>0</v>
      </c>
      <c r="N17" s="3845">
        <f>IF(K17="NA","NA",K17/Table8s2!$G$34*100)</f>
        <v>0</v>
      </c>
      <c r="O17" s="3848">
        <v>6.8380355101986892</v>
      </c>
      <c r="P17" s="3847">
        <f>Summary2!E17</f>
        <v>6.8380355101986865</v>
      </c>
      <c r="Q17" s="3839">
        <f t="shared" si="12"/>
        <v>-2.6645352591003757E-15</v>
      </c>
      <c r="R17" s="3847">
        <f t="shared" si="13"/>
        <v>-3.8966385230470287E-14</v>
      </c>
      <c r="S17" s="3844">
        <f>IF(Q17="NA","NA",Q17/Table8s2!$G$35*100)</f>
        <v>-4.7510788380426287E-19</v>
      </c>
      <c r="T17" s="3845">
        <f>IF(Q17="NA","NA",Q17/Table8s2!$G$34*100)</f>
        <v>-5.1816388351521929E-19</v>
      </c>
    </row>
    <row r="18" spans="2:20" ht="18" customHeight="1" x14ac:dyDescent="0.2">
      <c r="B18" s="620" t="s">
        <v>99</v>
      </c>
      <c r="C18" s="3847">
        <f>SUM(C19:C20)</f>
        <v>16925.627755892769</v>
      </c>
      <c r="D18" s="3839">
        <f>Summary2!C18</f>
        <v>16925.627755892769</v>
      </c>
      <c r="E18" s="3839">
        <f t="shared" si="4"/>
        <v>0</v>
      </c>
      <c r="F18" s="3847">
        <f t="shared" si="5"/>
        <v>0</v>
      </c>
      <c r="G18" s="3844">
        <f>IF(E18="NA","NA",E18/Table8s2!$G$35*100)</f>
        <v>0</v>
      </c>
      <c r="H18" s="3845">
        <f>IF(E18="NA","NA",E18/Table8s2!$G$34*100)</f>
        <v>0</v>
      </c>
      <c r="I18" s="3846">
        <f>SUM(I19:I20)</f>
        <v>37521.282500079578</v>
      </c>
      <c r="J18" s="3839">
        <f>Summary2!D18</f>
        <v>37521.661692675189</v>
      </c>
      <c r="K18" s="3839">
        <f t="shared" si="10"/>
        <v>0.37919259561022045</v>
      </c>
      <c r="L18" s="3847">
        <f t="shared" si="11"/>
        <v>1.0106067019681861E-3</v>
      </c>
      <c r="M18" s="3844">
        <f>IF(K18="NA","NA",K18/Table8s2!$G$35*100)</f>
        <v>6.7613063493647966E-5</v>
      </c>
      <c r="N18" s="3845">
        <f>IF(K18="NA","NA",K18/Table8s2!$G$34*100)</f>
        <v>7.3740404549177031E-5</v>
      </c>
      <c r="O18" s="3848">
        <f>SUM(O19:O20)</f>
        <v>67.078339947758423</v>
      </c>
      <c r="P18" s="3847">
        <f>Summary2!E18</f>
        <v>67.078339947758394</v>
      </c>
      <c r="Q18" s="3839">
        <f t="shared" si="12"/>
        <v>-2.8421709430404007E-14</v>
      </c>
      <c r="R18" s="3847">
        <f t="shared" si="13"/>
        <v>-4.2370919513719694E-14</v>
      </c>
      <c r="S18" s="3844">
        <f>IF(Q18="NA","NA",Q18/Table8s2!$G$35*100)</f>
        <v>-5.0678174272454703E-18</v>
      </c>
      <c r="T18" s="3845">
        <f>IF(Q18="NA","NA",Q18/Table8s2!$G$34*100)</f>
        <v>-5.5270814241623402E-18</v>
      </c>
    </row>
    <row r="19" spans="2:20" ht="18" customHeight="1" x14ac:dyDescent="0.2">
      <c r="B19" s="1392" t="s">
        <v>1483</v>
      </c>
      <c r="C19" s="3847">
        <v>2361.4971654210785</v>
      </c>
      <c r="D19" s="3839">
        <f>Summary2!C19</f>
        <v>2361.4971654210785</v>
      </c>
      <c r="E19" s="3839">
        <f t="shared" si="4"/>
        <v>0</v>
      </c>
      <c r="F19" s="3847">
        <f t="shared" si="5"/>
        <v>0</v>
      </c>
      <c r="G19" s="3844">
        <f>IF(E19="NA","NA",E19/Table8s2!$G$35*100)</f>
        <v>0</v>
      </c>
      <c r="H19" s="3845">
        <f>IF(E19="NA","NA",E19/Table8s2!$G$34*100)</f>
        <v>0</v>
      </c>
      <c r="I19" s="3846">
        <v>29850.421331296926</v>
      </c>
      <c r="J19" s="3839">
        <f>Summary2!D19</f>
        <v>29850.421331296937</v>
      </c>
      <c r="K19" s="3839">
        <f t="shared" si="10"/>
        <v>1.0913936421275139E-11</v>
      </c>
      <c r="L19" s="3847">
        <f t="shared" si="11"/>
        <v>3.6562085004248598E-14</v>
      </c>
      <c r="M19" s="3844">
        <f>IF(K19="NA","NA",K19/Table8s2!$G$35*100)</f>
        <v>1.9460418920622607E-15</v>
      </c>
      <c r="N19" s="3845">
        <f>IF(K19="NA","NA",K19/Table8s2!$G$34*100)</f>
        <v>2.1223992668783382E-15</v>
      </c>
      <c r="O19" s="3848">
        <v>0.41812707978055796</v>
      </c>
      <c r="P19" s="3847">
        <f>Summary2!E19</f>
        <v>0.41812707978055796</v>
      </c>
      <c r="Q19" s="3839">
        <f t="shared" si="12"/>
        <v>0</v>
      </c>
      <c r="R19" s="3847">
        <f t="shared" si="13"/>
        <v>0</v>
      </c>
      <c r="S19" s="3844">
        <f>IF(Q19="NA","NA",Q19/Table8s2!$G$35*100)</f>
        <v>0</v>
      </c>
      <c r="T19" s="3845">
        <f>IF(Q19="NA","NA",Q19/Table8s2!$G$34*100)</f>
        <v>0</v>
      </c>
    </row>
    <row r="20" spans="2:20" ht="18" customHeight="1" x14ac:dyDescent="0.2">
      <c r="B20" s="1393" t="s">
        <v>1484</v>
      </c>
      <c r="C20" s="3849">
        <v>14564.13059047169</v>
      </c>
      <c r="D20" s="3850">
        <f>Summary2!C20</f>
        <v>14564.13059047169</v>
      </c>
      <c r="E20" s="3850">
        <f t="shared" si="4"/>
        <v>0</v>
      </c>
      <c r="F20" s="3849">
        <f t="shared" si="5"/>
        <v>0</v>
      </c>
      <c r="G20" s="3851">
        <f>IF(E20="NA","NA",E20/Table8s2!$G$35*100)</f>
        <v>0</v>
      </c>
      <c r="H20" s="3852">
        <f>IF(E20="NA","NA",E20/Table8s2!$G$34*100)</f>
        <v>0</v>
      </c>
      <c r="I20" s="3853">
        <v>7670.8611687826542</v>
      </c>
      <c r="J20" s="3850">
        <f>Summary2!D20</f>
        <v>7671.2403613782535</v>
      </c>
      <c r="K20" s="3839">
        <f t="shared" si="10"/>
        <v>0.37919259559930651</v>
      </c>
      <c r="L20" s="3847">
        <f t="shared" si="11"/>
        <v>4.943285861338088E-3</v>
      </c>
      <c r="M20" s="3844">
        <f>IF(K20="NA","NA",K20/Table8s2!$G$35*100)</f>
        <v>6.7613063491701932E-5</v>
      </c>
      <c r="N20" s="3845">
        <f>IF(K20="NA","NA",K20/Table8s2!$G$34*100)</f>
        <v>7.3740404547054624E-5</v>
      </c>
      <c r="O20" s="3854">
        <v>66.660212867977862</v>
      </c>
      <c r="P20" s="3849">
        <f>Summary2!E20</f>
        <v>66.660212867977847</v>
      </c>
      <c r="Q20" s="3839">
        <f t="shared" si="12"/>
        <v>-1.4210854715202004E-14</v>
      </c>
      <c r="R20" s="3847">
        <f t="shared" si="13"/>
        <v>-2.1318345837489206E-14</v>
      </c>
      <c r="S20" s="3844">
        <f>IF(Q20="NA","NA",Q20/Table8s2!$G$35*100)</f>
        <v>-2.5339087136227352E-18</v>
      </c>
      <c r="T20" s="3845">
        <f>IF(Q20="NA","NA",Q20/Table8s2!$G$34*100)</f>
        <v>-2.7635407120811701E-18</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19839.768007422041</v>
      </c>
      <c r="D22" s="3839">
        <f>Summary2!C22</f>
        <v>19841.843270344536</v>
      </c>
      <c r="E22" s="3861">
        <f t="shared" si="4"/>
        <v>2.0752629224953125</v>
      </c>
      <c r="F22" s="3861">
        <f t="shared" si="5"/>
        <v>1.0460116880998601E-2</v>
      </c>
      <c r="G22" s="3862">
        <f>IF(E22="NA","NA",E22/Table8s2!$G$35*100)</f>
        <v>3.7003592730729752E-4</v>
      </c>
      <c r="H22" s="3863">
        <f>IF(E22="NA","NA",E22/Table8s2!$G$34*100)</f>
        <v>4.0356992521028826E-4</v>
      </c>
      <c r="I22" s="3839">
        <f>SUM(I23:I29)</f>
        <v>82.686402988600392</v>
      </c>
      <c r="J22" s="3839">
        <f>Summary2!D22</f>
        <v>82.686402988600392</v>
      </c>
      <c r="K22" s="3861">
        <f t="shared" ref="K22" si="14">IF(J22="NO",IF(I22="NO","NA",-I22),IF(I22="NO",J22,J22-I22))</f>
        <v>0</v>
      </c>
      <c r="L22" s="3861">
        <f t="shared" ref="L22" si="15">IF(K22="NA","NA",K22/I22*100)</f>
        <v>0</v>
      </c>
      <c r="M22" s="3862">
        <f>IF(K22="NA","NA",K22/Table8s2!$G$35*100)</f>
        <v>0</v>
      </c>
      <c r="N22" s="3863">
        <f>IF(K22="NA","NA",K22/Table8s2!$G$34*100)</f>
        <v>0</v>
      </c>
      <c r="O22" s="3839">
        <f>SUM(O23:O29)</f>
        <v>1632.5673880703198</v>
      </c>
      <c r="P22" s="3839">
        <f>Summary2!E22</f>
        <v>1632.5673880703198</v>
      </c>
      <c r="Q22" s="3861">
        <f t="shared" ref="Q22" si="16">IF(P22="NO",IF(O22="NO","NA",-O22),IF(O22="NO",P22,P22-O22))</f>
        <v>0</v>
      </c>
      <c r="R22" s="3864">
        <f t="shared" ref="R22" si="17">IF(Q22="NA","NA",Q22/O22*100)</f>
        <v>0</v>
      </c>
      <c r="S22" s="3865">
        <f>IF(Q22="NA","NA",Q22/Table8s2!$G$35*100)</f>
        <v>0</v>
      </c>
      <c r="T22" s="3866">
        <f>IF(Q22="NA","NA",Q22/Table8s2!$G$34*100)</f>
        <v>0</v>
      </c>
    </row>
    <row r="23" spans="2:20" ht="18" customHeight="1" x14ac:dyDescent="0.2">
      <c r="B23" s="1394" t="s">
        <v>1487</v>
      </c>
      <c r="C23" s="3839">
        <v>5522.1965747257855</v>
      </c>
      <c r="D23" s="3839">
        <f>Summary2!C23</f>
        <v>5522.0794493082831</v>
      </c>
      <c r="E23" s="3839">
        <f t="shared" si="4"/>
        <v>-0.11712541750239325</v>
      </c>
      <c r="F23" s="3847">
        <f t="shared" si="5"/>
        <v>-2.1209932663110477E-3</v>
      </c>
      <c r="G23" s="3844">
        <f>IF(E23="NA","NA",E23/Table8s2!$G$35*100)</f>
        <v>-2.0884395903261917E-5</v>
      </c>
      <c r="H23" s="3845">
        <f>IF(E23="NA","NA",E23/Table8s2!$G$34*100)</f>
        <v>-2.2777015610546766E-5</v>
      </c>
      <c r="I23" s="1925"/>
      <c r="J23" s="1925"/>
      <c r="K23" s="1925"/>
      <c r="L23" s="1925"/>
      <c r="M23" s="1925"/>
      <c r="N23" s="1925"/>
      <c r="O23" s="1925"/>
      <c r="P23" s="1925"/>
      <c r="Q23" s="1925"/>
      <c r="R23" s="1925"/>
      <c r="S23" s="1925"/>
      <c r="T23" s="1925"/>
    </row>
    <row r="24" spans="2:20" ht="18" customHeight="1" x14ac:dyDescent="0.2">
      <c r="B24" s="1394" t="s">
        <v>621</v>
      </c>
      <c r="C24" s="3839">
        <v>3267.9236320572509</v>
      </c>
      <c r="D24" s="3839">
        <f>Summary2!C24</f>
        <v>3267.9236320572513</v>
      </c>
      <c r="E24" s="3839">
        <f t="shared" si="4"/>
        <v>4.5474735088646412E-13</v>
      </c>
      <c r="F24" s="3847">
        <f t="shared" si="5"/>
        <v>1.3915482798482282E-14</v>
      </c>
      <c r="G24" s="3844">
        <f>IF(E24="NA","NA",E24/Table8s2!$G$35*100)</f>
        <v>8.1085078835927525E-17</v>
      </c>
      <c r="H24" s="3845">
        <f>IF(E24="NA","NA",E24/Table8s2!$G$34*100)</f>
        <v>8.8433302786597443E-17</v>
      </c>
      <c r="I24" s="3846">
        <v>12.140799999999999</v>
      </c>
      <c r="J24" s="3839">
        <f>Summary2!D24</f>
        <v>12.140799999999999</v>
      </c>
      <c r="K24" s="3839">
        <f t="shared" ref="K24" si="18">IF(J24="NO",IF(I24="NO","NA",-I24),IF(I24="NO",J24,J24-I24))</f>
        <v>0</v>
      </c>
      <c r="L24" s="3847">
        <f t="shared" ref="L24" si="19">IF(K24="NA","NA",K24/I24*100)</f>
        <v>0</v>
      </c>
      <c r="M24" s="3844">
        <f>IF(K24="NA","NA",K24/Table8s2!$G$35*100)</f>
        <v>0</v>
      </c>
      <c r="N24" s="3845">
        <f>IF(K24="NA","NA",K24/Table8s2!$G$34*100)</f>
        <v>0</v>
      </c>
      <c r="O24" s="3848">
        <v>1617.4267634912931</v>
      </c>
      <c r="P24" s="3847">
        <f>Summary2!E24</f>
        <v>1617.4267634912931</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10659.504142456715</v>
      </c>
      <c r="D25" s="3839">
        <f>Summary2!C25</f>
        <v>10659.504142456713</v>
      </c>
      <c r="E25" s="3839">
        <f t="shared" si="4"/>
        <v>-1.8189894035458565E-12</v>
      </c>
      <c r="F25" s="3847">
        <f t="shared" si="5"/>
        <v>-1.706448423150226E-14</v>
      </c>
      <c r="G25" s="3844">
        <f>IF(E25="NA","NA",E25/Table8s2!$G$35*100)</f>
        <v>-3.243403153437101E-16</v>
      </c>
      <c r="H25" s="3845">
        <f>IF(E25="NA","NA",E25/Table8s2!$G$34*100)</f>
        <v>-3.5373321114638977E-16</v>
      </c>
      <c r="I25" s="3846">
        <v>70.545602988600393</v>
      </c>
      <c r="J25" s="3839">
        <f>Summary2!D25</f>
        <v>70.545602988600393</v>
      </c>
      <c r="K25" s="3839">
        <f t="shared" ref="K25:K26" si="22">IF(J25="NO",IF(I25="NO","NA",-I25),IF(I25="NO",J25,J25-I25))</f>
        <v>0</v>
      </c>
      <c r="L25" s="3847">
        <f t="shared" ref="L25:L26" si="23">IF(K25="NA","NA",K25/I25*100)</f>
        <v>0</v>
      </c>
      <c r="M25" s="3844">
        <f>IF(K25="NA","NA",K25/Table8s2!$G$35*100)</f>
        <v>0</v>
      </c>
      <c r="N25" s="3845">
        <f>IF(K25="NA","NA",K25/Table8s2!$G$34*100)</f>
        <v>0</v>
      </c>
      <c r="O25" s="3848">
        <v>15.14062457902671</v>
      </c>
      <c r="P25" s="3847">
        <f>Summary2!E25</f>
        <v>15.140624579026712</v>
      </c>
      <c r="Q25" s="3839">
        <f t="shared" ref="Q25:Q29" si="24">IF(P25="NO",IF(O25="NO","NA",-O25),IF(O25="NO",P25,P25-O25))</f>
        <v>1.7763568394002505E-15</v>
      </c>
      <c r="R25" s="3847">
        <f t="shared" ref="R25:R29" si="25">IF(Q25="NA","NA",Q25/O25*100)</f>
        <v>1.1732388119978343E-14</v>
      </c>
      <c r="S25" s="3844">
        <f>IF(Q25="NA","NA",Q25/Table8s2!$G$35*100)</f>
        <v>3.167385892028419E-19</v>
      </c>
      <c r="T25" s="3845">
        <f>IF(Q25="NA","NA",Q25/Table8s2!$G$34*100)</f>
        <v>3.4544258901014626E-19</v>
      </c>
    </row>
    <row r="26" spans="2:20" ht="18" customHeight="1" x14ac:dyDescent="0.2">
      <c r="B26" s="1395" t="s">
        <v>1519</v>
      </c>
      <c r="C26" s="3839">
        <v>171.24639199999999</v>
      </c>
      <c r="D26" s="3839">
        <f>Summary2!C26</f>
        <v>173.43878034000002</v>
      </c>
      <c r="E26" s="3839">
        <f t="shared" si="4"/>
        <v>2.1923883400000364</v>
      </c>
      <c r="F26" s="3847">
        <f t="shared" si="5"/>
        <v>1.2802537410540227</v>
      </c>
      <c r="G26" s="3844">
        <f>IF(E26="NA","NA",E26/Table8s2!$G$35*100)</f>
        <v>3.9092032321097508E-4</v>
      </c>
      <c r="H26" s="3845">
        <f>IF(E26="NA","NA",E26/Table8s2!$G$34*100)</f>
        <v>4.2634694082128831E-4</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218.8972661822873</v>
      </c>
      <c r="D29" s="3855">
        <f>Summary2!C30</f>
        <v>218.8972661822873</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2674.7142496895085</v>
      </c>
      <c r="D30" s="3875">
        <f>Summary2!C31</f>
        <v>2674.7142496895085</v>
      </c>
      <c r="E30" s="3861">
        <f t="shared" si="4"/>
        <v>0</v>
      </c>
      <c r="F30" s="3876">
        <f t="shared" si="5"/>
        <v>0</v>
      </c>
      <c r="G30" s="3877">
        <f>IF(E30="NA","NA",E30/Table8s2!$G$35*100)</f>
        <v>0</v>
      </c>
      <c r="H30" s="3878">
        <f>IF(E30="NA","NA",E30/Table8s2!$G$34*100)</f>
        <v>0</v>
      </c>
      <c r="I30" s="3874">
        <f>SUM(I31:I40)</f>
        <v>65394.491028778379</v>
      </c>
      <c r="J30" s="3875">
        <f>Summary2!D31</f>
        <v>65394.491028778386</v>
      </c>
      <c r="K30" s="3861">
        <f t="shared" ref="K30" si="28">IF(J30="NO",IF(I30="NO","NA",-I30),IF(I30="NO",J30,J30-I30))</f>
        <v>7.2759576141834259E-12</v>
      </c>
      <c r="L30" s="3876">
        <f t="shared" ref="L30" si="29">IF(K30="NA","NA",K30/I30*100)</f>
        <v>1.1126254673320219E-14</v>
      </c>
      <c r="M30" s="3877">
        <f>IF(K30="NA","NA",K30/Table8s2!$G$35*100)</f>
        <v>1.2973612613748404E-15</v>
      </c>
      <c r="N30" s="3878">
        <f>IF(K30="NA","NA",K30/Table8s2!$G$34*100)</f>
        <v>1.4149328445855591E-15</v>
      </c>
      <c r="O30" s="3874">
        <f>SUM(O31:O40)</f>
        <v>12526.271589212623</v>
      </c>
      <c r="P30" s="3875">
        <f>Summary2!E31</f>
        <v>12511.272964022721</v>
      </c>
      <c r="Q30" s="3861">
        <f t="shared" ref="Q30" si="30">IF(P30="NO",IF(O30="NO","NA",-O30),IF(O30="NO",P30,P30-O30))</f>
        <v>-14.998625189902668</v>
      </c>
      <c r="R30" s="3880">
        <f t="shared" ref="R30" si="31">IF(Q30="NA","NA",Q30/O30*100)</f>
        <v>-0.11973734628921177</v>
      </c>
      <c r="S30" s="3881">
        <f>IF(Q30="NA","NA",Q30/Table8s2!$G$35*100)</f>
        <v>-2.6743744709739358E-3</v>
      </c>
      <c r="T30" s="3882">
        <f>IF(Q30="NA","NA",Q30/Table8s2!$G$34*100)</f>
        <v>-2.9167359858518543E-3</v>
      </c>
    </row>
    <row r="31" spans="2:20" ht="18" customHeight="1" x14ac:dyDescent="0.2">
      <c r="B31" s="620" t="s">
        <v>1492</v>
      </c>
      <c r="C31" s="3867"/>
      <c r="D31" s="3867"/>
      <c r="E31" s="3868"/>
      <c r="F31" s="3868"/>
      <c r="G31" s="3869"/>
      <c r="H31" s="3870"/>
      <c r="I31" s="3846">
        <v>57868.491608471784</v>
      </c>
      <c r="J31" s="3839">
        <f>Summary2!D32</f>
        <v>57868.491608471792</v>
      </c>
      <c r="K31" s="3883">
        <f t="shared" ref="K31:K33" si="32">IF(J31="NO",IF(I31="NO","NA",-I31),IF(I31="NO",J31,J31-I31))</f>
        <v>7.2759576141834259E-12</v>
      </c>
      <c r="L31" s="3883">
        <f t="shared" ref="L31:L33" si="33">IF(K31="NA","NA",K31/I31*100)</f>
        <v>1.2573262948361083E-14</v>
      </c>
      <c r="M31" s="3884">
        <f>IF(K31="NA","NA",K31/Table8s2!$G$35*100)</f>
        <v>1.2973612613748404E-15</v>
      </c>
      <c r="N31" s="3885">
        <f>IF(K31="NA","NA",K31/Table8s2!$G$34*100)</f>
        <v>1.4149328445855591E-15</v>
      </c>
      <c r="O31" s="3886"/>
      <c r="P31" s="3887"/>
      <c r="Q31" s="3868"/>
      <c r="R31" s="3888"/>
      <c r="S31" s="3889"/>
      <c r="T31" s="3890"/>
    </row>
    <row r="32" spans="2:20" ht="18" customHeight="1" x14ac:dyDescent="0.2">
      <c r="B32" s="620" t="s">
        <v>1493</v>
      </c>
      <c r="C32" s="3891"/>
      <c r="D32" s="3891"/>
      <c r="E32" s="3892"/>
      <c r="F32" s="3892"/>
      <c r="G32" s="3869"/>
      <c r="H32" s="3870"/>
      <c r="I32" s="3846">
        <v>7000.1802876171569</v>
      </c>
      <c r="J32" s="3847">
        <f>Summary2!D33</f>
        <v>7000.1802876171587</v>
      </c>
      <c r="K32" s="3893">
        <f t="shared" si="32"/>
        <v>1.8189894035458565E-12</v>
      </c>
      <c r="L32" s="3893">
        <f t="shared" si="33"/>
        <v>2.5984893657146592E-14</v>
      </c>
      <c r="M32" s="3884">
        <f>IF(K32="NA","NA",K32/Table8s2!$G$35*100)</f>
        <v>3.243403153437101E-16</v>
      </c>
      <c r="N32" s="3885">
        <f>IF(K32="NA","NA",K32/Table8s2!$G$34*100)</f>
        <v>3.5373321114638977E-16</v>
      </c>
      <c r="O32" s="3848">
        <v>526.59151047872479</v>
      </c>
      <c r="P32" s="3847">
        <f>Summary2!E33</f>
        <v>526.59151047872456</v>
      </c>
      <c r="Q32" s="3893">
        <f t="shared" ref="Q32" si="34">IF(P32="NO",IF(O32="NO","NA",-O32),IF(O32="NO",P32,P32-O32))</f>
        <v>-2.2737367544323206E-13</v>
      </c>
      <c r="R32" s="3894">
        <f t="shared" ref="R32" si="35">IF(Q32="NA","NA",Q32/O32*100)</f>
        <v>-4.3178378480983571E-14</v>
      </c>
      <c r="S32" s="3895">
        <f>IF(Q32="NA","NA",Q32/Table8s2!$G$35*100)</f>
        <v>-4.0542539417963763E-17</v>
      </c>
      <c r="T32" s="3896">
        <f>IF(Q32="NA","NA",Q32/Table8s2!$G$34*100)</f>
        <v>-4.4216651393298721E-17</v>
      </c>
    </row>
    <row r="33" spans="2:21" ht="18" customHeight="1" x14ac:dyDescent="0.2">
      <c r="B33" s="620" t="s">
        <v>1494</v>
      </c>
      <c r="C33" s="3891"/>
      <c r="D33" s="3891"/>
      <c r="E33" s="3892"/>
      <c r="F33" s="3892"/>
      <c r="G33" s="3897"/>
      <c r="H33" s="3898"/>
      <c r="I33" s="3848">
        <v>284.51610894531336</v>
      </c>
      <c r="J33" s="3847">
        <f>Summary2!D34</f>
        <v>284.51610894531336</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11901.852629331801</v>
      </c>
      <c r="P34" s="3847">
        <f>Summary2!E35</f>
        <v>11886.854004141902</v>
      </c>
      <c r="Q34" s="3893">
        <f t="shared" ref="Q34" si="36">IF(P34="NO",IF(O34="NO","NA",-O34),IF(O34="NO",P34,P34-O34))</f>
        <v>-14.99862518989903</v>
      </c>
      <c r="R34" s="3894">
        <f t="shared" ref="R34" si="37">IF(Q34="NA","NA",Q34/O34*100)</f>
        <v>-0.12601924807013082</v>
      </c>
      <c r="S34" s="3895">
        <f>IF(Q34="NA","NA",Q34/Table8s2!$G$35*100)</f>
        <v>-2.674374470973287E-3</v>
      </c>
      <c r="T34" s="3896">
        <f>IF(Q34="NA","NA",Q34/Table8s2!$G$34*100)</f>
        <v>-2.916735985851147E-3</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241.303023744125</v>
      </c>
      <c r="J36" s="3847">
        <f>Summary2!D37</f>
        <v>241.30302374412508</v>
      </c>
      <c r="K36" s="3893">
        <f t="shared" ref="K36" si="38">IF(J36="NO",IF(I36="NO","NA",-I36),IF(I36="NO",J36,J36-I36))</f>
        <v>8.5265128291212022E-14</v>
      </c>
      <c r="L36" s="3893">
        <f t="shared" ref="L36" si="39">IF(K36="NA","NA",K36/I36*100)</f>
        <v>3.5335292102110666E-14</v>
      </c>
      <c r="M36" s="3884">
        <f>IF(K36="NA","NA",K36/Table8s2!$G$35*100)</f>
        <v>1.5203452281736412E-17</v>
      </c>
      <c r="N36" s="3885">
        <f>IF(K36="NA","NA",K36/Table8s2!$G$34*100)</f>
        <v>1.6581244272487017E-17</v>
      </c>
      <c r="O36" s="3848">
        <v>97.827449402096263</v>
      </c>
      <c r="P36" s="3847">
        <f>Summary2!E37</f>
        <v>97.827449402096249</v>
      </c>
      <c r="Q36" s="3893">
        <f t="shared" ref="Q36" si="40">IF(P36="NO",IF(O36="NO","NA",-O36),IF(O36="NO",P36,P36-O36))</f>
        <v>-1.4210854715202004E-14</v>
      </c>
      <c r="R36" s="3894">
        <f t="shared" ref="R36" si="41">IF(Q36="NA","NA",Q36/O36*100)</f>
        <v>-1.4526449173576729E-14</v>
      </c>
      <c r="S36" s="3895">
        <f>IF(Q36="NA","NA",Q36/Table8s2!$G$35*100)</f>
        <v>-2.5339087136227352E-18</v>
      </c>
      <c r="T36" s="3896">
        <f>IF(Q36="NA","NA",Q36/Table8s2!$G$34*100)</f>
        <v>-2.7635407120811701E-18</v>
      </c>
    </row>
    <row r="37" spans="2:21" ht="18" customHeight="1" x14ac:dyDescent="0.2">
      <c r="B37" s="620" t="s">
        <v>721</v>
      </c>
      <c r="C37" s="3847">
        <v>1318.3866247265748</v>
      </c>
      <c r="D37" s="3847">
        <f>Summary2!C38</f>
        <v>1318.3866247265748</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1356.3276249629334</v>
      </c>
      <c r="D38" s="3847">
        <f>Summary2!C39</f>
        <v>1356.3276249629334</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-53983.628653392312</v>
      </c>
      <c r="D41" s="3839">
        <f>Summary2!C42</f>
        <v>-65525.354313199576</v>
      </c>
      <c r="E41" s="3929">
        <f t="shared" ref="E41" si="42">IF(D41="NO",IF(C41="NO","NA",-C41),IF(C41="NO",D41,D41-C41))</f>
        <v>-11541.725659807264</v>
      </c>
      <c r="F41" s="3929">
        <f t="shared" ref="F41" si="43">IF(E41="NA","NA",E41/C41*100)</f>
        <v>21.380047891763915</v>
      </c>
      <c r="G41" s="3869"/>
      <c r="H41" s="3929">
        <f>IF(E41="NA","NA",E41/Table8s2!$G$34*100)</f>
        <v>-2.2444834872900805</v>
      </c>
      <c r="I41" s="3846">
        <f>SUM(I42:I49)</f>
        <v>18146.524778338109</v>
      </c>
      <c r="J41" s="3839">
        <f>Summary2!D42</f>
        <v>15487.069838248794</v>
      </c>
      <c r="K41" s="3929">
        <f t="shared" ref="K41:K46" si="44">IF(J41="NO",IF(I41="NO","NA",-I41),IF(I41="NO",J41,J41-I41))</f>
        <v>-2659.4549400893156</v>
      </c>
      <c r="L41" s="3929">
        <f t="shared" ref="L41:L46" si="45">IF(K41="NA","NA",K41/I41*100)</f>
        <v>-14.655450410339524</v>
      </c>
      <c r="M41" s="3889"/>
      <c r="N41" s="3930">
        <f>IF(K41="NA","NA",K41/Table8s2!$G$34*100)</f>
        <v>-0.51717592968001436</v>
      </c>
      <c r="O41" s="3846">
        <f>SUM(O42:O49)</f>
        <v>3396.3552700281666</v>
      </c>
      <c r="P41" s="3839">
        <f>Summary2!E42</f>
        <v>3437.2268767921751</v>
      </c>
      <c r="Q41" s="3929">
        <f t="shared" ref="Q41" si="46">IF(P41="NO",IF(O41="NO","NA",-O41),IF(O41="NO",P41,P41-O41))</f>
        <v>40.871606764008447</v>
      </c>
      <c r="R41" s="3929">
        <f t="shared" ref="R41" si="47">IF(Q41="NA","NA",Q41/O41*100)</f>
        <v>1.2033960971247124</v>
      </c>
      <c r="S41" s="3889"/>
      <c r="T41" s="3930">
        <f>IF(Q41="NA","NA",Q41/Table8s2!$G$34*100)</f>
        <v>7.9481742318905906E-3</v>
      </c>
      <c r="U41" s="713"/>
    </row>
    <row r="42" spans="2:21" ht="18" customHeight="1" x14ac:dyDescent="0.2">
      <c r="B42" s="620" t="s">
        <v>981</v>
      </c>
      <c r="C42" s="3847">
        <v>-83559.900009680932</v>
      </c>
      <c r="D42" s="3847">
        <f>Summary2!C43</f>
        <v>-92396.129653850308</v>
      </c>
      <c r="E42" s="3931">
        <f t="shared" ref="E42:E50" si="48">IF(D42="NO",IF(C42="NO","NA",-C42),IF(C42="NO",D42,D42-C42))</f>
        <v>-8836.2296441693761</v>
      </c>
      <c r="F42" s="3931">
        <f t="shared" ref="F42:F50" si="49">IF(E42="NA","NA",E42/C42*100)</f>
        <v>10.574725009419165</v>
      </c>
      <c r="G42" s="3889"/>
      <c r="H42" s="3931">
        <f>IF(E42="NA","NA",E42/Table8s2!$G$34*100)</f>
        <v>-1.718354092863827</v>
      </c>
      <c r="I42" s="3848">
        <v>6771.6683548543551</v>
      </c>
      <c r="J42" s="3847">
        <f>Summary2!D43</f>
        <v>6432.732002267453</v>
      </c>
      <c r="K42" s="3931">
        <f t="shared" si="44"/>
        <v>-338.9363525869021</v>
      </c>
      <c r="L42" s="3931">
        <f t="shared" si="45"/>
        <v>-5.0052119333920322</v>
      </c>
      <c r="M42" s="3889"/>
      <c r="N42" s="3932">
        <f>IF(K42="NA","NA",K42/Table8s2!$G$34*100)</f>
        <v>-6.5911898189783685E-2</v>
      </c>
      <c r="O42" s="3848">
        <v>1234.6756866141504</v>
      </c>
      <c r="P42" s="3847">
        <f>Summary2!E43</f>
        <v>1189.7534940200228</v>
      </c>
      <c r="Q42" s="3931">
        <f t="shared" ref="Q42:Q46" si="50">IF(P42="NO",IF(O42="NO","NA",-O42),IF(O42="NO",P42,P42-O42))</f>
        <v>-44.922192594127637</v>
      </c>
      <c r="R42" s="3931">
        <f t="shared" ref="R42:R46" si="51">IF(Q42="NA","NA",Q42/O42*100)</f>
        <v>-3.6383799471517668</v>
      </c>
      <c r="S42" s="3889"/>
      <c r="T42" s="3932">
        <f>IF(Q42="NA","NA",Q42/Table8s2!$G$34*100)</f>
        <v>-8.7358790584932296E-3</v>
      </c>
      <c r="U42" s="713"/>
    </row>
    <row r="43" spans="2:21" ht="18" customHeight="1" x14ac:dyDescent="0.2">
      <c r="B43" s="620" t="s">
        <v>984</v>
      </c>
      <c r="C43" s="3847">
        <v>-1809.6200203561498</v>
      </c>
      <c r="D43" s="3847">
        <f>Summary2!C44</f>
        <v>-2908.4745050085494</v>
      </c>
      <c r="E43" s="3931">
        <f t="shared" si="48"/>
        <v>-1098.8544846523996</v>
      </c>
      <c r="F43" s="3931">
        <f t="shared" si="49"/>
        <v>60.722940301916807</v>
      </c>
      <c r="G43" s="3889"/>
      <c r="H43" s="3931">
        <f>IF(E43="NA","NA",E43/Table8s2!$G$34*100)</f>
        <v>-0.21369081352589939</v>
      </c>
      <c r="I43" s="3848">
        <v>22.367341877626171</v>
      </c>
      <c r="J43" s="3847">
        <f>Summary2!D44</f>
        <v>22.675161600000003</v>
      </c>
      <c r="K43" s="3931">
        <f t="shared" si="44"/>
        <v>0.30781972237383215</v>
      </c>
      <c r="L43" s="3931">
        <f t="shared" si="45"/>
        <v>1.3762016249313074</v>
      </c>
      <c r="M43" s="3889"/>
      <c r="N43" s="3932">
        <f>IF(K43="NA","NA",K43/Table8s2!$G$34*100)</f>
        <v>5.9860743903855751E-5</v>
      </c>
      <c r="O43" s="3848">
        <v>20.550718904164864</v>
      </c>
      <c r="P43" s="3847">
        <f>Summary2!E44</f>
        <v>20.467141010947621</v>
      </c>
      <c r="Q43" s="3931">
        <f t="shared" si="50"/>
        <v>-8.3577893217242405E-2</v>
      </c>
      <c r="R43" s="3931">
        <f t="shared" si="51"/>
        <v>-0.40669084914739545</v>
      </c>
      <c r="S43" s="3889"/>
      <c r="T43" s="3932">
        <f>IF(Q43="NA","NA",Q43/Table8s2!$G$34*100)</f>
        <v>-1.625313291597738E-5</v>
      </c>
      <c r="U43" s="713"/>
    </row>
    <row r="44" spans="2:21" ht="18" customHeight="1" x14ac:dyDescent="0.2">
      <c r="B44" s="620" t="s">
        <v>987</v>
      </c>
      <c r="C44" s="3847">
        <v>33699.79398992889</v>
      </c>
      <c r="D44" s="3847">
        <f>Summary2!C45</f>
        <v>32004.618977773825</v>
      </c>
      <c r="E44" s="3931">
        <f t="shared" si="48"/>
        <v>-1695.1750121550649</v>
      </c>
      <c r="F44" s="3931">
        <f t="shared" si="49"/>
        <v>-5.030223664458199</v>
      </c>
      <c r="G44" s="3889"/>
      <c r="H44" s="3931">
        <f>IF(E44="NA","NA",E44/Table8s2!$G$34*100)</f>
        <v>-0.32965541159053513</v>
      </c>
      <c r="I44" s="3848">
        <v>6229.3194544836351</v>
      </c>
      <c r="J44" s="3847">
        <f>Summary2!D45</f>
        <v>6465.4116682682525</v>
      </c>
      <c r="K44" s="3931">
        <f t="shared" si="44"/>
        <v>236.09221378461734</v>
      </c>
      <c r="L44" s="3931">
        <f t="shared" si="45"/>
        <v>3.7900161568160846</v>
      </c>
      <c r="M44" s="3889"/>
      <c r="N44" s="3932">
        <f>IF(K44="NA","NA",K44/Table8s2!$G$34*100)</f>
        <v>4.5912118424601515E-2</v>
      </c>
      <c r="O44" s="3848">
        <v>2003.3928107098086</v>
      </c>
      <c r="P44" s="3847">
        <f>Summary2!E45</f>
        <v>2087.7070244647757</v>
      </c>
      <c r="Q44" s="3931">
        <f t="shared" si="50"/>
        <v>84.314213754967113</v>
      </c>
      <c r="R44" s="3931">
        <f t="shared" si="51"/>
        <v>4.2085712449519228</v>
      </c>
      <c r="S44" s="3889"/>
      <c r="T44" s="3932">
        <f>IF(Q44="NA","NA",Q44/Table8s2!$G$34*100)</f>
        <v>1.6396322880544885E-2</v>
      </c>
      <c r="U44" s="713"/>
    </row>
    <row r="45" spans="2:21" ht="18" customHeight="1" x14ac:dyDescent="0.2">
      <c r="B45" s="620" t="s">
        <v>1525</v>
      </c>
      <c r="C45" s="3847">
        <v>-660.45071748794476</v>
      </c>
      <c r="D45" s="3847">
        <f>Summary2!C46</f>
        <v>-689.68753926071963</v>
      </c>
      <c r="E45" s="3931">
        <f t="shared" si="48"/>
        <v>-29.236821772774874</v>
      </c>
      <c r="F45" s="3931">
        <f t="shared" si="49"/>
        <v>4.4267983967037683</v>
      </c>
      <c r="G45" s="3889"/>
      <c r="H45" s="3931">
        <f>IF(E45="NA","NA",E45/Table8s2!$G$34*100)</f>
        <v>-5.6855937858890431E-3</v>
      </c>
      <c r="I45" s="3848">
        <v>5097.0384656765118</v>
      </c>
      <c r="J45" s="3847">
        <f>Summary2!D46</f>
        <v>2538.7624429130856</v>
      </c>
      <c r="K45" s="3931">
        <f t="shared" si="44"/>
        <v>-2558.2760227634262</v>
      </c>
      <c r="L45" s="3931">
        <f t="shared" si="45"/>
        <v>-50.19142076307395</v>
      </c>
      <c r="M45" s="3889"/>
      <c r="N45" s="3932">
        <f>IF(K45="NA","NA",K45/Table8s2!$G$34*100)</f>
        <v>-0.49749998035549725</v>
      </c>
      <c r="O45" s="3848">
        <v>71.411716627850495</v>
      </c>
      <c r="P45" s="3847">
        <f>Summary2!E46</f>
        <v>72.645640975743987</v>
      </c>
      <c r="Q45" s="3931">
        <f t="shared" si="50"/>
        <v>1.2339243478934918</v>
      </c>
      <c r="R45" s="3931">
        <f t="shared" si="51"/>
        <v>1.7279018152215411</v>
      </c>
      <c r="S45" s="3889"/>
      <c r="T45" s="3932">
        <f>IF(Q45="NA","NA",Q45/Table8s2!$G$34*100)</f>
        <v>2.399574296811324E-4</v>
      </c>
      <c r="U45" s="713"/>
    </row>
    <row r="46" spans="2:21" ht="18" customHeight="1" x14ac:dyDescent="0.2">
      <c r="B46" s="620" t="s">
        <v>1526</v>
      </c>
      <c r="C46" s="3847">
        <v>3566.3270427791913</v>
      </c>
      <c r="D46" s="3847">
        <f>Summary2!C47</f>
        <v>3625.8625635434787</v>
      </c>
      <c r="E46" s="3931">
        <f t="shared" si="48"/>
        <v>59.535520764287412</v>
      </c>
      <c r="F46" s="3931">
        <f t="shared" si="49"/>
        <v>1.66937916938465</v>
      </c>
      <c r="G46" s="3889"/>
      <c r="H46" s="3931">
        <f>IF(E46="NA","NA",E46/Table8s2!$G$34*100)</f>
        <v>1.157768753142329E-2</v>
      </c>
      <c r="I46" s="3848">
        <v>26.131161445980979</v>
      </c>
      <c r="J46" s="3847">
        <f>Summary2!D47</f>
        <v>27.488563200000002</v>
      </c>
      <c r="K46" s="3931">
        <f t="shared" si="44"/>
        <v>1.3574017540190226</v>
      </c>
      <c r="L46" s="3931">
        <f t="shared" si="45"/>
        <v>5.194571074940848</v>
      </c>
      <c r="M46" s="3889"/>
      <c r="N46" s="3932">
        <f>IF(K46="NA","NA",K46/Table8s2!$G$34*100)</f>
        <v>2.6396969676068042E-4</v>
      </c>
      <c r="O46" s="3848">
        <v>10.52529775974943</v>
      </c>
      <c r="P46" s="3847">
        <f>Summary2!E47</f>
        <v>10.854536908241865</v>
      </c>
      <c r="Q46" s="3931">
        <f t="shared" si="50"/>
        <v>0.32923914849243552</v>
      </c>
      <c r="R46" s="3931">
        <f t="shared" si="51"/>
        <v>3.1280744355898724</v>
      </c>
      <c r="S46" s="3889"/>
      <c r="T46" s="3932">
        <f>IF(Q46="NA","NA",Q46/Table8s2!$G$34*100)</f>
        <v>6.402611307372371E-5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-5219.7789385753713</v>
      </c>
      <c r="D48" s="3847">
        <f>Summary2!C49</f>
        <v>-5161.5441563973091</v>
      </c>
      <c r="E48" s="3931">
        <f t="shared" si="48"/>
        <v>58.234782178062233</v>
      </c>
      <c r="F48" s="3931">
        <f t="shared" si="49"/>
        <v>-1.115656100830128</v>
      </c>
      <c r="G48" s="3889"/>
      <c r="H48" s="3931">
        <f>IF(E48="NA","NA",E48/Table8s2!$G$34*100)</f>
        <v>1.1324736944646632E-2</v>
      </c>
      <c r="I48" s="3913"/>
      <c r="J48" s="3910"/>
      <c r="K48" s="3918"/>
      <c r="L48" s="3918"/>
      <c r="M48" s="3918"/>
      <c r="N48" s="3905"/>
      <c r="O48" s="3913"/>
      <c r="P48" s="3910"/>
      <c r="Q48" s="3918"/>
      <c r="R48" s="3918"/>
      <c r="S48" s="3918"/>
      <c r="T48" s="3905"/>
      <c r="U48" s="713"/>
    </row>
    <row r="49" spans="2:21" ht="18" customHeight="1" thickBot="1" x14ac:dyDescent="0.25">
      <c r="B49" s="1552" t="s">
        <v>1529</v>
      </c>
      <c r="C49" s="3855" t="s">
        <v>2146</v>
      </c>
      <c r="D49" s="3855" t="str">
        <f>Summary2!C50</f>
        <v>NO</v>
      </c>
      <c r="E49" s="3933" t="str">
        <f t="shared" si="48"/>
        <v>NA</v>
      </c>
      <c r="F49" s="3933" t="str">
        <f t="shared" si="49"/>
        <v>NA</v>
      </c>
      <c r="G49" s="3934"/>
      <c r="H49" s="3933" t="str">
        <f>IF(E49="NA","NA",E49/Table8s2!$G$34*100)</f>
        <v>NA</v>
      </c>
      <c r="I49" s="3935" t="s">
        <v>2146</v>
      </c>
      <c r="J49" s="3936" t="str">
        <f>Summary2!D50</f>
        <v>NO</v>
      </c>
      <c r="K49" s="3937" t="s">
        <v>2147</v>
      </c>
      <c r="L49" s="3937" t="s">
        <v>2147</v>
      </c>
      <c r="M49" s="3938"/>
      <c r="N49" s="3937" t="s">
        <v>2147</v>
      </c>
      <c r="O49" s="3873">
        <v>55.799039412442866</v>
      </c>
      <c r="P49" s="3855">
        <f>Summary2!E50</f>
        <v>55.799039412442866</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31.414508582309281</v>
      </c>
      <c r="D50" s="3839">
        <f>Summary2!C51</f>
        <v>31.414508582309281</v>
      </c>
      <c r="E50" s="3839">
        <f t="shared" si="48"/>
        <v>0</v>
      </c>
      <c r="F50" s="3839">
        <f t="shared" si="49"/>
        <v>0</v>
      </c>
      <c r="G50" s="3844">
        <f>IF(E50="NA","NA",E50/Table8s2!$G$35*100)</f>
        <v>0</v>
      </c>
      <c r="H50" s="3845">
        <f>IF(E50="NA","NA",E50/Table8s2!$G$34*100)</f>
        <v>0</v>
      </c>
      <c r="I50" s="3839">
        <f>SUM(I51:I55)</f>
        <v>12964.383078733641</v>
      </c>
      <c r="J50" s="3839">
        <f>Summary2!D51</f>
        <v>12485.705932684941</v>
      </c>
      <c r="K50" s="3839">
        <f t="shared" ref="K50" si="54">IF(J50="NO",IF(I50="NO","NA",-I50),IF(I50="NO",J50,J50-I50))</f>
        <v>-478.6771460486998</v>
      </c>
      <c r="L50" s="3839">
        <f t="shared" ref="L50" si="55">IF(K50="NA","NA",K50/I50*100)</f>
        <v>-3.6922477771727253</v>
      </c>
      <c r="M50" s="3844">
        <f>IF(K50="NA","NA",K50/Table8s2!$G$35*100)</f>
        <v>-8.5351952130461387E-2</v>
      </c>
      <c r="N50" s="3845">
        <f>IF(K50="NA","NA",K50/Table8s2!$G$34*100)</f>
        <v>-9.3086855615609046E-2</v>
      </c>
      <c r="O50" s="3839">
        <f>SUM(O51:O55)</f>
        <v>530.04455607746922</v>
      </c>
      <c r="P50" s="3839">
        <f>Summary2!E51</f>
        <v>348.75885004724734</v>
      </c>
      <c r="Q50" s="3839">
        <f t="shared" si="52"/>
        <v>-181.28570603022189</v>
      </c>
      <c r="R50" s="3839">
        <f t="shared" si="53"/>
        <v>-34.201974900337603</v>
      </c>
      <c r="S50" s="3844">
        <f>IF(Q50="NA","NA",Q50/Table8s2!$G$35*100)</f>
        <v>-3.2324686964382857E-2</v>
      </c>
      <c r="T50" s="3845">
        <f>IF(Q50="NA","NA",Q50/Table8s2!$G$34*100)</f>
        <v>-3.5254067343110936E-2</v>
      </c>
    </row>
    <row r="51" spans="2:21" ht="18" customHeight="1" x14ac:dyDescent="0.2">
      <c r="B51" s="620" t="s">
        <v>1530</v>
      </c>
      <c r="C51" s="3918"/>
      <c r="D51" s="3918"/>
      <c r="E51" s="3888"/>
      <c r="F51" s="3903"/>
      <c r="G51" s="3904"/>
      <c r="H51" s="3905"/>
      <c r="I51" s="3839">
        <v>10108.1763084087</v>
      </c>
      <c r="J51" s="3839">
        <f>Summary2!D52</f>
        <v>9629.4991623599999</v>
      </c>
      <c r="K51" s="3839">
        <f t="shared" ref="K51:K52" si="56">IF(J51="NO",IF(I51="NO","NA",-I51),IF(I51="NO",J51,J51-I51))</f>
        <v>-478.6771460486998</v>
      </c>
      <c r="L51" s="3839">
        <f t="shared" ref="L51:L52" si="57">IF(K51="NA","NA",K51/I51*100)</f>
        <v>-4.735544092661919</v>
      </c>
      <c r="M51" s="3844">
        <f>IF(K51="NA","NA",K51/Table8s2!$G$35*100)</f>
        <v>-8.5351952130461387E-2</v>
      </c>
      <c r="N51" s="3845">
        <f>IF(K51="NA","NA",K51/Table8s2!$G$34*100)</f>
        <v>-9.3086855615609046E-2</v>
      </c>
      <c r="O51" s="3886"/>
      <c r="P51" s="3887"/>
      <c r="Q51" s="3940"/>
      <c r="R51" s="3941"/>
      <c r="S51" s="3942"/>
      <c r="T51" s="3943"/>
    </row>
    <row r="52" spans="2:21" ht="18" customHeight="1" x14ac:dyDescent="0.2">
      <c r="B52" s="1396" t="s">
        <v>1531</v>
      </c>
      <c r="C52" s="3918"/>
      <c r="D52" s="3918"/>
      <c r="E52" s="3888"/>
      <c r="F52" s="3903"/>
      <c r="G52" s="3904"/>
      <c r="H52" s="3905"/>
      <c r="I52" s="3849">
        <v>124.77986545023235</v>
      </c>
      <c r="J52" s="3847">
        <f>Summary2!D53</f>
        <v>124.77986545023235</v>
      </c>
      <c r="K52" s="3839">
        <f t="shared" si="56"/>
        <v>0</v>
      </c>
      <c r="L52" s="3839">
        <f t="shared" si="57"/>
        <v>0</v>
      </c>
      <c r="M52" s="3844">
        <f>IF(K52="NA","NA",K52/Table8s2!$G$35*100)</f>
        <v>0</v>
      </c>
      <c r="N52" s="3845">
        <f>IF(K52="NA","NA",K52/Table8s2!$G$34*100)</f>
        <v>0</v>
      </c>
      <c r="O52" s="3839">
        <v>151.16189414542436</v>
      </c>
      <c r="P52" s="3839">
        <f>Summary2!E53</f>
        <v>151.16189414542436</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31.414508582309281</v>
      </c>
      <c r="D53" s="3839">
        <f>Summary2!C54</f>
        <v>31.414508582309281</v>
      </c>
      <c r="E53" s="3839">
        <f t="shared" ref="E53" si="60">IF(D53="NO",IF(C53="NO","NA",-C53),IF(C53="NO",D53,D53-C53))</f>
        <v>0</v>
      </c>
      <c r="F53" s="3839">
        <f t="shared" ref="F53" si="61">IF(E53="NA","NA",E53/C53*100)</f>
        <v>0</v>
      </c>
      <c r="G53" s="3844">
        <f>IF(E53="NA","NA",E53/Table8s2!$G$35*100)</f>
        <v>0</v>
      </c>
      <c r="H53" s="3845">
        <f>IF(E53="NA","NA",E53/Table8s2!$G$34*100)</f>
        <v>0</v>
      </c>
      <c r="I53" s="3849" t="s">
        <v>2146</v>
      </c>
      <c r="J53" s="3847" t="str">
        <f>Summary2!D54</f>
        <v>NO,NE</v>
      </c>
      <c r="K53" s="3839" t="s">
        <v>2147</v>
      </c>
      <c r="L53" s="3944" t="s">
        <v>2147</v>
      </c>
      <c r="M53" s="3895" t="s">
        <v>2147</v>
      </c>
      <c r="N53" s="3896" t="s">
        <v>2147</v>
      </c>
      <c r="O53" s="3839" t="s">
        <v>2146</v>
      </c>
      <c r="P53" s="3839" t="str">
        <f>Summary2!E54</f>
        <v>NO,NE</v>
      </c>
      <c r="Q53" s="3839" t="s">
        <v>2147</v>
      </c>
      <c r="R53" s="3839" t="s">
        <v>2147</v>
      </c>
      <c r="S53" s="3844" t="s">
        <v>2147</v>
      </c>
      <c r="T53" s="3845" t="s">
        <v>2147</v>
      </c>
    </row>
    <row r="54" spans="2:21" ht="18" customHeight="1" x14ac:dyDescent="0.2">
      <c r="B54" s="620" t="s">
        <v>1533</v>
      </c>
      <c r="C54" s="3945"/>
      <c r="D54" s="3946"/>
      <c r="E54" s="3947"/>
      <c r="F54" s="3946"/>
      <c r="G54" s="3948"/>
      <c r="H54" s="3949"/>
      <c r="I54" s="3847">
        <v>2731.4269048747074</v>
      </c>
      <c r="J54" s="3847">
        <f>Summary2!D55</f>
        <v>2731.4269048747065</v>
      </c>
      <c r="K54" s="3839">
        <f t="shared" ref="K54" si="62">IF(J54="NO",IF(I54="NO","NA",-I54),IF(I54="NO",J54,J54-I54))</f>
        <v>-9.0949470177292824E-13</v>
      </c>
      <c r="L54" s="3839">
        <f t="shared" ref="L54" si="63">IF(K54="NA","NA",K54/I54*100)</f>
        <v>-3.3297420485599541E-14</v>
      </c>
      <c r="M54" s="3844">
        <f>IF(K54="NA","NA",K54/Table8s2!$G$35*100)</f>
        <v>-1.6217015767185505E-16</v>
      </c>
      <c r="N54" s="3845">
        <f>IF(K54="NA","NA",K54/Table8s2!$G$34*100)</f>
        <v>-1.7686660557319489E-16</v>
      </c>
      <c r="O54" s="3839">
        <v>378.88266193204493</v>
      </c>
      <c r="P54" s="3839">
        <f>Summary2!E55</f>
        <v>197.59695590182292</v>
      </c>
      <c r="Q54" s="3839">
        <f t="shared" ref="Q54" si="64">IF(P54="NO",IF(O54="NO","NA",-O54),IF(O54="NO",P54,P54-O54))</f>
        <v>-181.285706030222</v>
      </c>
      <c r="R54" s="3839">
        <f t="shared" ref="R54" si="65">IF(Q54="NA","NA",Q54/O54*100)</f>
        <v>-47.847453643243455</v>
      </c>
      <c r="S54" s="3844">
        <f>IF(Q54="NA","NA",Q54/Table8s2!$G$35*100)</f>
        <v>-3.2324686964382877E-2</v>
      </c>
      <c r="T54" s="3845">
        <f>IF(Q54="NA","NA",Q54/Table8s2!$G$34*100)</f>
        <v>-3.5254067343110956E-2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16922.532561538617</v>
      </c>
      <c r="D59" s="3847">
        <f>Summary2!C60</f>
        <v>16922.532561538646</v>
      </c>
      <c r="E59" s="3861">
        <f t="shared" ref="E59" si="66">IF(D59="NO",IF(C59="NO","NA",-C59),IF(C59="NO",D59,D59-C59))</f>
        <v>2.9103830456733704E-11</v>
      </c>
      <c r="F59" s="3861">
        <f t="shared" ref="F59" si="67">IF(E59="NA","NA",E59/C59*100)</f>
        <v>1.7198271210823748E-13</v>
      </c>
      <c r="G59" s="3862">
        <f>IF(E59="NA","NA",E59/Table8s2!$G$35*100)</f>
        <v>5.1894450454993616E-15</v>
      </c>
      <c r="H59" s="3863">
        <f>IF(E59="NA","NA",E59/Table8s2!$G$34*100)</f>
        <v>5.6597313783422363E-15</v>
      </c>
      <c r="I59" s="3847">
        <v>7.6375181109796806</v>
      </c>
      <c r="J59" s="3847">
        <f>Summary2!D60</f>
        <v>7.6375181109795092</v>
      </c>
      <c r="K59" s="3861">
        <f t="shared" ref="K59:K61" si="68">IF(J59="NO",IF(I59="NO","NA",-I59),IF(I59="NO",J59,J59-I59))</f>
        <v>-1.7141843500212417E-13</v>
      </c>
      <c r="L59" s="3861">
        <f t="shared" ref="L59:L61" si="69">IF(K59="NA","NA",K59/I59*100)</f>
        <v>-2.2444259052648709E-12</v>
      </c>
      <c r="M59" s="3862">
        <f>IF(K59="NA","NA",K59/Table8s2!$G$35*100)</f>
        <v>-3.0565273858074243E-17</v>
      </c>
      <c r="N59" s="3863">
        <f>IF(K59="NA","NA",K59/Table8s2!$G$34*100)</f>
        <v>-3.333520983947911E-17</v>
      </c>
      <c r="O59" s="3848">
        <v>37.089731552047006</v>
      </c>
      <c r="P59" s="3847">
        <f>Summary2!E60</f>
        <v>37.089731552047191</v>
      </c>
      <c r="Q59" s="3861">
        <f t="shared" ref="Q59" si="70">IF(P59="NO",IF(O59="NO","NA",-O59),IF(O59="NO",P59,P59-O59))</f>
        <v>1.8474111129762605E-13</v>
      </c>
      <c r="R59" s="3966">
        <f t="shared" ref="R59" si="71">IF(Q59="NA","NA",Q59/O59*100)</f>
        <v>4.9809233867973372E-13</v>
      </c>
      <c r="S59" s="3967">
        <f>IF(Q59="NA","NA",Q59/Table8s2!$G$35*100)</f>
        <v>3.2940813277095557E-17</v>
      </c>
      <c r="T59" s="3968">
        <f>IF(Q59="NA","NA",Q59/Table8s2!$G$34*100)</f>
        <v>3.5926029257055205E-17</v>
      </c>
    </row>
    <row r="60" spans="2:21" ht="18" customHeight="1" x14ac:dyDescent="0.2">
      <c r="B60" s="1410" t="s">
        <v>111</v>
      </c>
      <c r="C60" s="3847">
        <v>14415.9811326215</v>
      </c>
      <c r="D60" s="3847">
        <f>Summary2!C61</f>
        <v>14415.981132621524</v>
      </c>
      <c r="E60" s="3861">
        <f t="shared" ref="E60:E61" si="72">IF(D60="NO",IF(C60="NO","NA",-C60),IF(C60="NO",D60,D60-C60))</f>
        <v>2.3646862246096134E-11</v>
      </c>
      <c r="F60" s="3861">
        <f t="shared" ref="F60:F61" si="73">IF(E60="NA","NA",E60/C60*100)</f>
        <v>1.6403227798756164E-13</v>
      </c>
      <c r="G60" s="3862">
        <f>IF(E60="NA","NA",E60/Table8s2!$G$35*100)</f>
        <v>4.2164240994682313E-15</v>
      </c>
      <c r="H60" s="3863">
        <f>IF(E60="NA","NA",E60/Table8s2!$G$34*100)</f>
        <v>4.5985317449030662E-15</v>
      </c>
      <c r="I60" s="3847">
        <v>0.93818226046523989</v>
      </c>
      <c r="J60" s="3847">
        <f>Summary2!D61</f>
        <v>0.93818226046511599</v>
      </c>
      <c r="K60" s="3861">
        <f t="shared" si="68"/>
        <v>-1.2390088954816747E-13</v>
      </c>
      <c r="L60" s="3861">
        <f t="shared" si="69"/>
        <v>-1.3206483939136264E-11</v>
      </c>
      <c r="M60" s="3862">
        <f>IF(K60="NA","NA",K60/Table8s2!$G$35*100)</f>
        <v>-2.209251659689822E-17</v>
      </c>
      <c r="N60" s="3863">
        <f>IF(K60="NA","NA",K60/Table8s2!$G$34*100)</f>
        <v>-2.4094620583457698E-17</v>
      </c>
      <c r="O60" s="3848">
        <v>18.974180527696348</v>
      </c>
      <c r="P60" s="3847">
        <f>Summary2!E61</f>
        <v>18.974180527697044</v>
      </c>
      <c r="Q60" s="3861">
        <f t="shared" ref="Q60:Q61" si="74">IF(P60="NO",IF(O60="NO","NA",-O60),IF(O60="NO",P60,P60-O60))</f>
        <v>6.9633188104489818E-13</v>
      </c>
      <c r="R60" s="3966">
        <f t="shared" ref="R60:R61" si="75">IF(Q60="NA","NA",Q60/O60*100)</f>
        <v>3.6698917248545851E-12</v>
      </c>
      <c r="S60" s="3967">
        <f>IF(Q60="NA","NA",Q60/Table8s2!$G$35*100)</f>
        <v>1.2416152696751401E-16</v>
      </c>
      <c r="T60" s="3968">
        <f>IF(Q60="NA","NA",Q60/Table8s2!$G$34*100)</f>
        <v>1.3541349489197733E-16</v>
      </c>
    </row>
    <row r="61" spans="2:21" ht="18" customHeight="1" x14ac:dyDescent="0.2">
      <c r="B61" s="1411" t="s">
        <v>1503</v>
      </c>
      <c r="C61" s="3847">
        <v>2506.5514289171188</v>
      </c>
      <c r="D61" s="3847">
        <f>Summary2!C62</f>
        <v>2506.5514289171228</v>
      </c>
      <c r="E61" s="3861">
        <f t="shared" si="72"/>
        <v>4.0927261579781771E-12</v>
      </c>
      <c r="F61" s="3861">
        <f t="shared" si="73"/>
        <v>1.6328115636335928E-13</v>
      </c>
      <c r="G61" s="3862">
        <f>IF(E61="NA","NA",E61/Table8s2!$G$35*100)</f>
        <v>7.2976570952334767E-16</v>
      </c>
      <c r="H61" s="3863">
        <f>IF(E61="NA","NA",E61/Table8s2!$G$34*100)</f>
        <v>7.9589972507937689E-16</v>
      </c>
      <c r="I61" s="3847">
        <v>6.6993358505144398</v>
      </c>
      <c r="J61" s="3847">
        <f>Summary2!D62</f>
        <v>6.6993358505143927</v>
      </c>
      <c r="K61" s="3861">
        <f t="shared" si="68"/>
        <v>-4.7073456244106637E-14</v>
      </c>
      <c r="L61" s="3861">
        <f t="shared" si="69"/>
        <v>-7.0265855145166192E-13</v>
      </c>
      <c r="M61" s="3862">
        <f>IF(K61="NA","NA",K61/Table8s2!$G$35*100)</f>
        <v>-8.3935726138753089E-18</v>
      </c>
      <c r="N61" s="3863">
        <f>IF(K61="NA","NA",K61/Table8s2!$G$34*100)</f>
        <v>-9.1542286087688744E-18</v>
      </c>
      <c r="O61" s="3848">
        <v>18.115551024350651</v>
      </c>
      <c r="P61" s="3847">
        <f>Summary2!E62</f>
        <v>18.115551024350143</v>
      </c>
      <c r="Q61" s="3861">
        <f t="shared" si="74"/>
        <v>-5.0803805606847163E-13</v>
      </c>
      <c r="R61" s="3966">
        <f t="shared" si="75"/>
        <v>-2.8044305988019605E-12</v>
      </c>
      <c r="S61" s="3967">
        <f>IF(Q61="NA","NA",Q61/Table8s2!$G$35*100)</f>
        <v>-9.058723651201278E-17</v>
      </c>
      <c r="T61" s="3968">
        <f>IF(Q61="NA","NA",Q61/Table8s2!$G$34*100)</f>
        <v>-9.8796580456901824E-17</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16299.033473397863</v>
      </c>
      <c r="D63" s="3847">
        <f>Summary2!C64</f>
        <v>16465.223251645039</v>
      </c>
      <c r="E63" s="3861">
        <f t="shared" ref="E63:E65" si="76">IF(D63="NO",IF(C63="NO","NA",-C63),IF(C63="NO",D63,D63-C63))</f>
        <v>166.18977824717513</v>
      </c>
      <c r="F63" s="3861">
        <f t="shared" ref="F63:F65" si="77">IF(E63="NA","NA",E63/C63*100)</f>
        <v>1.0196296517730232</v>
      </c>
      <c r="G63" s="3862">
        <f>IF(E63="NA","NA",E63/Table8s2!$G$35*100)</f>
        <v>2.9632962665156706E-2</v>
      </c>
      <c r="H63" s="3863">
        <f>IF(E63="NA","NA",E63/Table8s2!$G$34*100)</f>
        <v>3.2318409224640479E-2</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-310910.55898595304</v>
      </c>
      <c r="D65" s="3849">
        <f>Summary2!C66</f>
        <v>-311332.5287518152</v>
      </c>
      <c r="E65" s="3977">
        <f t="shared" si="76"/>
        <v>-421.96976586215897</v>
      </c>
      <c r="F65" s="3984">
        <f t="shared" si="77"/>
        <v>0.13572062886459368</v>
      </c>
      <c r="G65" s="3985">
        <f>IF(E65="NA","NA",E65/Table8s2!$G$35*100)</f>
        <v>-7.5240574056369913E-2</v>
      </c>
      <c r="H65" s="3986">
        <f>IF(E65="NA","NA",E65/Table8s2!$G$34*100)</f>
        <v>-8.2059147785106257E-2</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9891.6117285115215</v>
      </c>
      <c r="D10" s="4019">
        <f>IF(SUM(D11:D30)=0,"NO",SUM(D11:D30))</f>
        <v>9891.6117285115197</v>
      </c>
      <c r="E10" s="4019">
        <f>IF(D10="NO",IF(C10="NO","NA",-C10),IF(C10="NO",D10,D10-C10))</f>
        <v>-1.8189894035458565E-12</v>
      </c>
      <c r="F10" s="4019">
        <f>IF(E10="NA","NA",E10/C10*100)</f>
        <v>-1.8389211520533227E-14</v>
      </c>
      <c r="G10" s="4020">
        <f>IF(E10="NA","NA",E10/$G$35*100)</f>
        <v>-3.243403153437101E-16</v>
      </c>
      <c r="H10" s="4021">
        <f>IF(E10="NA","NA",E10/$G$34*100)</f>
        <v>-3.5373321114638977E-16</v>
      </c>
      <c r="I10" s="4022">
        <f>IF(SUM(I11:I30)=0,"NO",SUM(I11:I30))</f>
        <v>212.24369299342175</v>
      </c>
      <c r="J10" s="4022">
        <f>IF(SUM(J11:J30)=0,"NO",SUM(J11:J30))</f>
        <v>212.24369299342177</v>
      </c>
      <c r="K10" s="4019">
        <f>IF(J10="NO",IF(I10="NO","NA",-I10),IF(I10="NO",J10,J10-I10))</f>
        <v>2.8421709430404007E-14</v>
      </c>
      <c r="L10" s="4019">
        <f>IF(K10="NA","NA",K10/I10*100)</f>
        <v>1.3391073736775258E-14</v>
      </c>
      <c r="M10" s="4020">
        <f>IF(K10="NA","NA",K10/$G$35*100)</f>
        <v>5.0678174272454703E-18</v>
      </c>
      <c r="N10" s="4021">
        <f>IF(K10="NA","NA",K10/$G$34*100)</f>
        <v>5.5270814241623402E-18</v>
      </c>
      <c r="O10" s="4018" t="s">
        <v>2146</v>
      </c>
      <c r="P10" s="4019" t="s">
        <v>2146</v>
      </c>
      <c r="Q10" s="4019" t="s">
        <v>2147</v>
      </c>
      <c r="R10" s="4023" t="s">
        <v>2147</v>
      </c>
      <c r="S10" s="4024" t="s">
        <v>2147</v>
      </c>
      <c r="T10" s="4021" t="s">
        <v>2147</v>
      </c>
      <c r="U10" s="4018">
        <f>IF(SUM(U11:U30)=0,"NO",SUM(U11:U30))</f>
        <v>149.72530244911653</v>
      </c>
      <c r="V10" s="4019">
        <f>IF(SUM(V11:V30)=0,"NO",SUM(V11:V30))</f>
        <v>149.72530244911653</v>
      </c>
      <c r="W10" s="4019">
        <f>IF(V10="NO",IF(U10="NO","NA",-U10),IF(U10="NO",V10,V10-U10))</f>
        <v>0</v>
      </c>
      <c r="X10" s="4023">
        <f>IF(W10="NA","NA",W10/U10*100)</f>
        <v>0</v>
      </c>
      <c r="Y10" s="4024">
        <f>IF(W10="NA","NA",W10/$G$35*100)</f>
        <v>0</v>
      </c>
      <c r="Z10" s="4021">
        <f>IF(W10="NA","NA",W10/$G$34*100)</f>
        <v>0</v>
      </c>
      <c r="AA10" s="4019" t="s">
        <v>2146</v>
      </c>
      <c r="AB10" s="4019" t="s">
        <v>2146</v>
      </c>
      <c r="AC10" s="4019" t="s">
        <v>2147</v>
      </c>
      <c r="AD10" s="4023" t="s">
        <v>2147</v>
      </c>
      <c r="AE10" s="4024" t="s">
        <v>2147</v>
      </c>
      <c r="AF10" s="4021" t="s">
        <v>2147</v>
      </c>
    </row>
    <row r="11" spans="2:32" ht="18" customHeight="1" x14ac:dyDescent="0.2">
      <c r="B11" s="1951" t="s">
        <v>1694</v>
      </c>
      <c r="C11" s="3848" t="s">
        <v>2146</v>
      </c>
      <c r="D11" s="3847" t="str">
        <f>'Table2(I)'!F25</f>
        <v>NO</v>
      </c>
      <c r="E11" s="3847" t="str">
        <f>IF(D11="NO",IF(C11="NO","NA",-C11),IF(C11="NO",D11,D11-C11))</f>
        <v>NA</v>
      </c>
      <c r="F11" s="4016" t="str">
        <f>IF(E11="NA","NA",E11/C11*100)</f>
        <v>NA</v>
      </c>
      <c r="G11" s="3871" t="str">
        <f>IF(E11="NA","NA",E11/$G$35*100)</f>
        <v>NA</v>
      </c>
      <c r="H11" s="3872" t="str">
        <f>IF(E11="NA","NA",E11/$G$34*100)</f>
        <v>NA</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212.24369299342175</v>
      </c>
      <c r="J13" s="3839">
        <f>'Table2(II)'!AH41</f>
        <v>212.24369299342177</v>
      </c>
      <c r="K13" s="3847">
        <f>IF(J13="NO",IF(I13="NO","NA",-I13),IF(I13="NO",J13,J13-I13))</f>
        <v>2.8421709430404007E-14</v>
      </c>
      <c r="L13" s="4016">
        <f>IF(K13="NA","NA",K13/I13*100)</f>
        <v>1.3391073736775258E-14</v>
      </c>
      <c r="M13" s="3871">
        <f>IF(K13="NA","NA",K13/$G$35*100)</f>
        <v>5.0678174272454703E-18</v>
      </c>
      <c r="N13" s="3872">
        <f>IF(K13="NA","NA",K13/$G$34*100)</f>
        <v>5.5270814241623402E-18</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9405.8830441186146</v>
      </c>
      <c r="D21" s="3847">
        <f>'Table2(I)'!F46</f>
        <v>9405.8830441186128</v>
      </c>
      <c r="E21" s="3847">
        <f>IF(D21="NO",IF(C21="NO","NA",-C21),IF(C21="NO",D21,D21-C21))</f>
        <v>-1.8189894035458565E-12</v>
      </c>
      <c r="F21" s="4016">
        <f>IF(E21="NA","NA",E21/C21*100)</f>
        <v>-1.9338847772333814E-14</v>
      </c>
      <c r="G21" s="3871">
        <f>IF(E21="NA","NA",E21/$G$35*100)</f>
        <v>-3.243403153437101E-16</v>
      </c>
      <c r="H21" s="3872">
        <f>IF(E21="NA","NA",E21/$G$34*100)</f>
        <v>-3.5373321114638977E-16</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64.7194948990265</v>
      </c>
      <c r="D22" s="3847">
        <f>'Table2(I)'!F47</f>
        <v>64.719494899026472</v>
      </c>
      <c r="E22" s="3847">
        <f t="shared" ref="E22:E25" si="0">IF(D22="NO",IF(C22="NO","NA",-C22),IF(C22="NO",D22,D22-C22))</f>
        <v>-2.8421709430404007E-14</v>
      </c>
      <c r="F22" s="4016">
        <f t="shared" ref="F22:F25" si="1">IF(E22="NA","NA",E22/C22*100)</f>
        <v>-4.3915221332840661E-14</v>
      </c>
      <c r="G22" s="3871">
        <f t="shared" ref="G22:G25" si="2">IF(E22="NA","NA",E22/$G$35*100)</f>
        <v>-5.0678174272454703E-18</v>
      </c>
      <c r="H22" s="3872">
        <f t="shared" ref="H22:H25" si="3">IF(E22="NA","NA",E22/$G$34*100)</f>
        <v>-5.5270814241623402E-18</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70.587813666893254</v>
      </c>
      <c r="D23" s="3847">
        <f>'Table2(I)'!F48</f>
        <v>70.587813666893226</v>
      </c>
      <c r="E23" s="3847">
        <f t="shared" si="0"/>
        <v>-2.8421709430404007E-14</v>
      </c>
      <c r="F23" s="4016">
        <f t="shared" si="1"/>
        <v>-4.0264328860682955E-14</v>
      </c>
      <c r="G23" s="3871">
        <f t="shared" si="2"/>
        <v>-5.0678174272454703E-18</v>
      </c>
      <c r="H23" s="3872">
        <f t="shared" si="3"/>
        <v>-5.5270814241623402E-18</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v>119.34314590059107</v>
      </c>
      <c r="D24" s="3847">
        <f>'Table2(I)'!F49</f>
        <v>119.3431459005911</v>
      </c>
      <c r="E24" s="3847">
        <f t="shared" si="0"/>
        <v>2.8421709430404007E-14</v>
      </c>
      <c r="F24" s="4016">
        <f t="shared" si="1"/>
        <v>2.3815116667092354E-14</v>
      </c>
      <c r="G24" s="3871">
        <f t="shared" si="2"/>
        <v>5.0678174272454703E-18</v>
      </c>
      <c r="H24" s="3872">
        <f t="shared" si="3"/>
        <v>5.5270814241623402E-18</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231.07822992639638</v>
      </c>
      <c r="D25" s="3847">
        <f>'Table2(I)'!F50</f>
        <v>231.07822992639635</v>
      </c>
      <c r="E25" s="3847">
        <f t="shared" si="0"/>
        <v>-2.8421709430404007E-14</v>
      </c>
      <c r="F25" s="4016">
        <f t="shared" si="1"/>
        <v>-1.2299604960388074E-14</v>
      </c>
      <c r="G25" s="3871">
        <f t="shared" si="2"/>
        <v>-5.0678174272454703E-18</v>
      </c>
      <c r="H25" s="3872">
        <f t="shared" si="3"/>
        <v>-5.5270814241623402E-18</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129.42631507539824</v>
      </c>
      <c r="V27" s="3847">
        <f>IFERROR('Table2(I)'!I53*23500,'Table2(I)'!I53)</f>
        <v>129.42631507539832</v>
      </c>
      <c r="W27" s="3847">
        <f>IF(V27="NO",IF(U27="NO","NA",-U27),IF(U27="NO",V27,V27-U27))</f>
        <v>8.5265128291212022E-14</v>
      </c>
      <c r="X27" s="4016">
        <f>IF(W27="NA","NA",W27/U27*100)</f>
        <v>6.5879282927540818E-14</v>
      </c>
      <c r="Y27" s="3871">
        <f>IF(W27="NA","NA",W27/$G$35*100)</f>
        <v>1.5203452281736412E-17</v>
      </c>
      <c r="Z27" s="3872">
        <f>IF(W27="NA","NA",W27/$G$34*100)</f>
        <v>1.6581244272487017E-17</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20.298987373718294</v>
      </c>
      <c r="V28" s="3847">
        <f>IFERROR('Table2(I)'!I54*23500,'Table2(I)'!I54)</f>
        <v>20.298987373718216</v>
      </c>
      <c r="W28" s="3847">
        <f>IF(V28="NO",IF(U28="NO","NA",-U28),IF(U28="NO",V28,V28-U28))</f>
        <v>-7.815970093361102E-14</v>
      </c>
      <c r="X28" s="4016">
        <f>IF(W28="NA","NA",W28/U28*100)</f>
        <v>-3.8504236440289981E-13</v>
      </c>
      <c r="Y28" s="3871">
        <f>IF(W28="NA","NA",W28/$G$35*100)</f>
        <v>-1.3936497924925042E-17</v>
      </c>
      <c r="Z28" s="3872">
        <f>IF(W28="NA","NA",W28/$G$34*100)</f>
        <v>-1.5199473916446435E-17</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529999.07707950647</v>
      </c>
      <c r="F34" s="4523"/>
      <c r="G34" s="4522">
        <f>SUM(Table8s1!D10,Table8s1!J10,Table8s1!P10,D10,J10,P10,V10,AB10)</f>
        <v>514226.35653882154</v>
      </c>
      <c r="H34" s="4523"/>
      <c r="I34" s="3839">
        <f>G34-E34</f>
        <v>-15772.720540684939</v>
      </c>
      <c r="J34" s="4045">
        <f>IF(I34="NA","NA",I34/E34*100)</f>
        <v>-2.9759901899449601</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562439.82568453252</v>
      </c>
      <c r="F35" s="4525"/>
      <c r="G35" s="4526">
        <f>G34-SUM(Table8s1!D41,Table8s1!J41,Table8s1!P41)</f>
        <v>560827.41413698019</v>
      </c>
      <c r="H35" s="4527"/>
      <c r="I35" s="3855">
        <f>G35-E35</f>
        <v>-1612.4115475523286</v>
      </c>
      <c r="J35" s="4046">
        <f>IF(I35="NA","NA",I35/E35*100)</f>
        <v>-0.28668160999977194</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1444438.8002815843</v>
      </c>
      <c r="D10" s="1913" t="s">
        <v>1814</v>
      </c>
      <c r="E10" s="628"/>
      <c r="F10" s="628"/>
      <c r="G10" s="628"/>
      <c r="H10" s="1847">
        <f>IF(SUM(H11:H14)=0,"NO",SUM(H11:H14))</f>
        <v>98511.309671759795</v>
      </c>
      <c r="I10" s="1847">
        <f>IF(SUM(I11:I15)=0,"NO",SUM(I11:I15))</f>
        <v>13.740095915565119</v>
      </c>
      <c r="J10" s="2192">
        <f>IF(SUM(J11:J15)=0,"NO",SUM(J11:J15))</f>
        <v>4.7239156075148996</v>
      </c>
    </row>
    <row r="11" spans="2:11" ht="18" customHeight="1" x14ac:dyDescent="0.2">
      <c r="B11" s="282" t="s">
        <v>132</v>
      </c>
      <c r="C11" s="1913">
        <f>IF(SUM(C17:C18,C21:C24,C82,C89:C92,C100)=0,"NO",SUM(C17:C18,C21:C24,C82,C89:C92,C100))</f>
        <v>1420547.6416903818</v>
      </c>
      <c r="D11" s="1909" t="s">
        <v>1814</v>
      </c>
      <c r="E11" s="1913">
        <f>IFERROR(H11*1000/$C11,"NA")</f>
        <v>68.670209216580531</v>
      </c>
      <c r="F11" s="1913">
        <f t="shared" ref="F11:G15" si="0">IFERROR(I11*1000000/$C11,"NA")</f>
        <v>9.1520230244530545</v>
      </c>
      <c r="G11" s="1913">
        <f t="shared" si="0"/>
        <v>3.2948021633573825</v>
      </c>
      <c r="H11" s="1913">
        <f>IF(SUM(H17:H18,H21:H24,H82,H89:H92,H100)=0,"NO",SUM(H17:H18,H21:H24,H82,H89:H92,H100))</f>
        <v>97549.303756998605</v>
      </c>
      <c r="I11" s="1913">
        <f>IF(SUM(I17:I18,I21:I24,I82,I89:I92,I100)=0,"NO",SUM(I17:I18,I21:I24,I82,I89:I92,I100))</f>
        <v>13.000884724082862</v>
      </c>
      <c r="J11" s="3085">
        <f>IF(SUM(J17:J18,J21:J24,J82,J89:J92,J100)=0,"NO",SUM(J17:J18,J21:J24,J82,J89:J92,J100))</f>
        <v>4.6804234429936979</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18692.305129212527</v>
      </c>
      <c r="D13" s="1909" t="s">
        <v>1814</v>
      </c>
      <c r="E13" s="1913">
        <f t="shared" si="1"/>
        <v>51.411918339264979</v>
      </c>
      <c r="F13" s="1913">
        <f t="shared" si="0"/>
        <v>29.299155617668273</v>
      </c>
      <c r="G13" s="1913">
        <f t="shared" si="0"/>
        <v>0.28179804966806837</v>
      </c>
      <c r="H13" s="1913">
        <f>IF(SUM(H26,H84,H94,H102)=0,"NO",SUM(H26,H84,H94,H102))</f>
        <v>961.00726487569841</v>
      </c>
      <c r="I13" s="1913">
        <f>IF(SUM(I26,I84,I94,I102)=0,"NO",SUM(I26,I84,I94,I102))</f>
        <v>0.54766875683373661</v>
      </c>
      <c r="J13" s="3085">
        <f>IF(SUM(J26,J84,J94,J102)=0,"NO",SUM(J26,J84,J94,J102))</f>
        <v>5.2674551292125208E-3</v>
      </c>
    </row>
    <row r="14" spans="2:11" ht="18" customHeight="1" x14ac:dyDescent="0.2">
      <c r="B14" s="282" t="s">
        <v>175</v>
      </c>
      <c r="C14" s="1913">
        <f>IF(SUM(C28,C86,C96,C103)=0,"NO",SUM(C28,C86,C96,C103))</f>
        <v>13.624145777452521</v>
      </c>
      <c r="D14" s="1909" t="s">
        <v>1814</v>
      </c>
      <c r="E14" s="1913">
        <f t="shared" si="1"/>
        <v>73.3</v>
      </c>
      <c r="F14" s="1913" t="str">
        <f t="shared" si="0"/>
        <v>NA</v>
      </c>
      <c r="G14" s="1913" t="str">
        <f t="shared" si="0"/>
        <v>NA</v>
      </c>
      <c r="H14" s="1913">
        <f>IF(SUM(H28,H86,H96,H103)=0,"NO",SUM(H28,H86,H96,H103))</f>
        <v>0.99864988548726963</v>
      </c>
      <c r="I14" s="1913" t="str">
        <f>IF(SUM(I28,I86,I96,I103)=0,"NO",SUM(I28,I86,I96,I103))</f>
        <v>NO</v>
      </c>
      <c r="J14" s="3085" t="str">
        <f>IF(SUM(J28,J86,J96,J103)=0,"NO",SUM(J28,J86,J96,J103))</f>
        <v>NO</v>
      </c>
    </row>
    <row r="15" spans="2:11" ht="18" customHeight="1" x14ac:dyDescent="0.2">
      <c r="B15" s="282" t="s">
        <v>137</v>
      </c>
      <c r="C15" s="1913">
        <f>IF(SUM(C19,C27,C85,C95,C104)=0,"NO",SUM(C19,C27,C85,C95,C104))</f>
        <v>5185.2293162124342</v>
      </c>
      <c r="D15" s="1913" t="s">
        <v>1814</v>
      </c>
      <c r="E15" s="1913">
        <f t="shared" si="1"/>
        <v>67.259999999999962</v>
      </c>
      <c r="F15" s="1913">
        <f t="shared" si="0"/>
        <v>36.940012286367349</v>
      </c>
      <c r="G15" s="1913">
        <f t="shared" si="0"/>
        <v>7.3718454982258086</v>
      </c>
      <c r="H15" s="1913">
        <f>IF(SUM(H19,H27,H85,H95,H104)=0,"NO",SUM(H19,H27,H85,H95,H104))</f>
        <v>348.75852380844816</v>
      </c>
      <c r="I15" s="1913">
        <f>IF(SUM(I19,I27,I85,I95,I104)=0,"NO",SUM(I19,I27,I85,I95,I104))</f>
        <v>0.19154243464851947</v>
      </c>
      <c r="J15" s="3085">
        <f>IF(SUM(J19,J27,J85,J95,J104)=0,"NO",SUM(J19,J27,J85,J95,J104))</f>
        <v>3.8224709391989117E-2</v>
      </c>
    </row>
    <row r="16" spans="2:11" ht="18" customHeight="1" x14ac:dyDescent="0.2">
      <c r="B16" s="1241" t="s">
        <v>176</v>
      </c>
      <c r="C16" s="1913">
        <f>IF(SUM(C17:C19)=0,"NO",SUM(C17:C19))</f>
        <v>129544.33022243901</v>
      </c>
      <c r="D16" s="1909" t="s">
        <v>1814</v>
      </c>
      <c r="E16" s="628"/>
      <c r="F16" s="628"/>
      <c r="G16" s="628"/>
      <c r="H16" s="1913">
        <f>IF(SUM(H17:H18)=0,"NO",SUM(H17:H18))</f>
        <v>9010.5997718617236</v>
      </c>
      <c r="I16" s="1913">
        <f>IF(SUM(I17:I19)=0,"NO",SUM(I17:I19))</f>
        <v>3.7278371294444453E-2</v>
      </c>
      <c r="J16" s="3085">
        <f>IF(SUM(J17:J19)=0,"NO",SUM(J17:J19))</f>
        <v>6.5050279121204507E-2</v>
      </c>
    </row>
    <row r="17" spans="2:10" ht="18" customHeight="1" x14ac:dyDescent="0.2">
      <c r="B17" s="282" t="s">
        <v>177</v>
      </c>
      <c r="C17" s="691">
        <v>2186.7736999999997</v>
      </c>
      <c r="D17" s="1909" t="s">
        <v>1814</v>
      </c>
      <c r="E17" s="1913">
        <f t="shared" ref="E17:E19" si="2">IFERROR(H17*1000/$C17,"NA")</f>
        <v>67</v>
      </c>
      <c r="F17" s="1913">
        <f t="shared" ref="F17:G19" si="3">IFERROR(I17*1000000/$C17,"NA")</f>
        <v>0.5</v>
      </c>
      <c r="G17" s="1913">
        <f t="shared" si="3"/>
        <v>2</v>
      </c>
      <c r="H17" s="691">
        <v>146.5138379</v>
      </c>
      <c r="I17" s="691">
        <v>1.0933868499999999E-3</v>
      </c>
      <c r="J17" s="2911">
        <v>4.3735473999999995E-3</v>
      </c>
    </row>
    <row r="18" spans="2:10" ht="18" customHeight="1" x14ac:dyDescent="0.2">
      <c r="B18" s="282" t="s">
        <v>178</v>
      </c>
      <c r="C18" s="691">
        <v>127357.556522439</v>
      </c>
      <c r="D18" s="1909" t="s">
        <v>1814</v>
      </c>
      <c r="E18" s="1913">
        <f t="shared" si="2"/>
        <v>69.599999999999753</v>
      </c>
      <c r="F18" s="1913">
        <f t="shared" si="3"/>
        <v>0.28412122085640878</v>
      </c>
      <c r="G18" s="1913">
        <f t="shared" si="3"/>
        <v>0.47642820244053546</v>
      </c>
      <c r="H18" s="691">
        <v>8864.0859339617236</v>
      </c>
      <c r="I18" s="691">
        <v>3.618498444444445E-2</v>
      </c>
      <c r="J18" s="2911">
        <v>6.067673172120451E-2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1223169.82233149</v>
      </c>
      <c r="D20" s="1909" t="s">
        <v>1814</v>
      </c>
      <c r="E20" s="628"/>
      <c r="F20" s="628"/>
      <c r="G20" s="628"/>
      <c r="H20" s="1913">
        <f>IF(SUM(H21:H24,H26,H28)=0,"NO",SUM(H21:H24,H26,H28))</f>
        <v>83392.009474173858</v>
      </c>
      <c r="I20" s="1913">
        <f>IF(SUM(I21:I24,I26:I28)=0,"NO",SUM(I21:I24,I26:I28))</f>
        <v>8.5731170382025379</v>
      </c>
      <c r="J20" s="3085">
        <f>IF(SUM(J21:J24,J26:J28)=0,"NO",SUM(J21:J24,J26:J28))</f>
        <v>3.0916861417356598</v>
      </c>
    </row>
    <row r="21" spans="2:10" ht="18" customHeight="1" x14ac:dyDescent="0.2">
      <c r="B21" s="282" t="s">
        <v>167</v>
      </c>
      <c r="C21" s="1913">
        <f>IF(SUM(C31,C41,C51,C61,C72)=0,"NO",SUM(C31,C41,C51,C61,C72))</f>
        <v>595691.43886676454</v>
      </c>
      <c r="D21" s="1909" t="s">
        <v>1814</v>
      </c>
      <c r="E21" s="1913">
        <f t="shared" ref="E21:E23" si="4">IFERROR(H21*1000/$C21,"NA")</f>
        <v>67.400000000000034</v>
      </c>
      <c r="F21" s="1913">
        <f t="shared" ref="F21:G23" si="5">IFERROR(I21*1000000/$C21,"NA")</f>
        <v>8.1390003577011516</v>
      </c>
      <c r="G21" s="1913">
        <f t="shared" si="5"/>
        <v>3.4125526753930115</v>
      </c>
      <c r="H21" s="1913">
        <f>IF(SUM(H31,H41,H51,H61,H72)=0,"NO",SUM(H31,H41,H51,H61,H72))</f>
        <v>40149.602979619951</v>
      </c>
      <c r="I21" s="1913">
        <f>IF(SUM(I31,I41,I51,I61,I72)=0,"NO",SUM(I31,I41,I51,I61,I72))</f>
        <v>4.8483328340161096</v>
      </c>
      <c r="J21" s="3085">
        <f>IF(SUM(J31,J41,J51,J61,J72)=0,"NO",SUM(J31,J41,J51,J61,J72))</f>
        <v>2.03282841341349</v>
      </c>
    </row>
    <row r="22" spans="2:10" ht="18" customHeight="1" x14ac:dyDescent="0.2">
      <c r="B22" s="282" t="s">
        <v>168</v>
      </c>
      <c r="C22" s="1913">
        <f t="shared" ref="C22:C29" si="6">IF(SUM(C32,C42,C52,C62,C73)=0,"NO",SUM(C32,C42,C52,C62,C73))</f>
        <v>598488.39189942693</v>
      </c>
      <c r="D22" s="1909" t="s">
        <v>1814</v>
      </c>
      <c r="E22" s="1913">
        <f t="shared" si="4"/>
        <v>69.900000000000048</v>
      </c>
      <c r="F22" s="1913">
        <f t="shared" si="5"/>
        <v>4.3523096409555926</v>
      </c>
      <c r="G22" s="1913">
        <f t="shared" si="5"/>
        <v>1.6090747395736857</v>
      </c>
      <c r="H22" s="1913">
        <f t="shared" ref="H22:J29" si="7">IF(SUM(H32,H42,H52,H62,H73)=0,"NO",SUM(H32,H42,H52,H62,H73))</f>
        <v>41834.338593769979</v>
      </c>
      <c r="I22" s="1913">
        <f t="shared" si="7"/>
        <v>2.6048067980638852</v>
      </c>
      <c r="J22" s="3085">
        <f t="shared" si="7"/>
        <v>0.96301255333344438</v>
      </c>
    </row>
    <row r="23" spans="2:10" ht="18" customHeight="1" x14ac:dyDescent="0.2">
      <c r="B23" s="282" t="s">
        <v>169</v>
      </c>
      <c r="C23" s="1913">
        <f t="shared" si="6"/>
        <v>20289.736336126582</v>
      </c>
      <c r="D23" s="1909" t="s">
        <v>1814</v>
      </c>
      <c r="E23" s="1913">
        <f t="shared" si="4"/>
        <v>60.200000000000138</v>
      </c>
      <c r="F23" s="1913">
        <f t="shared" si="5"/>
        <v>30.491741677651429</v>
      </c>
      <c r="G23" s="1913">
        <f t="shared" si="5"/>
        <v>2.6886927356605446</v>
      </c>
      <c r="H23" s="1913">
        <f t="shared" si="7"/>
        <v>1221.4421274348231</v>
      </c>
      <c r="I23" s="1913">
        <f t="shared" si="7"/>
        <v>0.61866939906882945</v>
      </c>
      <c r="J23" s="3085">
        <f t="shared" si="7"/>
        <v>5.4552866695411338E-2</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3625.6475222706922</v>
      </c>
      <c r="D26" s="1909" t="s">
        <v>1814</v>
      </c>
      <c r="E26" s="1913">
        <f t="shared" si="8"/>
        <v>51.411918339264929</v>
      </c>
      <c r="F26" s="1913">
        <f t="shared" si="9"/>
        <v>108.7155493132381</v>
      </c>
      <c r="G26" s="1913">
        <f t="shared" si="9"/>
        <v>0.99999999999999845</v>
      </c>
      <c r="H26" s="1913">
        <f t="shared" si="7"/>
        <v>186.40149434193904</v>
      </c>
      <c r="I26" s="1913">
        <f t="shared" si="7"/>
        <v>0.39416426199983901</v>
      </c>
      <c r="J26" s="3085">
        <f t="shared" si="7"/>
        <v>3.6256475222706868E-3</v>
      </c>
    </row>
    <row r="27" spans="2:10" ht="18" customHeight="1" x14ac:dyDescent="0.2">
      <c r="B27" s="282" t="s">
        <v>137</v>
      </c>
      <c r="C27" s="1913">
        <f t="shared" si="6"/>
        <v>5071.5479660122064</v>
      </c>
      <c r="D27" s="1909" t="s">
        <v>1814</v>
      </c>
      <c r="E27" s="1913">
        <f t="shared" si="8"/>
        <v>67.259999999999962</v>
      </c>
      <c r="F27" s="1913">
        <f t="shared" si="9"/>
        <v>21.126438273268221</v>
      </c>
      <c r="G27" s="1913">
        <f t="shared" si="9"/>
        <v>7.4270540323137659</v>
      </c>
      <c r="H27" s="1913">
        <f t="shared" si="7"/>
        <v>341.1123161939808</v>
      </c>
      <c r="I27" s="1913">
        <f t="shared" si="7"/>
        <v>0.10714374505387587</v>
      </c>
      <c r="J27" s="3085">
        <f t="shared" si="7"/>
        <v>3.7666660771043636E-2</v>
      </c>
    </row>
    <row r="28" spans="2:10" ht="18" customHeight="1" x14ac:dyDescent="0.2">
      <c r="B28" s="282" t="s">
        <v>181</v>
      </c>
      <c r="C28" s="1913">
        <f>C29</f>
        <v>3.0597408889092201</v>
      </c>
      <c r="D28" s="1909" t="s">
        <v>1814</v>
      </c>
      <c r="E28" s="628"/>
      <c r="F28" s="628"/>
      <c r="G28" s="628"/>
      <c r="H28" s="1913">
        <f>H29</f>
        <v>0.22427900715704566</v>
      </c>
      <c r="I28" s="1913" t="str">
        <f>I29</f>
        <v>NE</v>
      </c>
      <c r="J28" s="3085" t="str">
        <f>J29</f>
        <v>NE</v>
      </c>
    </row>
    <row r="29" spans="2:10" ht="18" customHeight="1" x14ac:dyDescent="0.2">
      <c r="B29" s="3105" t="s">
        <v>252</v>
      </c>
      <c r="C29" s="1913">
        <f t="shared" si="6"/>
        <v>3.0597408889092201</v>
      </c>
      <c r="D29" s="1909" t="s">
        <v>1814</v>
      </c>
      <c r="E29" s="3103">
        <f t="shared" ref="E29" si="10">IFERROR(H29*1000/$C29,"NA")</f>
        <v>73.29999999999994</v>
      </c>
      <c r="F29" s="3103" t="str">
        <f>IFERROR(I29*1000000/$C29,"NA")</f>
        <v>NA</v>
      </c>
      <c r="G29" s="3103" t="str">
        <f>IFERROR(J29*1000000/$C29,"NA")</f>
        <v>NA</v>
      </c>
      <c r="H29" s="1913">
        <f t="shared" si="7"/>
        <v>0.22427900715704566</v>
      </c>
      <c r="I29" s="1913" t="str">
        <f>IF(SUM(I39,I49,I59,I69,I80)=0,"NE",SUM(I39,I49,I59,I69,I80))</f>
        <v>NE</v>
      </c>
      <c r="J29" s="3085" t="str">
        <f>IF(SUM(J39,J49,J59,J69,J80)=0,"NE",SUM(J39,J49,J59,J69,J80))</f>
        <v>NE</v>
      </c>
    </row>
    <row r="30" spans="2:10" ht="18" customHeight="1" x14ac:dyDescent="0.2">
      <c r="B30" s="1242" t="s">
        <v>182</v>
      </c>
      <c r="C30" s="1913">
        <f>IF(SUM(C31:C34,C36:C38)=0,"NO",SUM(C31:C34,C36:C38))</f>
        <v>669707.0998138776</v>
      </c>
      <c r="D30" s="1909" t="s">
        <v>1814</v>
      </c>
      <c r="E30" s="628"/>
      <c r="F30" s="628"/>
      <c r="G30" s="628"/>
      <c r="H30" s="1913">
        <f>IF(SUM(H31:H34,H36,H38)=0,"NO",SUM(H31:H34,H36,H38))</f>
        <v>45009.334502325371</v>
      </c>
      <c r="I30" s="1913">
        <f>IF(SUM(I31:I34,I36:I38)=0,"NO",SUM(I31:I34,I36:I38))</f>
        <v>4.9087135920041582</v>
      </c>
      <c r="J30" s="3085">
        <f>IF(SUM(J31:J34,J36:J38)=0,"NO",SUM(J31:J34,J36:J38))</f>
        <v>1.9833099784971415</v>
      </c>
    </row>
    <row r="31" spans="2:10" ht="18" customHeight="1" x14ac:dyDescent="0.2">
      <c r="B31" s="282" t="s">
        <v>167</v>
      </c>
      <c r="C31" s="691">
        <v>530751.97439490899</v>
      </c>
      <c r="D31" s="1909" t="s">
        <v>1814</v>
      </c>
      <c r="E31" s="1913">
        <f t="shared" ref="E31:E33" si="11">IFERROR(H31*1000/$C31,"NA")</f>
        <v>67.400000000000034</v>
      </c>
      <c r="F31" s="1913">
        <f t="shared" ref="F31:G33" si="12">IFERROR(I31*1000000/$C31,"NA")</f>
        <v>7.1466749423206917</v>
      </c>
      <c r="G31" s="1913">
        <f t="shared" si="12"/>
        <v>3.3497417085253032</v>
      </c>
      <c r="H31" s="691">
        <v>35772.68307421689</v>
      </c>
      <c r="I31" s="691">
        <v>3.7931118359953295</v>
      </c>
      <c r="J31" s="2911">
        <v>1.7778820255127803</v>
      </c>
    </row>
    <row r="32" spans="2:10" ht="18" customHeight="1" x14ac:dyDescent="0.2">
      <c r="B32" s="282" t="s">
        <v>168</v>
      </c>
      <c r="C32" s="691">
        <v>118322.28213932499</v>
      </c>
      <c r="D32" s="1909" t="s">
        <v>1814</v>
      </c>
      <c r="E32" s="1913">
        <f t="shared" si="11"/>
        <v>69.900000000000006</v>
      </c>
      <c r="F32" s="1913">
        <f t="shared" si="12"/>
        <v>3.9822682186642608</v>
      </c>
      <c r="G32" s="1913">
        <f t="shared" si="12"/>
        <v>1.0957325223597705</v>
      </c>
      <c r="H32" s="691">
        <v>8270.7275215388181</v>
      </c>
      <c r="I32" s="691">
        <v>0.47119106372325986</v>
      </c>
      <c r="J32" s="2911">
        <v>0.129649572659887</v>
      </c>
    </row>
    <row r="33" spans="2:10" ht="18" customHeight="1" x14ac:dyDescent="0.2">
      <c r="B33" s="282" t="s">
        <v>169</v>
      </c>
      <c r="C33" s="691">
        <v>15985.8528708876</v>
      </c>
      <c r="D33" s="1909" t="s">
        <v>1814</v>
      </c>
      <c r="E33" s="1913">
        <f t="shared" si="11"/>
        <v>60.200000000000173</v>
      </c>
      <c r="F33" s="1913">
        <f t="shared" si="12"/>
        <v>33.476774641103887</v>
      </c>
      <c r="G33" s="1913">
        <f t="shared" si="12"/>
        <v>2.7749479358744407</v>
      </c>
      <c r="H33" s="691">
        <v>962.34834282743623</v>
      </c>
      <c r="I33" s="691">
        <v>0.5351547940045478</v>
      </c>
      <c r="J33" s="2911">
        <v>4.4359909427262048E-2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69.547370682354909</v>
      </c>
      <c r="D36" s="1909" t="s">
        <v>1814</v>
      </c>
      <c r="E36" s="1913">
        <f t="shared" si="13"/>
        <v>51.411918339265014</v>
      </c>
      <c r="F36" s="1913">
        <f t="shared" si="14"/>
        <v>261.00000000000011</v>
      </c>
      <c r="G36" s="1913">
        <f t="shared" si="14"/>
        <v>1.0000000000000007</v>
      </c>
      <c r="H36" s="691">
        <v>3.5755637422318247</v>
      </c>
      <c r="I36" s="691">
        <v>1.8151863748094639E-2</v>
      </c>
      <c r="J36" s="2911">
        <v>6.9547370682354945E-5</v>
      </c>
    </row>
    <row r="37" spans="2:10" ht="18" customHeight="1" x14ac:dyDescent="0.2">
      <c r="B37" s="282" t="s">
        <v>137</v>
      </c>
      <c r="C37" s="691">
        <v>4577.4430380736603</v>
      </c>
      <c r="D37" s="1909" t="s">
        <v>1814</v>
      </c>
      <c r="E37" s="1913">
        <f t="shared" si="13"/>
        <v>67.259999999999962</v>
      </c>
      <c r="F37" s="1913">
        <f t="shared" si="14"/>
        <v>19.902822116005229</v>
      </c>
      <c r="G37" s="1913">
        <f t="shared" si="14"/>
        <v>6.8485666049320209</v>
      </c>
      <c r="H37" s="691">
        <v>307.87881874083416</v>
      </c>
      <c r="I37" s="691">
        <v>9.1104034532926606E-2</v>
      </c>
      <c r="J37" s="2911">
        <v>3.1348923526529841E-2</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240608.22134891254</v>
      </c>
      <c r="D40" s="1909" t="s">
        <v>1814</v>
      </c>
      <c r="E40" s="628"/>
      <c r="F40" s="628"/>
      <c r="G40" s="628"/>
      <c r="H40" s="1913">
        <f>IF(SUM(H41:H44,H46,H48)=0,"NO",SUM(H41:H44,H46,H48))</f>
        <v>16606.590194077406</v>
      </c>
      <c r="I40" s="1913">
        <f>IF(SUM(I41:I44,I46:I48)=0,"NO",SUM(I41:I44,I46:I48))</f>
        <v>1.9606331069234013</v>
      </c>
      <c r="J40" s="3085">
        <f>IF(SUM(J41:J44,J46:J48)=0,"NO",SUM(J41:J44,J46:J48))</f>
        <v>0.5505831273276941</v>
      </c>
    </row>
    <row r="41" spans="2:10" ht="18" customHeight="1" x14ac:dyDescent="0.2">
      <c r="B41" s="282" t="s">
        <v>167</v>
      </c>
      <c r="C41" s="691">
        <v>58659.380348858496</v>
      </c>
      <c r="D41" s="1909" t="s">
        <v>1814</v>
      </c>
      <c r="E41" s="1913">
        <f t="shared" ref="E41:E43" si="16">IFERROR(H41*1000/$C41,"NA")</f>
        <v>67.400000000000077</v>
      </c>
      <c r="F41" s="1913">
        <f t="shared" ref="F41:G43" si="17">IFERROR(I41*1000000/$C41,"NA")</f>
        <v>11.944592171398346</v>
      </c>
      <c r="G41" s="1913">
        <f t="shared" si="17"/>
        <v>4.2442611755188207</v>
      </c>
      <c r="H41" s="691">
        <v>3953.6422355130667</v>
      </c>
      <c r="I41" s="691">
        <v>0.70066237529405329</v>
      </c>
      <c r="J41" s="2911">
        <v>0.24896573059465174</v>
      </c>
    </row>
    <row r="42" spans="2:10" ht="18" customHeight="1" x14ac:dyDescent="0.2">
      <c r="B42" s="282" t="s">
        <v>168</v>
      </c>
      <c r="C42" s="691">
        <v>178381.25131046399</v>
      </c>
      <c r="D42" s="1909" t="s">
        <v>1814</v>
      </c>
      <c r="E42" s="1913">
        <f t="shared" si="16"/>
        <v>69.90000000000019</v>
      </c>
      <c r="F42" s="1913">
        <f t="shared" si="17"/>
        <v>6.4231378423620988</v>
      </c>
      <c r="G42" s="1913">
        <f t="shared" si="17"/>
        <v>1.6091276190969628</v>
      </c>
      <c r="H42" s="691">
        <v>12468.849466601467</v>
      </c>
      <c r="I42" s="691">
        <v>1.145767365660145</v>
      </c>
      <c r="J42" s="2911">
        <v>0.2870381982127439</v>
      </c>
    </row>
    <row r="43" spans="2:10" ht="18" customHeight="1" x14ac:dyDescent="0.2">
      <c r="B43" s="282" t="s">
        <v>169</v>
      </c>
      <c r="C43" s="691">
        <v>2968.1954932682602</v>
      </c>
      <c r="D43" s="1909" t="s">
        <v>1814</v>
      </c>
      <c r="E43" s="1913">
        <f t="shared" si="16"/>
        <v>60.200000000000053</v>
      </c>
      <c r="F43" s="1913">
        <f t="shared" si="17"/>
        <v>23.813511125034452</v>
      </c>
      <c r="G43" s="1913">
        <f t="shared" si="17"/>
        <v>2.7478553976310609</v>
      </c>
      <c r="H43" s="691">
        <v>178.68536869474943</v>
      </c>
      <c r="I43" s="691">
        <v>7.068315640022084E-2</v>
      </c>
      <c r="J43" s="2911">
        <v>8.1561720074013778E-3</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v>105.289268383267</v>
      </c>
      <c r="D46" s="1909" t="s">
        <v>1814</v>
      </c>
      <c r="E46" s="1913">
        <f t="shared" si="18"/>
        <v>51.411918339265227</v>
      </c>
      <c r="F46" s="1913">
        <f t="shared" si="19"/>
        <v>261.00000000000125</v>
      </c>
      <c r="G46" s="1913">
        <f t="shared" si="19"/>
        <v>1.0000000000000047</v>
      </c>
      <c r="H46" s="691">
        <v>5.4131232681215034</v>
      </c>
      <c r="I46" s="691">
        <v>2.7480499048032816E-2</v>
      </c>
      <c r="J46" s="2911">
        <v>1.0528926838326749E-4</v>
      </c>
    </row>
    <row r="47" spans="2:10" ht="18" customHeight="1" x14ac:dyDescent="0.2">
      <c r="B47" s="282" t="s">
        <v>137</v>
      </c>
      <c r="C47" s="691">
        <v>494.10492793854598</v>
      </c>
      <c r="D47" s="1909" t="s">
        <v>1814</v>
      </c>
      <c r="E47" s="1913">
        <f t="shared" si="18"/>
        <v>67.260000000000062</v>
      </c>
      <c r="F47" s="1913">
        <f t="shared" si="19"/>
        <v>32.46215452225605</v>
      </c>
      <c r="G47" s="1913">
        <f t="shared" si="19"/>
        <v>12.786225935596336</v>
      </c>
      <c r="H47" s="691">
        <v>33.233497453146633</v>
      </c>
      <c r="I47" s="691">
        <v>1.6039710520949269E-2</v>
      </c>
      <c r="J47" s="2911">
        <v>6.317737244513795E-3</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308506.30214271019</v>
      </c>
      <c r="D50" s="1909" t="s">
        <v>1814</v>
      </c>
      <c r="E50" s="628"/>
      <c r="F50" s="628"/>
      <c r="G50" s="628"/>
      <c r="H50" s="1913">
        <f>IF(SUM(H51:H54,H56,H58)=0,"NO",SUM(H51:H54,H56,H58))</f>
        <v>21482.998110948127</v>
      </c>
      <c r="I50" s="1913">
        <f>IF(SUM(I51:I54,I56:I58)=0,"NO",SUM(I51:I54,I56:I58))</f>
        <v>1.375190538526293</v>
      </c>
      <c r="J50" s="3085">
        <f>IF(SUM(J51:J54,J56:J58)=0,"NO",SUM(J51:J54,J56:J58))</f>
        <v>0.5534119719008419</v>
      </c>
    </row>
    <row r="51" spans="2:10" ht="18" customHeight="1" x14ac:dyDescent="0.2">
      <c r="B51" s="282" t="s">
        <v>167</v>
      </c>
      <c r="C51" s="691">
        <v>1934.94483789638</v>
      </c>
      <c r="D51" s="1909" t="s">
        <v>1814</v>
      </c>
      <c r="E51" s="1913">
        <f t="shared" ref="E51:E53" si="21">IFERROR(H51*1000/$C51,"NA")</f>
        <v>67.399999999999849</v>
      </c>
      <c r="F51" s="1913">
        <f t="shared" ref="F51:G53" si="22">IFERROR(I51*1000000/$C51,"NA")</f>
        <v>13.426130538317603</v>
      </c>
      <c r="G51" s="1913">
        <f t="shared" si="22"/>
        <v>0.82668676891812354</v>
      </c>
      <c r="H51" s="691">
        <v>130.41528207421572</v>
      </c>
      <c r="I51" s="691">
        <v>2.5978821978040592E-2</v>
      </c>
      <c r="J51" s="2911">
        <v>1.5995932960753607E-3</v>
      </c>
    </row>
    <row r="52" spans="2:10" ht="18" customHeight="1" x14ac:dyDescent="0.2">
      <c r="B52" s="282" t="s">
        <v>168</v>
      </c>
      <c r="C52" s="691">
        <v>301784.85844963801</v>
      </c>
      <c r="D52" s="1909" t="s">
        <v>1814</v>
      </c>
      <c r="E52" s="1913">
        <f t="shared" si="21"/>
        <v>69.899999999999977</v>
      </c>
      <c r="F52" s="1913">
        <f t="shared" si="22"/>
        <v>3.2733529897933318</v>
      </c>
      <c r="G52" s="1913">
        <f t="shared" si="22"/>
        <v>1.8103121053436961</v>
      </c>
      <c r="H52" s="691">
        <v>21094.76160562969</v>
      </c>
      <c r="I52" s="691">
        <v>0.98784836868047998</v>
      </c>
      <c r="J52" s="2911">
        <v>0.54632478246081351</v>
      </c>
    </row>
    <row r="53" spans="2:10" ht="18" customHeight="1" x14ac:dyDescent="0.2">
      <c r="B53" s="282" t="s">
        <v>169</v>
      </c>
      <c r="C53" s="691">
        <v>1335.6879719707199</v>
      </c>
      <c r="D53" s="1909" t="s">
        <v>1814</v>
      </c>
      <c r="E53" s="1913">
        <f t="shared" si="21"/>
        <v>60.199999999999946</v>
      </c>
      <c r="F53" s="1913">
        <f t="shared" si="22"/>
        <v>9.6066214065915698</v>
      </c>
      <c r="G53" s="1913">
        <f t="shared" si="22"/>
        <v>1.5248960112613508</v>
      </c>
      <c r="H53" s="691">
        <v>80.408415912637267</v>
      </c>
      <c r="I53" s="691">
        <v>1.28314486640608E-2</v>
      </c>
      <c r="J53" s="2911">
        <v>2.0367852607479134E-3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3450.8108832050702</v>
      </c>
      <c r="D56" s="1909" t="s">
        <v>1814</v>
      </c>
      <c r="E56" s="1913">
        <f t="shared" si="23"/>
        <v>51.411918339264922</v>
      </c>
      <c r="F56" s="1913">
        <f t="shared" si="24"/>
        <v>100.99999999999986</v>
      </c>
      <c r="G56" s="1913">
        <f t="shared" si="24"/>
        <v>0.99999999999999833</v>
      </c>
      <c r="H56" s="691">
        <v>177.41280733158573</v>
      </c>
      <c r="I56" s="691">
        <v>0.34853189920371158</v>
      </c>
      <c r="J56" s="2911">
        <v>3.4508108832050645E-3</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4348.1990259895383</v>
      </c>
      <c r="D60" s="1909" t="s">
        <v>1814</v>
      </c>
      <c r="E60" s="628"/>
      <c r="F60" s="628"/>
      <c r="G60" s="628"/>
      <c r="H60" s="1913">
        <f>IF(SUM(H61:H64,H66,H68)=0,"NO",SUM(H61:H64,H66,H68))</f>
        <v>293.08666682293978</v>
      </c>
      <c r="I60" s="1913">
        <f>IF(SUM(I61:I64,I66:I68)=0,"NO",SUM(I61:I64,I66:I68))</f>
        <v>0.3285798007486867</v>
      </c>
      <c r="J60" s="3085">
        <f>IF(SUM(J61:J64,J66:J68)=0,"NO",SUM(J61:J64,J66:J68))</f>
        <v>4.3810640099824893E-3</v>
      </c>
    </row>
    <row r="61" spans="2:10" ht="18" customHeight="1" x14ac:dyDescent="0.2">
      <c r="B61" s="282" t="s">
        <v>167</v>
      </c>
      <c r="C61" s="691">
        <v>4345.1392851006294</v>
      </c>
      <c r="D61" s="1909" t="s">
        <v>1814</v>
      </c>
      <c r="E61" s="1913">
        <f t="shared" ref="E61:E63" si="26">IFERROR(H61*1000/$C61,"NA")</f>
        <v>67.400000000000063</v>
      </c>
      <c r="F61" s="1913">
        <f t="shared" ref="F61:G63" si="27">IFERROR(I61*1000000/$C61,"NA")</f>
        <v>75.620084694494921</v>
      </c>
      <c r="G61" s="1913">
        <f t="shared" si="27"/>
        <v>1.0082677959265989</v>
      </c>
      <c r="H61" s="691">
        <v>292.86238781578271</v>
      </c>
      <c r="I61" s="691">
        <v>0.3285798007486867</v>
      </c>
      <c r="J61" s="2911">
        <v>4.3810640099824893E-3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3.0597408889092201</v>
      </c>
      <c r="D68" s="1909" t="s">
        <v>1814</v>
      </c>
      <c r="E68" s="628"/>
      <c r="F68" s="628"/>
      <c r="G68" s="628"/>
      <c r="H68" s="1913">
        <f>H69</f>
        <v>0.22427900715704566</v>
      </c>
      <c r="I68" s="1913" t="str">
        <f>I69</f>
        <v>NE</v>
      </c>
      <c r="J68" s="3085" t="str">
        <f>J69</f>
        <v>NE</v>
      </c>
    </row>
    <row r="69" spans="2:10" ht="18" customHeight="1" x14ac:dyDescent="0.2">
      <c r="B69" s="3105" t="s">
        <v>252</v>
      </c>
      <c r="C69" s="691">
        <v>3.0597408889092201</v>
      </c>
      <c r="D69" s="1909" t="s">
        <v>1814</v>
      </c>
      <c r="E69" s="3103">
        <f t="shared" ref="E69" si="30">IFERROR(H69*1000/$C69,"NA")</f>
        <v>73.29999999999994</v>
      </c>
      <c r="F69" s="3103" t="str">
        <f>IFERROR(I69*1000000/$C69,"NA")</f>
        <v>NA</v>
      </c>
      <c r="G69" s="3103" t="str">
        <f>IFERROR(J69*1000000/$C69,"NA")</f>
        <v>NA</v>
      </c>
      <c r="H69" s="691">
        <v>0.22427900715704566</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50965.991000000002</v>
      </c>
      <c r="D81" s="1909" t="s">
        <v>1814</v>
      </c>
      <c r="E81" s="628"/>
      <c r="F81" s="628"/>
      <c r="G81" s="628"/>
      <c r="H81" s="1913">
        <f>IF(SUM(H82:H84,H86)=0,"NO",SUM(H82:H84,H86))</f>
        <v>3562.5293421000006</v>
      </c>
      <c r="I81" s="1913">
        <f>IF(SUM(I82:I86)=0,"NO",SUM(I82:I86))</f>
        <v>0.20385686</v>
      </c>
      <c r="J81" s="3085">
        <f>IF(SUM(J82:J86)=0,"NO",SUM(J82:J86))</f>
        <v>1.5289264499999999</v>
      </c>
    </row>
    <row r="82" spans="2:10" ht="18" customHeight="1" x14ac:dyDescent="0.2">
      <c r="B82" s="282" t="s">
        <v>132</v>
      </c>
      <c r="C82" s="691">
        <v>50965.991000000002</v>
      </c>
      <c r="D82" s="1909" t="s">
        <v>1814</v>
      </c>
      <c r="E82" s="1913">
        <f t="shared" ref="E82:E85" si="36">IFERROR(H82*1000/$C82,"NA")</f>
        <v>69.900128933036939</v>
      </c>
      <c r="F82" s="1913">
        <f t="shared" ref="F82:G85" si="37">IFERROR(I82*1000000/$C82,"NA")</f>
        <v>3.9998606129330443</v>
      </c>
      <c r="G82" s="1913">
        <f t="shared" si="37"/>
        <v>29.998954596997827</v>
      </c>
      <c r="H82" s="691">
        <v>3562.5293421000006</v>
      </c>
      <c r="I82" s="691">
        <v>0.20385686</v>
      </c>
      <c r="J82" s="2911">
        <v>1.5289264499999999</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t="s">
        <v>2146</v>
      </c>
      <c r="D84" s="1909" t="s">
        <v>1814</v>
      </c>
      <c r="E84" s="1913" t="str">
        <f t="shared" si="36"/>
        <v>NA</v>
      </c>
      <c r="F84" s="1913" t="str">
        <f t="shared" si="37"/>
        <v>NA</v>
      </c>
      <c r="G84" s="1913" t="str">
        <f t="shared" si="37"/>
        <v>NA</v>
      </c>
      <c r="H84" s="691" t="s">
        <v>2146</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25210.299091153538</v>
      </c>
      <c r="D88" s="1909" t="s">
        <v>1814</v>
      </c>
      <c r="E88" s="628"/>
      <c r="F88" s="628"/>
      <c r="G88" s="628"/>
      <c r="H88" s="1913">
        <f>IF(SUM(H89:H92,H94,H96)=0,"NO",SUM(H89:H92,H94,H96))</f>
        <v>1737.6115901932542</v>
      </c>
      <c r="I88" s="3334">
        <f>IF(SUM(I89:I92,I94:I96)=0,"NE",SUM(I89:I92,I94:I96))</f>
        <v>4.7743044448470195</v>
      </c>
      <c r="J88" s="3335">
        <f>IF(SUM(J89:J92,J94:J96)=0,"NE",SUM(J89:J92,J94:J96))</f>
        <v>3.6623885437723984E-2</v>
      </c>
    </row>
    <row r="89" spans="2:10" ht="18" customHeight="1" x14ac:dyDescent="0.2">
      <c r="B89" s="282" t="s">
        <v>190</v>
      </c>
      <c r="C89" s="691">
        <v>4734</v>
      </c>
      <c r="D89" s="1909" t="s">
        <v>1814</v>
      </c>
      <c r="E89" s="1913">
        <f t="shared" ref="E89:E91" si="39">IFERROR(H89*1000/$C89,"NA")</f>
        <v>73.59999999999998</v>
      </c>
      <c r="F89" s="1913">
        <f t="shared" ref="F89:G91" si="40">IFERROR(I89*1000000/$C89,"NA")</f>
        <v>7</v>
      </c>
      <c r="G89" s="1913">
        <f t="shared" si="40"/>
        <v>2</v>
      </c>
      <c r="H89" s="691">
        <v>348.42239999999993</v>
      </c>
      <c r="I89" s="3336">
        <v>3.3138000000000001E-2</v>
      </c>
      <c r="J89" s="3337">
        <v>9.4680000000000007E-3</v>
      </c>
    </row>
    <row r="90" spans="2:10" ht="18" customHeight="1" x14ac:dyDescent="0.2">
      <c r="B90" s="282" t="s">
        <v>191</v>
      </c>
      <c r="C90" s="691">
        <v>7516.8979907130906</v>
      </c>
      <c r="D90" s="1909" t="s">
        <v>1814</v>
      </c>
      <c r="E90" s="1913">
        <f t="shared" si="39"/>
        <v>69.899999999999991</v>
      </c>
      <c r="F90" s="1913">
        <f t="shared" si="40"/>
        <v>6.9999999999999991</v>
      </c>
      <c r="G90" s="1913">
        <f t="shared" si="40"/>
        <v>1.9999999999999998</v>
      </c>
      <c r="H90" s="691">
        <v>525.43116955084497</v>
      </c>
      <c r="I90" s="3336">
        <v>5.2618285934991627E-2</v>
      </c>
      <c r="J90" s="3337">
        <v>1.5033795981426179E-2</v>
      </c>
    </row>
    <row r="91" spans="2:10" ht="18" customHeight="1" x14ac:dyDescent="0.2">
      <c r="B91" s="282" t="s">
        <v>167</v>
      </c>
      <c r="C91" s="691">
        <v>12699.3560261044</v>
      </c>
      <c r="D91" s="1909" t="s">
        <v>1814</v>
      </c>
      <c r="E91" s="1913">
        <f t="shared" si="39"/>
        <v>67.400000000000048</v>
      </c>
      <c r="F91" s="1913">
        <f t="shared" si="40"/>
        <v>360.00000000000017</v>
      </c>
      <c r="G91" s="1913">
        <f t="shared" si="40"/>
        <v>0.90000000000000047</v>
      </c>
      <c r="H91" s="691">
        <v>855.93659615943716</v>
      </c>
      <c r="I91" s="3336">
        <v>4.5717681693975862</v>
      </c>
      <c r="J91" s="3337">
        <v>1.1429420423493966E-2</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150.15760694183399</v>
      </c>
      <c r="D94" s="1909" t="s">
        <v>1814</v>
      </c>
      <c r="E94" s="1913">
        <f t="shared" ref="E94:E95" si="43">IFERROR(H94*1000/$C94,"NA")</f>
        <v>51.411918339265</v>
      </c>
      <c r="F94" s="1913">
        <f t="shared" si="42"/>
        <v>243.00000000000003</v>
      </c>
      <c r="G94" s="1913">
        <f t="shared" si="42"/>
        <v>1</v>
      </c>
      <c r="H94" s="691">
        <v>7.7198906261130205</v>
      </c>
      <c r="I94" s="3336">
        <v>3.6488298486865661E-2</v>
      </c>
      <c r="J94" s="3337">
        <v>1.50157606941834E-4</v>
      </c>
    </row>
    <row r="95" spans="2:10" ht="18" customHeight="1" x14ac:dyDescent="0.2">
      <c r="B95" s="282" t="s">
        <v>137</v>
      </c>
      <c r="C95" s="691">
        <v>108.50228517240001</v>
      </c>
      <c r="D95" s="1909" t="s">
        <v>1814</v>
      </c>
      <c r="E95" s="1913">
        <f t="shared" si="43"/>
        <v>67.260000000000133</v>
      </c>
      <c r="F95" s="1913">
        <f t="shared" si="42"/>
        <v>740.00000000000125</v>
      </c>
      <c r="G95" s="1913">
        <f t="shared" si="42"/>
        <v>5.0000000000000107</v>
      </c>
      <c r="H95" s="691">
        <v>7.2978637006956397</v>
      </c>
      <c r="I95" s="3336">
        <v>8.0291691027576148E-2</v>
      </c>
      <c r="J95" s="3337">
        <v>5.4251142586200112E-4</v>
      </c>
    </row>
    <row r="96" spans="2:10" ht="18" customHeight="1" x14ac:dyDescent="0.2">
      <c r="B96" s="282" t="s">
        <v>183</v>
      </c>
      <c r="C96" s="1913">
        <f>IF(SUM(C97:C98)=0,"NO",SUM(C97:C98))</f>
        <v>1.38518222181565</v>
      </c>
      <c r="D96" s="1909" t="s">
        <v>1814</v>
      </c>
      <c r="E96" s="628"/>
      <c r="F96" s="628"/>
      <c r="G96" s="628"/>
      <c r="H96" s="1913">
        <f>IF(SUM(H97:H98)=0,"NO",SUM(H97:H98))</f>
        <v>0.10153385685908706</v>
      </c>
      <c r="I96" s="3334" t="str">
        <f>IF(SUM(I97:I98)=0,"NE",SUM(I97:I98))</f>
        <v>NE</v>
      </c>
      <c r="J96" s="3335" t="str">
        <f>IF(SUM(J97:J98)=0,"NE",SUM(J97:J98))</f>
        <v>NE</v>
      </c>
    </row>
    <row r="97" spans="2:10" ht="18" customHeight="1" x14ac:dyDescent="0.2">
      <c r="B97" s="2572" t="s">
        <v>2260</v>
      </c>
      <c r="C97" s="691" t="s">
        <v>2146</v>
      </c>
      <c r="D97" s="1909" t="s">
        <v>1814</v>
      </c>
      <c r="E97" s="3103" t="str">
        <f t="shared" ref="E97" si="44">IFERROR(H97*1000/$C97,"NA")</f>
        <v>NA</v>
      </c>
      <c r="F97" s="3103" t="str">
        <f>IFERROR(I97*1000000/$C97,"NA")</f>
        <v>NA</v>
      </c>
      <c r="G97" s="3103" t="str">
        <f>IFERROR(J97*1000000/$C97,"NA")</f>
        <v>NA</v>
      </c>
      <c r="H97" s="691" t="s">
        <v>2146</v>
      </c>
      <c r="I97" s="3336" t="s">
        <v>2146</v>
      </c>
      <c r="J97" s="3337" t="s">
        <v>2146</v>
      </c>
    </row>
    <row r="98" spans="2:10" ht="18" customHeight="1" x14ac:dyDescent="0.2">
      <c r="B98" s="2572" t="s">
        <v>252</v>
      </c>
      <c r="C98" s="691">
        <v>1.38518222181565</v>
      </c>
      <c r="D98" s="1909" t="s">
        <v>1814</v>
      </c>
      <c r="E98" s="3103">
        <f t="shared" ref="E98" si="45">IFERROR(H98*1000/$C98,"NA")</f>
        <v>73.29999999999994</v>
      </c>
      <c r="F98" s="3103" t="str">
        <f>IFERROR(I98*1000000/$C98,"NA")</f>
        <v>NA</v>
      </c>
      <c r="G98" s="3103" t="str">
        <f>IFERROR(J98*1000000/$C98,"NA")</f>
        <v>NA</v>
      </c>
      <c r="H98" s="691">
        <v>0.10153385685908706</v>
      </c>
      <c r="I98" s="3336" t="s">
        <v>2154</v>
      </c>
      <c r="J98" s="3337" t="s">
        <v>2154</v>
      </c>
    </row>
    <row r="99" spans="2:10" ht="18" customHeight="1" x14ac:dyDescent="0.2">
      <c r="B99" s="1241" t="s">
        <v>193</v>
      </c>
      <c r="C99" s="1913">
        <f>IF(SUM(C100:C104)=0,"NO",SUM(C100:C104))</f>
        <v>15548.357636501614</v>
      </c>
      <c r="D99" s="1909" t="s">
        <v>1814</v>
      </c>
      <c r="E99" s="628"/>
      <c r="F99" s="628"/>
      <c r="G99" s="628"/>
      <c r="H99" s="1913">
        <f>IF(SUM(H100:H103)=0,"NO",SUM(H100:H103))</f>
        <v>808.55949343097575</v>
      </c>
      <c r="I99" s="1913">
        <f>IF(SUM(I100:I104)=0,"NO",SUM(I100:I104))</f>
        <v>0.15153920122111597</v>
      </c>
      <c r="J99" s="3085">
        <f>IF(SUM(J100:J104)=0,"NO",SUM(J100:J104))</f>
        <v>1.6288512203115493E-3</v>
      </c>
    </row>
    <row r="100" spans="2:10" ht="18" customHeight="1" x14ac:dyDescent="0.2">
      <c r="B100" s="282" t="s">
        <v>132</v>
      </c>
      <c r="C100" s="1913">
        <f>IF(SUM(C106,C113:C116)=0,"NO",SUM(C106,C113:C116))</f>
        <v>617.49934880705916</v>
      </c>
      <c r="D100" s="1909" t="s">
        <v>1814</v>
      </c>
      <c r="E100" s="3103">
        <f t="shared" ref="E100:E104" si="46">IFERROR(H100*1000/$C100,"NA")</f>
        <v>66.398088647489828</v>
      </c>
      <c r="F100" s="3103">
        <f t="shared" ref="F100:G104" si="47">IFERROR(I100*1000000/$C100,"NA")</f>
        <v>49.256742320096308</v>
      </c>
      <c r="G100" s="3103">
        <f t="shared" si="47"/>
        <v>0.19702696928038524</v>
      </c>
      <c r="H100" s="1913">
        <f>IF(SUM(H106,H113:H116)=0,"NO",SUM(H106,H113:H116))</f>
        <v>41.000776501858361</v>
      </c>
      <c r="I100" s="1913">
        <f>IF(SUM(I106,I113:I116)=0,"NO",SUM(I106,I113:I116))</f>
        <v>3.0416006307016581E-2</v>
      </c>
      <c r="J100" s="3085">
        <f>IF(SUM(J106,J113:J116)=0,"NO",SUM(J106,J113:J116))</f>
        <v>1.2166402522806633E-4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14916.5</v>
      </c>
      <c r="D102" s="1909" t="s">
        <v>1814</v>
      </c>
      <c r="E102" s="3103">
        <f t="shared" si="46"/>
        <v>51.411918339265</v>
      </c>
      <c r="F102" s="3103">
        <f t="shared" si="47"/>
        <v>7.8447488584474874</v>
      </c>
      <c r="G102" s="3103">
        <f t="shared" si="47"/>
        <v>9.9999999999999978E-2</v>
      </c>
      <c r="H102" s="1913">
        <f t="shared" si="48"/>
        <v>766.88587990764631</v>
      </c>
      <c r="I102" s="1913">
        <f t="shared" si="48"/>
        <v>0.11701619634703195</v>
      </c>
      <c r="J102" s="3085">
        <f t="shared" si="48"/>
        <v>1.4916499999999997E-3</v>
      </c>
    </row>
    <row r="103" spans="2:10" ht="18" customHeight="1" x14ac:dyDescent="0.2">
      <c r="B103" s="282" t="s">
        <v>175</v>
      </c>
      <c r="C103" s="1913">
        <f>IF(SUM(C109,C120)=0,"NO",SUM(C109,C120))</f>
        <v>9.1792226667276502</v>
      </c>
      <c r="D103" s="1909" t="s">
        <v>1814</v>
      </c>
      <c r="E103" s="3103">
        <f t="shared" si="46"/>
        <v>73.300000000000011</v>
      </c>
      <c r="F103" s="3103" t="str">
        <f t="shared" si="47"/>
        <v>NA</v>
      </c>
      <c r="G103" s="3103" t="str">
        <f t="shared" si="47"/>
        <v>NA</v>
      </c>
      <c r="H103" s="1913">
        <f t="shared" si="48"/>
        <v>0.67283702147113689</v>
      </c>
      <c r="I103" s="1913" t="str">
        <f t="shared" si="48"/>
        <v>NO</v>
      </c>
      <c r="J103" s="3085" t="str">
        <f t="shared" si="48"/>
        <v>NO</v>
      </c>
    </row>
    <row r="104" spans="2:10" ht="18" customHeight="1" x14ac:dyDescent="0.2">
      <c r="B104" s="282" t="s">
        <v>137</v>
      </c>
      <c r="C104" s="1913">
        <f>IF(SUM(C110,C121)=0,"NO",SUM(C110,C121))</f>
        <v>5.1790650278278001</v>
      </c>
      <c r="D104" s="1909" t="s">
        <v>1814</v>
      </c>
      <c r="E104" s="3103">
        <f t="shared" si="46"/>
        <v>67.260000000000062</v>
      </c>
      <c r="F104" s="3103">
        <f t="shared" si="47"/>
        <v>793.0000000000008</v>
      </c>
      <c r="G104" s="3103">
        <f t="shared" si="47"/>
        <v>3.0000000000000022</v>
      </c>
      <c r="H104" s="1913">
        <f t="shared" si="48"/>
        <v>0.34834391377169815</v>
      </c>
      <c r="I104" s="1913">
        <f t="shared" si="48"/>
        <v>4.1069985670674491E-3</v>
      </c>
      <c r="J104" s="3085">
        <f t="shared" si="48"/>
        <v>1.5537195083483412E-5</v>
      </c>
    </row>
    <row r="105" spans="2:10" ht="18" customHeight="1" x14ac:dyDescent="0.2">
      <c r="B105" s="1244" t="s">
        <v>194</v>
      </c>
      <c r="C105" s="1913">
        <f>IF(SUM(C106:C110)=0,"NO",SUM(C106:C110))</f>
        <v>14916.5</v>
      </c>
      <c r="D105" s="1909" t="s">
        <v>1814</v>
      </c>
      <c r="E105" s="628"/>
      <c r="F105" s="628"/>
      <c r="G105" s="628"/>
      <c r="H105" s="1913">
        <f>IF(SUM(H106:H109)=0,"NO",SUM(H106:H109))</f>
        <v>766.88587990764631</v>
      </c>
      <c r="I105" s="1913">
        <f>IF(SUM(I106:I110)=0,"NO",SUM(I106:I110))</f>
        <v>0.11701619634703195</v>
      </c>
      <c r="J105" s="3085">
        <f>IF(SUM(J106:J110)=0,"NO",SUM(J106:J110))</f>
        <v>1.4916499999999997E-3</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14916.5</v>
      </c>
      <c r="D108" s="1909" t="s">
        <v>1814</v>
      </c>
      <c r="E108" s="3103">
        <f t="shared" si="49"/>
        <v>51.411918339265</v>
      </c>
      <c r="F108" s="3103">
        <f t="shared" si="50"/>
        <v>7.8447488584474874</v>
      </c>
      <c r="G108" s="3103">
        <f t="shared" si="50"/>
        <v>9.9999999999999978E-2</v>
      </c>
      <c r="H108" s="691">
        <v>766.88587990764631</v>
      </c>
      <c r="I108" s="691">
        <v>0.11701619634703195</v>
      </c>
      <c r="J108" s="2911">
        <v>1.4916499999999997E-3</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631.85763650161471</v>
      </c>
      <c r="D111" s="1909" t="s">
        <v>1814</v>
      </c>
      <c r="E111" s="628"/>
      <c r="F111" s="628"/>
      <c r="G111" s="628"/>
      <c r="H111" s="1913">
        <f>H112</f>
        <v>41.6736135233295</v>
      </c>
      <c r="I111" s="1913">
        <f>I112</f>
        <v>3.452300487408403E-2</v>
      </c>
      <c r="J111" s="3085">
        <f>J112</f>
        <v>1.3720122031154975E-4</v>
      </c>
    </row>
    <row r="112" spans="2:10" ht="18" customHeight="1" x14ac:dyDescent="0.2">
      <c r="B112" s="3089" t="s">
        <v>2148</v>
      </c>
      <c r="C112" s="3099">
        <f>IF(SUM(C113:C116,C118:C121)=0,"NO",SUM(C113:C116,C118:C121))</f>
        <v>631.85763650161471</v>
      </c>
      <c r="D112" s="3099" t="s">
        <v>1814</v>
      </c>
      <c r="E112" s="628"/>
      <c r="F112" s="628"/>
      <c r="G112" s="628"/>
      <c r="H112" s="3099">
        <f>IF(SUM(H113:H116,H118:H120)=0,"NO",SUM(H113:H116,H118:H120))</f>
        <v>41.6736135233295</v>
      </c>
      <c r="I112" s="3099">
        <f>IF(SUM(I113:I116,I118:I121)=0,"NO",SUM(I113:I116,I118:I121))</f>
        <v>3.452300487408403E-2</v>
      </c>
      <c r="J112" s="3100">
        <f>IF(SUM(J113:J116,J118:J121)=0,"NO",SUM(J113:J116,J118:J121))</f>
        <v>1.3720122031154975E-4</v>
      </c>
    </row>
    <row r="113" spans="2:10" ht="18" customHeight="1" x14ac:dyDescent="0.2">
      <c r="B113" s="282" t="s">
        <v>167</v>
      </c>
      <c r="C113" s="691">
        <v>617.49934880705916</v>
      </c>
      <c r="D113" s="1913" t="s">
        <v>1814</v>
      </c>
      <c r="E113" s="1913">
        <f t="shared" ref="E113:E115" si="51">IFERROR(H113*1000/$C113,"NA")</f>
        <v>66.398088647489828</v>
      </c>
      <c r="F113" s="1913">
        <f t="shared" ref="F113:G115" si="52">IFERROR(I113*1000000/$C113,"NA")</f>
        <v>49.256742320096308</v>
      </c>
      <c r="G113" s="1913">
        <f t="shared" si="52"/>
        <v>0.19702696928038524</v>
      </c>
      <c r="H113" s="691">
        <v>41.000776501858361</v>
      </c>
      <c r="I113" s="691">
        <v>3.0416006307016581E-2</v>
      </c>
      <c r="J113" s="2911">
        <v>1.2166402522806633E-4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9.1792226667276502</v>
      </c>
      <c r="D120" s="1909" t="s">
        <v>1814</v>
      </c>
      <c r="E120" s="3103">
        <f t="shared" si="53"/>
        <v>73.300000000000011</v>
      </c>
      <c r="F120" s="3103" t="str">
        <f t="shared" si="54"/>
        <v>NA</v>
      </c>
      <c r="G120" s="3103" t="str">
        <f t="shared" si="54"/>
        <v>NA</v>
      </c>
      <c r="H120" s="691">
        <v>0.67283702147113689</v>
      </c>
      <c r="I120" s="691" t="s">
        <v>2154</v>
      </c>
      <c r="J120" s="2911" t="s">
        <v>2154</v>
      </c>
    </row>
    <row r="121" spans="2:10" ht="18" customHeight="1" thickBot="1" x14ac:dyDescent="0.25">
      <c r="B121" s="2185" t="s">
        <v>137</v>
      </c>
      <c r="C121" s="1559">
        <v>5.1790650278278001</v>
      </c>
      <c r="D121" s="2880" t="s">
        <v>1814</v>
      </c>
      <c r="E121" s="3104">
        <f t="shared" si="53"/>
        <v>67.260000000000062</v>
      </c>
      <c r="F121" s="3104">
        <f t="shared" si="54"/>
        <v>793.0000000000008</v>
      </c>
      <c r="G121" s="3104">
        <f t="shared" si="54"/>
        <v>3.0000000000000022</v>
      </c>
      <c r="H121" s="1559">
        <v>0.34834391377169815</v>
      </c>
      <c r="I121" s="1559">
        <v>4.1069985670674491E-3</v>
      </c>
      <c r="J121" s="1561">
        <v>1.5537195083483412E-5</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424482.18828836363</v>
      </c>
      <c r="D10" s="3109" t="s">
        <v>1814</v>
      </c>
      <c r="E10" s="2135"/>
      <c r="F10" s="2135"/>
      <c r="G10" s="2135"/>
      <c r="H10" s="3109">
        <f>IF(SUM(H11:H15)=0,"NO",SUM(H11:H15))</f>
        <v>22249.420221504901</v>
      </c>
      <c r="I10" s="3109">
        <f>IF(SUM(I11:I16)=0,"NO",SUM(I11:I16))</f>
        <v>36.039131203241489</v>
      </c>
      <c r="J10" s="3109">
        <f>IF(SUM(J11:J16)=0,"NO",SUM(J11:J16))</f>
        <v>0.7333209663412209</v>
      </c>
      <c r="K10" s="420" t="str">
        <f>IF(SUM(K11:K16)=0,"NO",SUM(K11:K16))</f>
        <v>NO</v>
      </c>
    </row>
    <row r="11" spans="2:12" ht="18" customHeight="1" x14ac:dyDescent="0.2">
      <c r="B11" s="282" t="s">
        <v>132</v>
      </c>
      <c r="C11" s="1913">
        <f>IF(SUM(C18,C39,C60)=0,"NO",SUM(C18,C39,C60))</f>
        <v>170896.21540633033</v>
      </c>
      <c r="D11" s="3109" t="s">
        <v>1814</v>
      </c>
      <c r="E11" s="1913">
        <f t="shared" ref="E11:E16" si="0">IFERROR(H11*1000/$C11,"NA")</f>
        <v>68.523768785961295</v>
      </c>
      <c r="F11" s="1913">
        <f t="shared" ref="F11:G16" si="1">IFERROR(I11*1000000/$C11,"NA")</f>
        <v>8.6611301103231106</v>
      </c>
      <c r="G11" s="1913">
        <f t="shared" si="1"/>
        <v>2.6654910836939045</v>
      </c>
      <c r="H11" s="1913">
        <f>IF(SUM(H18,H39,H60)=0,"NO",SUM(H18,H39,H60))</f>
        <v>11710.452750899216</v>
      </c>
      <c r="I11" s="1913">
        <f>IF(SUM(I18,I39,I60)=0,"NO",SUM(I18,I39,I60))</f>
        <v>1.480154356996032</v>
      </c>
      <c r="J11" s="1913">
        <f>IF(SUM(J18,J39,J60)=0,"NO",SUM(J18,J39,J60))</f>
        <v>0.45552233840260636</v>
      </c>
      <c r="K11" s="3085" t="str">
        <f>IF(SUM(K18,K39,K60)=0,"NO",SUM(K18,K39,K60))</f>
        <v>NO</v>
      </c>
    </row>
    <row r="12" spans="2:12" ht="18" customHeight="1" x14ac:dyDescent="0.2">
      <c r="B12" s="282" t="s">
        <v>133</v>
      </c>
      <c r="C12" s="1913">
        <f t="shared" ref="C12:C16" si="2">IF(SUM(C19,C40,C61)=0,"NO",SUM(C19,C40,C61))</f>
        <v>490.97056498805154</v>
      </c>
      <c r="D12" s="3109" t="s">
        <v>1814</v>
      </c>
      <c r="E12" s="1913">
        <f t="shared" si="0"/>
        <v>92.843570157777705</v>
      </c>
      <c r="F12" s="1913">
        <f t="shared" si="1"/>
        <v>0.95238095238095233</v>
      </c>
      <c r="G12" s="1913">
        <f t="shared" si="1"/>
        <v>0.66666666666666663</v>
      </c>
      <c r="H12" s="1913">
        <f t="shared" ref="H12:K16" si="3">IF(SUM(H19,H40,H61)=0,"NO",SUM(H19,H40,H61))</f>
        <v>45.583460095871921</v>
      </c>
      <c r="I12" s="1913">
        <f t="shared" si="3"/>
        <v>4.6759101427433476E-4</v>
      </c>
      <c r="J12" s="1913">
        <f t="shared" si="3"/>
        <v>3.2731370999203432E-4</v>
      </c>
      <c r="K12" s="3085" t="str">
        <f t="shared" si="3"/>
        <v>NO</v>
      </c>
    </row>
    <row r="13" spans="2:12" ht="18" customHeight="1" x14ac:dyDescent="0.2">
      <c r="B13" s="282" t="s">
        <v>134</v>
      </c>
      <c r="C13" s="1913">
        <f t="shared" si="2"/>
        <v>204097.68060762627</v>
      </c>
      <c r="D13" s="3109" t="s">
        <v>1814</v>
      </c>
      <c r="E13" s="1913">
        <f t="shared" si="0"/>
        <v>51.413538749042097</v>
      </c>
      <c r="F13" s="1913">
        <f t="shared" si="1"/>
        <v>0.90909090909090906</v>
      </c>
      <c r="G13" s="1913">
        <f t="shared" si="1"/>
        <v>0.90909090909090906</v>
      </c>
      <c r="H13" s="1913">
        <f t="shared" si="3"/>
        <v>10493.384010509812</v>
      </c>
      <c r="I13" s="1913">
        <f t="shared" si="3"/>
        <v>0.18554334600693295</v>
      </c>
      <c r="J13" s="1913">
        <f t="shared" si="3"/>
        <v>0.18554334600693295</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48997.32170941896</v>
      </c>
      <c r="D16" s="3109" t="s">
        <v>1814</v>
      </c>
      <c r="E16" s="1913">
        <f t="shared" si="0"/>
        <v>77.349184861648922</v>
      </c>
      <c r="F16" s="1913">
        <f t="shared" si="1"/>
        <v>701.52744497086644</v>
      </c>
      <c r="G16" s="1913">
        <f t="shared" si="1"/>
        <v>1.8761835344158773</v>
      </c>
      <c r="H16" s="1913">
        <f t="shared" si="3"/>
        <v>3789.9028946275312</v>
      </c>
      <c r="I16" s="1913">
        <f t="shared" si="3"/>
        <v>34.372965909224249</v>
      </c>
      <c r="J16" s="1913">
        <f t="shared" si="3"/>
        <v>9.1927968221689457E-2</v>
      </c>
      <c r="K16" s="3085" t="str">
        <f t="shared" si="3"/>
        <v>NO</v>
      </c>
    </row>
    <row r="17" spans="2:11" ht="18" customHeight="1" x14ac:dyDescent="0.2">
      <c r="B17" s="1241" t="s">
        <v>1942</v>
      </c>
      <c r="C17" s="3109">
        <f>IF(SUM(C18:C23)=0,"NO",SUM(C18:C23))</f>
        <v>90024.586879847149</v>
      </c>
      <c r="D17" s="3109" t="s">
        <v>1814</v>
      </c>
      <c r="E17" s="628"/>
      <c r="F17" s="628"/>
      <c r="G17" s="628"/>
      <c r="H17" s="3078">
        <f>IF(SUM(H18:H22)=0,"NO",SUM(H18:H22))</f>
        <v>5362.8035775909411</v>
      </c>
      <c r="I17" s="3078">
        <f>IF(SUM(I18:I23)=0,"NO",SUM(I18:I23))</f>
        <v>0.1164277687287405</v>
      </c>
      <c r="J17" s="3110">
        <f>IF(SUM(J18:J23)=0,"NO",SUM(J18:J23))</f>
        <v>9.7221012165126339E-2</v>
      </c>
      <c r="K17" s="3085" t="str">
        <f>IF(SUM(K18:K23)=0,"NO",SUM(K18:K23))</f>
        <v>NO</v>
      </c>
    </row>
    <row r="18" spans="2:11" ht="18" customHeight="1" x14ac:dyDescent="0.2">
      <c r="B18" s="282" t="s">
        <v>132</v>
      </c>
      <c r="C18" s="3109">
        <f>IF(SUM(C26,C33)=0,"NO",SUM(C26,C33))</f>
        <v>42752.406099974512</v>
      </c>
      <c r="D18" s="3109" t="s">
        <v>1814</v>
      </c>
      <c r="E18" s="1913">
        <f t="shared" ref="E18" si="4">IFERROR(H18*1000/$C18,"NA")</f>
        <v>69.051350840149951</v>
      </c>
      <c r="F18" s="1913">
        <f t="shared" ref="F18:G23" si="5">IFERROR(I18*1000000/$C18,"NA")</f>
        <v>1.6623187327376647</v>
      </c>
      <c r="G18" s="1913">
        <f t="shared" si="5"/>
        <v>1.2385662045168273</v>
      </c>
      <c r="H18" s="3109">
        <f>IF(SUM(H26,H33)=0,"NO",SUM(H26,H33))</f>
        <v>2952.1113928699069</v>
      </c>
      <c r="I18" s="3109">
        <f>IF(SUM(I26,I33)=0,"NO",SUM(I26,I33))</f>
        <v>7.1068125529595641E-2</v>
      </c>
      <c r="J18" s="3109">
        <f>IF(SUM(J26,J33)=0,"NO",SUM(J26,J33))</f>
        <v>5.2951685357207491E-2</v>
      </c>
      <c r="K18" s="3085" t="str">
        <f>IF(SUM(K26,K33)=0,"NO",SUM(K26,K33))</f>
        <v>NO</v>
      </c>
    </row>
    <row r="19" spans="2:11" ht="18" customHeight="1" x14ac:dyDescent="0.2">
      <c r="B19" s="282" t="s">
        <v>133</v>
      </c>
      <c r="C19" s="3109">
        <f t="shared" ref="C19:C21" si="6">IF(SUM(C27,C34)=0,"NO",SUM(C27,C34))</f>
        <v>475.04896188848363</v>
      </c>
      <c r="D19" s="3109" t="s">
        <v>1814</v>
      </c>
      <c r="E19" s="1913">
        <f t="shared" ref="E19:E23" si="7">IFERROR(H19*1000/$C19,"NA")</f>
        <v>92.771295881199052</v>
      </c>
      <c r="F19" s="1913">
        <f t="shared" si="5"/>
        <v>0.95238095238095222</v>
      </c>
      <c r="G19" s="1913">
        <f t="shared" si="5"/>
        <v>0.66666666666666663</v>
      </c>
      <c r="H19" s="3109">
        <f t="shared" ref="H19:K21" si="8">IF(SUM(H27,H34)=0,"NO",SUM(H27,H34))</f>
        <v>44.070907801412972</v>
      </c>
      <c r="I19" s="3109">
        <f t="shared" si="8"/>
        <v>4.5242758275093674E-4</v>
      </c>
      <c r="J19" s="3109">
        <f t="shared" si="8"/>
        <v>3.1669930792565572E-4</v>
      </c>
      <c r="K19" s="3085" t="str">
        <f t="shared" si="8"/>
        <v>NO</v>
      </c>
    </row>
    <row r="20" spans="2:11" ht="18" customHeight="1" x14ac:dyDescent="0.2">
      <c r="B20" s="282" t="s">
        <v>134</v>
      </c>
      <c r="C20" s="3109">
        <f t="shared" si="6"/>
        <v>46026.108954492513</v>
      </c>
      <c r="D20" s="3109" t="s">
        <v>1814</v>
      </c>
      <c r="E20" s="1913">
        <f t="shared" si="7"/>
        <v>51.419103866885123</v>
      </c>
      <c r="F20" s="1913">
        <f t="shared" si="5"/>
        <v>0.90909090909090939</v>
      </c>
      <c r="G20" s="1913">
        <f t="shared" si="5"/>
        <v>0.90909090909090939</v>
      </c>
      <c r="H20" s="3109">
        <f t="shared" si="8"/>
        <v>2366.6212769196218</v>
      </c>
      <c r="I20" s="3109">
        <f t="shared" si="8"/>
        <v>4.1841917231356843E-2</v>
      </c>
      <c r="J20" s="3109">
        <f t="shared" si="8"/>
        <v>4.1841917231356843E-2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771.02286349164842</v>
      </c>
      <c r="D23" s="3109" t="s">
        <v>1814</v>
      </c>
      <c r="E23" s="1913">
        <f t="shared" si="7"/>
        <v>66.280143234867111</v>
      </c>
      <c r="F23" s="1913">
        <f t="shared" si="5"/>
        <v>3.9756257955251733</v>
      </c>
      <c r="G23" s="1913">
        <f t="shared" si="5"/>
        <v>2.7375456274769872</v>
      </c>
      <c r="H23" s="3109">
        <f>IF(SUM(H31,H37)=0,"NO",SUM(H31,H37))</f>
        <v>51.103505829583845</v>
      </c>
      <c r="I23" s="3109">
        <f>IF(SUM(I31,I37)=0,"NO",SUM(I31,I37))</f>
        <v>3.0652983850370818E-3</v>
      </c>
      <c r="J23" s="3109">
        <f>IF(SUM(J31,J37)=0,"NO",SUM(J31,J37))</f>
        <v>2.1107102686363484E-3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90024.586879847149</v>
      </c>
      <c r="D25" s="3078" t="s">
        <v>1814</v>
      </c>
      <c r="E25" s="628"/>
      <c r="F25" s="628"/>
      <c r="G25" s="628"/>
      <c r="H25" s="3078">
        <f>IF(SUM(H26:H30)=0,"NO",SUM(H26:H30))</f>
        <v>5362.8035775909411</v>
      </c>
      <c r="I25" s="3078">
        <f>IF(SUM(I26:I31)=0,"NO",SUM(I26:I31))</f>
        <v>0.1164277687287405</v>
      </c>
      <c r="J25" s="3110">
        <f>IF(SUM(J26:J31)=0,"NO",SUM(J26:J31))</f>
        <v>9.7221012165126339E-2</v>
      </c>
      <c r="K25" s="3085" t="str">
        <f>IF(SUM(K26:K31)=0,"NO",SUM(K26:K31))</f>
        <v>NO</v>
      </c>
    </row>
    <row r="26" spans="2:11" ht="18" customHeight="1" x14ac:dyDescent="0.2">
      <c r="B26" s="282" t="s">
        <v>132</v>
      </c>
      <c r="C26" s="691">
        <v>42752.406099974512</v>
      </c>
      <c r="D26" s="3078" t="s">
        <v>1814</v>
      </c>
      <c r="E26" s="1913">
        <f t="shared" ref="E26:E31" si="9">IFERROR(H26*1000/$C26,"NA")</f>
        <v>69.051350840149951</v>
      </c>
      <c r="F26" s="1913">
        <f t="shared" ref="F26:G31" si="10">IFERROR(I26*1000000/$C26,"NA")</f>
        <v>1.6623187327376647</v>
      </c>
      <c r="G26" s="1913">
        <f t="shared" si="10"/>
        <v>1.2385662045168273</v>
      </c>
      <c r="H26" s="691">
        <v>2952.1113928699069</v>
      </c>
      <c r="I26" s="691">
        <v>7.1068125529595641E-2</v>
      </c>
      <c r="J26" s="691">
        <v>5.2951685357207491E-2</v>
      </c>
      <c r="K26" s="2911" t="s">
        <v>2146</v>
      </c>
    </row>
    <row r="27" spans="2:11" ht="18" customHeight="1" x14ac:dyDescent="0.2">
      <c r="B27" s="282" t="s">
        <v>133</v>
      </c>
      <c r="C27" s="691">
        <v>475.04896188848363</v>
      </c>
      <c r="D27" s="3078" t="s">
        <v>1814</v>
      </c>
      <c r="E27" s="1913">
        <f t="shared" si="9"/>
        <v>92.771295881199052</v>
      </c>
      <c r="F27" s="1913">
        <f t="shared" si="10"/>
        <v>0.95238095238095222</v>
      </c>
      <c r="G27" s="1913">
        <f t="shared" si="10"/>
        <v>0.66666666666666663</v>
      </c>
      <c r="H27" s="691">
        <v>44.070907801412972</v>
      </c>
      <c r="I27" s="691">
        <v>4.5242758275093674E-4</v>
      </c>
      <c r="J27" s="691">
        <v>3.1669930792565572E-4</v>
      </c>
      <c r="K27" s="2911" t="s">
        <v>2146</v>
      </c>
    </row>
    <row r="28" spans="2:11" ht="18" customHeight="1" x14ac:dyDescent="0.2">
      <c r="B28" s="282" t="s">
        <v>134</v>
      </c>
      <c r="C28" s="691">
        <v>46026.108954492513</v>
      </c>
      <c r="D28" s="3078" t="s">
        <v>1814</v>
      </c>
      <c r="E28" s="1913">
        <f t="shared" si="9"/>
        <v>51.419103866885123</v>
      </c>
      <c r="F28" s="1913">
        <f t="shared" si="10"/>
        <v>0.90909090909090939</v>
      </c>
      <c r="G28" s="1913">
        <f t="shared" si="10"/>
        <v>0.90909090909090939</v>
      </c>
      <c r="H28" s="691">
        <v>2366.6212769196218</v>
      </c>
      <c r="I28" s="691">
        <v>4.1841917231356843E-2</v>
      </c>
      <c r="J28" s="691">
        <v>4.1841917231356843E-2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771.02286349164842</v>
      </c>
      <c r="D31" s="3078" t="s">
        <v>1814</v>
      </c>
      <c r="E31" s="1913">
        <f t="shared" si="9"/>
        <v>66.280143234867111</v>
      </c>
      <c r="F31" s="1913">
        <f t="shared" si="10"/>
        <v>3.9756257955251733</v>
      </c>
      <c r="G31" s="1913">
        <f t="shared" si="10"/>
        <v>2.7375456274769872</v>
      </c>
      <c r="H31" s="691">
        <v>51.103505829583845</v>
      </c>
      <c r="I31" s="691">
        <v>3.0652983850370818E-3</v>
      </c>
      <c r="J31" s="691">
        <v>2.1107102686363484E-3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224523.18528564423</v>
      </c>
      <c r="D38" s="3078" t="s">
        <v>1814</v>
      </c>
      <c r="E38" s="628"/>
      <c r="F38" s="628"/>
      <c r="G38" s="628"/>
      <c r="H38" s="1913">
        <f>IF(SUM(H39:H43)=0,"NO",SUM(H39:H43))</f>
        <v>9262.5867015827625</v>
      </c>
      <c r="I38" s="1913">
        <f>IF(SUM(I39:I44)=0,"NO",SUM(I39:I44))</f>
        <v>35.210156590150163</v>
      </c>
      <c r="J38" s="1913">
        <f>IF(SUM(J39:J44)=0,"NO",SUM(J39:J44))</f>
        <v>0.2437532989204535</v>
      </c>
      <c r="K38" s="3085" t="str">
        <f>IF(SUM(K39:K44)=0,"NO",SUM(K39:K44))</f>
        <v>NO</v>
      </c>
    </row>
    <row r="39" spans="2:11" ht="18" customHeight="1" x14ac:dyDescent="0.2">
      <c r="B39" s="282" t="s">
        <v>132</v>
      </c>
      <c r="C39" s="3109">
        <f>IF(SUM(C47,C54)=0,"NO",SUM(C47,C54))</f>
        <v>19371.408183483611</v>
      </c>
      <c r="D39" s="3078" t="s">
        <v>1814</v>
      </c>
      <c r="E39" s="1913">
        <f t="shared" ref="E39:E44" si="13">IFERROR(H39*1000/$C39,"NA")</f>
        <v>61.639960537571291</v>
      </c>
      <c r="F39" s="1913">
        <f t="shared" ref="F39:G44" si="14">IFERROR(I39*1000000/$C39,"NA")</f>
        <v>36.011618658232862</v>
      </c>
      <c r="G39" s="1913">
        <f t="shared" si="14"/>
        <v>0.58232085946663292</v>
      </c>
      <c r="H39" s="1913">
        <f>IF(SUM(H47,H54)=0,"NO",SUM(H47,H54))</f>
        <v>1194.0528359871153</v>
      </c>
      <c r="I39" s="1913">
        <f>IF(SUM(I47,I54)=0,"NO",SUM(I47,I54))</f>
        <v>0.69759576437658311</v>
      </c>
      <c r="J39" s="1913">
        <f>IF(SUM(J47,J54)=0,"NO",SUM(J47,J54))</f>
        <v>1.1280375062485144E-2</v>
      </c>
      <c r="K39" s="3085" t="str">
        <f>IF(SUM(K47,K54)=0,"NO",SUM(K47,K54))</f>
        <v>NO</v>
      </c>
    </row>
    <row r="40" spans="2:11" ht="18" customHeight="1" x14ac:dyDescent="0.2">
      <c r="B40" s="282" t="s">
        <v>133</v>
      </c>
      <c r="C40" s="3109">
        <f t="shared" ref="C40:C42" si="15">IF(SUM(C48,C55)=0,"NO",SUM(C48,C55))</f>
        <v>15.921603099567898</v>
      </c>
      <c r="D40" s="3078" t="s">
        <v>1814</v>
      </c>
      <c r="E40" s="1913">
        <f t="shared" si="13"/>
        <v>94.999999999999986</v>
      </c>
      <c r="F40" s="1913">
        <f t="shared" si="14"/>
        <v>0.95238095238095222</v>
      </c>
      <c r="G40" s="1913">
        <f t="shared" si="14"/>
        <v>0.66666666666666652</v>
      </c>
      <c r="H40" s="1913">
        <f t="shared" ref="H40:K42" si="16">IF(SUM(H48,H55)=0,"NO",SUM(H48,H55))</f>
        <v>1.5125522944589502</v>
      </c>
      <c r="I40" s="1913">
        <f t="shared" si="16"/>
        <v>1.5163431523397997E-5</v>
      </c>
      <c r="J40" s="1913">
        <f t="shared" si="16"/>
        <v>1.0614402066378598E-5</v>
      </c>
      <c r="K40" s="3085" t="str">
        <f t="shared" si="16"/>
        <v>NO</v>
      </c>
    </row>
    <row r="41" spans="2:11" ht="18" customHeight="1" x14ac:dyDescent="0.2">
      <c r="B41" s="282" t="s">
        <v>134</v>
      </c>
      <c r="C41" s="3109">
        <f t="shared" si="15"/>
        <v>156909.55665313374</v>
      </c>
      <c r="D41" s="3078" t="s">
        <v>1814</v>
      </c>
      <c r="E41" s="1913">
        <f t="shared" si="13"/>
        <v>51.411918339265007</v>
      </c>
      <c r="F41" s="1913">
        <f t="shared" si="14"/>
        <v>0.90909090909090895</v>
      </c>
      <c r="G41" s="1913">
        <f t="shared" si="14"/>
        <v>0.90909090909090895</v>
      </c>
      <c r="H41" s="1913">
        <f t="shared" si="16"/>
        <v>8067.0213133011875</v>
      </c>
      <c r="I41" s="1913">
        <f t="shared" si="16"/>
        <v>0.14264505150284884</v>
      </c>
      <c r="J41" s="1913">
        <f t="shared" si="16"/>
        <v>0.14264505150284884</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48226.298845927311</v>
      </c>
      <c r="D44" s="3078" t="s">
        <v>1814</v>
      </c>
      <c r="E44" s="1913">
        <f t="shared" si="13"/>
        <v>77.526152291773627</v>
      </c>
      <c r="F44" s="1913">
        <f t="shared" si="14"/>
        <v>712.6796257088622</v>
      </c>
      <c r="G44" s="1913">
        <f t="shared" si="14"/>
        <v>1.8624124202439833</v>
      </c>
      <c r="H44" s="1913">
        <f>IF(SUM(H52,H58)=0,"NO",SUM(H52,H58))</f>
        <v>3738.7993887979474</v>
      </c>
      <c r="I44" s="1913">
        <f>IF(SUM(I52,I58)=0,"NO",SUM(I52,I58))</f>
        <v>34.36990061083921</v>
      </c>
      <c r="J44" s="1913">
        <f>IF(SUM(J52,J58)=0,"NO",SUM(J52,J58))</f>
        <v>8.9817257953053106E-2</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220656.90113081981</v>
      </c>
      <c r="D46" s="3078" t="s">
        <v>1814</v>
      </c>
      <c r="E46" s="628"/>
      <c r="F46" s="628"/>
      <c r="G46" s="628"/>
      <c r="H46" s="1913">
        <f>IF(SUM(H47:H51)=0,"NO",SUM(H47:H51))</f>
        <v>9003.8822947900189</v>
      </c>
      <c r="I46" s="1913">
        <f>IF(SUM(I47:I52)=0,"NO",SUM(I47:I52))</f>
        <v>34.504991331678191</v>
      </c>
      <c r="J46" s="1913">
        <f>IF(SUM(J47:J52)=0,"NO",SUM(J47:J52))</f>
        <v>0.24207813125008287</v>
      </c>
      <c r="K46" s="3085" t="str">
        <f>IF(SUM(K47:K52)=0,"NO",SUM(K47:K52))</f>
        <v>NO</v>
      </c>
    </row>
    <row r="47" spans="2:11" ht="18" customHeight="1" x14ac:dyDescent="0.2">
      <c r="B47" s="282" t="s">
        <v>132</v>
      </c>
      <c r="C47" s="691">
        <v>15537.349322165663</v>
      </c>
      <c r="D47" s="3078" t="s">
        <v>1814</v>
      </c>
      <c r="E47" s="1913">
        <f t="shared" ref="E47:E52" si="17">IFERROR(H47*1000/$C47,"NA")</f>
        <v>60.199999999999989</v>
      </c>
      <c r="F47" s="1913">
        <f t="shared" ref="F47:G52" si="18">IFERROR(I47*1000000/$C47,"NA")</f>
        <v>1.0476190476190474</v>
      </c>
      <c r="G47" s="1913">
        <f t="shared" si="18"/>
        <v>0.62857142857142845</v>
      </c>
      <c r="H47" s="691">
        <v>935.34842919437278</v>
      </c>
      <c r="I47" s="691">
        <v>1.6277223099411646E-2</v>
      </c>
      <c r="J47" s="691">
        <v>9.7663338596469858E-3</v>
      </c>
      <c r="K47" s="2911" t="s">
        <v>2146</v>
      </c>
    </row>
    <row r="48" spans="2:11" ht="18" customHeight="1" x14ac:dyDescent="0.2">
      <c r="B48" s="282" t="s">
        <v>133</v>
      </c>
      <c r="C48" s="691">
        <v>15.921603099567898</v>
      </c>
      <c r="D48" s="3078" t="s">
        <v>1814</v>
      </c>
      <c r="E48" s="1913">
        <f t="shared" si="17"/>
        <v>94.999999999999986</v>
      </c>
      <c r="F48" s="1913">
        <f t="shared" si="18"/>
        <v>0.95238095238095222</v>
      </c>
      <c r="G48" s="1913">
        <f t="shared" si="18"/>
        <v>0.66666666666666652</v>
      </c>
      <c r="H48" s="691">
        <v>1.5125522944589502</v>
      </c>
      <c r="I48" s="691">
        <v>1.5163431523397997E-5</v>
      </c>
      <c r="J48" s="691">
        <v>1.0614402066378598E-5</v>
      </c>
      <c r="K48" s="2911" t="s">
        <v>2146</v>
      </c>
    </row>
    <row r="49" spans="2:11" ht="18" customHeight="1" x14ac:dyDescent="0.2">
      <c r="B49" s="282" t="s">
        <v>134</v>
      </c>
      <c r="C49" s="691">
        <v>156909.55665313374</v>
      </c>
      <c r="D49" s="3078" t="s">
        <v>1814</v>
      </c>
      <c r="E49" s="1913">
        <f t="shared" si="17"/>
        <v>51.411918339265007</v>
      </c>
      <c r="F49" s="1913">
        <f t="shared" si="18"/>
        <v>0.90909090909090895</v>
      </c>
      <c r="G49" s="1913">
        <f t="shared" si="18"/>
        <v>0.90909090909090895</v>
      </c>
      <c r="H49" s="691">
        <v>8067.0213133011875</v>
      </c>
      <c r="I49" s="691">
        <v>0.14264505150284884</v>
      </c>
      <c r="J49" s="691">
        <v>0.14264505150284884</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48194.073552420828</v>
      </c>
      <c r="D52" s="3078" t="s">
        <v>1814</v>
      </c>
      <c r="E52" s="1913">
        <f t="shared" si="17"/>
        <v>77.533016823995098</v>
      </c>
      <c r="F52" s="1913">
        <f t="shared" si="18"/>
        <v>712.66135775566079</v>
      </c>
      <c r="G52" s="1913">
        <f t="shared" si="18"/>
        <v>1.8603144510704506</v>
      </c>
      <c r="H52" s="691">
        <v>3736.6319155567012</v>
      </c>
      <c r="I52" s="691">
        <v>34.34605389364441</v>
      </c>
      <c r="J52" s="691">
        <v>8.9656131485520679E-2</v>
      </c>
      <c r="K52" s="2911" t="s">
        <v>2146</v>
      </c>
    </row>
    <row r="53" spans="2:11" ht="18" customHeight="1" x14ac:dyDescent="0.2">
      <c r="B53" s="1242" t="s">
        <v>205</v>
      </c>
      <c r="C53" s="3078">
        <f>IF(SUM(C54:C58)=0,"NO",SUM(C54:C58))</f>
        <v>3866.2841548244301</v>
      </c>
      <c r="D53" s="3078" t="s">
        <v>1814</v>
      </c>
      <c r="E53" s="628"/>
      <c r="F53" s="628"/>
      <c r="G53" s="628"/>
      <c r="H53" s="3078">
        <f>IF(SUM(H54:H57)=0,"NO",SUM(H54:H57))</f>
        <v>258.70440679274253</v>
      </c>
      <c r="I53" s="3078">
        <f>IF(SUM(I54:I58)=0,"NO",SUM(I54:I58))</f>
        <v>0.70516525847196976</v>
      </c>
      <c r="J53" s="3078">
        <f>IF(SUM(J54:J58)=0,"NO",SUM(J54:J58))</f>
        <v>1.6751676703705798E-3</v>
      </c>
      <c r="K53" s="2921"/>
    </row>
    <row r="54" spans="2:11" ht="18" customHeight="1" x14ac:dyDescent="0.2">
      <c r="B54" s="282" t="s">
        <v>132</v>
      </c>
      <c r="C54" s="691">
        <v>3834.0588613179461</v>
      </c>
      <c r="D54" s="3078" t="s">
        <v>1814</v>
      </c>
      <c r="E54" s="1913">
        <f t="shared" ref="E54:E58" si="19">IFERROR(H54*1000/$C54,"NA")</f>
        <v>67.475335186641772</v>
      </c>
      <c r="F54" s="1913">
        <f t="shared" ref="F54:G58" si="20">IFERROR(I54*1000000/$C54,"NA")</f>
        <v>177.70163837363995</v>
      </c>
      <c r="G54" s="1913">
        <f t="shared" si="20"/>
        <v>0.39489252971919997</v>
      </c>
      <c r="H54" s="691">
        <v>258.70440679274253</v>
      </c>
      <c r="I54" s="691">
        <v>0.68131854127717151</v>
      </c>
      <c r="J54" s="691">
        <v>1.5140412028381591E-3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v>32.2252935064841</v>
      </c>
      <c r="D58" s="3078" t="s">
        <v>1814</v>
      </c>
      <c r="E58" s="1913">
        <f t="shared" si="19"/>
        <v>67.260000000000048</v>
      </c>
      <c r="F58" s="1913">
        <f t="shared" si="20"/>
        <v>740.00000000000045</v>
      </c>
      <c r="G58" s="1913">
        <f t="shared" si="20"/>
        <v>5.0000000000000027</v>
      </c>
      <c r="H58" s="691">
        <v>2.167473241246122</v>
      </c>
      <c r="I58" s="691">
        <v>2.384671719479825E-2</v>
      </c>
      <c r="J58" s="691">
        <v>1.6112646753242059E-4</v>
      </c>
      <c r="K58" s="2921"/>
    </row>
    <row r="59" spans="2:11" ht="18" customHeight="1" x14ac:dyDescent="0.2">
      <c r="B59" s="1245" t="s">
        <v>206</v>
      </c>
      <c r="C59" s="3078">
        <f>IF(SUM(C60:C65)=0,"NO",SUM(C60:C65))</f>
        <v>109934.41612287221</v>
      </c>
      <c r="D59" s="3078" t="s">
        <v>1814</v>
      </c>
      <c r="E59" s="628"/>
      <c r="F59" s="628"/>
      <c r="G59" s="628"/>
      <c r="H59" s="1913">
        <f>IF(SUM(H60:H64)=0,"NO",SUM(H60:H64))</f>
        <v>7624.0299423311953</v>
      </c>
      <c r="I59" s="1913">
        <f>IF(SUM(I60:I65)=0,"NO",SUM(I60:I65))</f>
        <v>0.71254684436258053</v>
      </c>
      <c r="J59" s="1913">
        <f>IF(SUM(J60:J65)=0,"NO",SUM(J60:J65))</f>
        <v>0.392346655255641</v>
      </c>
      <c r="K59" s="3085" t="str">
        <f>IF(SUM(K60:K65)=0,"NO",SUM(K60:K65))</f>
        <v>NO</v>
      </c>
    </row>
    <row r="60" spans="2:11" ht="18" customHeight="1" x14ac:dyDescent="0.2">
      <c r="B60" s="282" t="s">
        <v>132</v>
      </c>
      <c r="C60" s="1913">
        <f>IF(SUM(C67,C74:C77,C84:C87)=0,"NO",SUM(C67,C74:C77,C84:C87))</f>
        <v>108772.40112287221</v>
      </c>
      <c r="D60" s="3078" t="s">
        <v>1814</v>
      </c>
      <c r="E60" s="1913">
        <f t="shared" ref="E60:E65" si="21">IFERROR(H60*1000/$C60,"NA")</f>
        <v>69.542351221036043</v>
      </c>
      <c r="F60" s="1913">
        <f t="shared" ref="F60:G65" si="22">IFERROR(I60*1000000/$C60,"NA")</f>
        <v>6.5410936942187625</v>
      </c>
      <c r="G60" s="1913">
        <f t="shared" si="22"/>
        <v>3.5973305171493068</v>
      </c>
      <c r="H60" s="1913">
        <f>IF(SUM(H67,H74:H77,H84:H87)=0,"NO",SUM(H67,H74:H77,H84:H87))</f>
        <v>7564.288522042194</v>
      </c>
      <c r="I60" s="1913">
        <f>IF(SUM(I67,I74:I77,I84:I87)=0,"NO",SUM(I67,I74:I77,I84:I87))</f>
        <v>0.71149046708985331</v>
      </c>
      <c r="J60" s="1913">
        <f>IF(SUM(J67,J74:J77,J84:J87)=0,"NO",SUM(J67,J74:J77,J84:J87))</f>
        <v>0.39129027798291371</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f>IF(SUM(C69,C79,C89)=0,"NO",SUM(C69,C79,C89))</f>
        <v>1162.0150000000001</v>
      </c>
      <c r="D62" s="3078" t="s">
        <v>1814</v>
      </c>
      <c r="E62" s="1913">
        <f t="shared" si="21"/>
        <v>51.411918339264993</v>
      </c>
      <c r="F62" s="1913">
        <f t="shared" si="22"/>
        <v>0.90909090909090895</v>
      </c>
      <c r="G62" s="1913">
        <f t="shared" si="22"/>
        <v>0.90909090909090895</v>
      </c>
      <c r="H62" s="1913">
        <f>IF(SUM(H69,H79,H89)=0,"NO",SUM(H69,H79,H89))</f>
        <v>59.741420289001013</v>
      </c>
      <c r="I62" s="1913">
        <f>IF(SUM(I69,I79,I89)=0,"NO",SUM(I69,I79,I89))</f>
        <v>1.0563772727272727E-3</v>
      </c>
      <c r="J62" s="1913">
        <f>IF(SUM(J69,J79,J89)=0,"NO",SUM(J69,J79,J89))</f>
        <v>1.0563772727272727E-3</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109934.41612287221</v>
      </c>
      <c r="D66" s="3078" t="s">
        <v>1814</v>
      </c>
      <c r="E66" s="2108"/>
      <c r="F66" s="2108"/>
      <c r="G66" s="2108"/>
      <c r="H66" s="1913">
        <f>IF(SUM(H67:H71)=0,"NO",SUM(H67:H71))</f>
        <v>7624.0299423311953</v>
      </c>
      <c r="I66" s="1913">
        <f>IF(SUM(I67:I72)=0,"NO",SUM(I67:I72))</f>
        <v>0.71254684436258053</v>
      </c>
      <c r="J66" s="1913">
        <f>IF(SUM(J67:J72)=0,"NO",SUM(J67:J72))</f>
        <v>0.392346655255641</v>
      </c>
      <c r="K66" s="3085" t="str">
        <f>IF(SUM(K67:K72)=0,"NO",SUM(K67:K72))</f>
        <v>NO</v>
      </c>
    </row>
    <row r="67" spans="2:11" ht="18" customHeight="1" x14ac:dyDescent="0.2">
      <c r="B67" s="282" t="s">
        <v>132</v>
      </c>
      <c r="C67" s="691">
        <v>108772.40112287221</v>
      </c>
      <c r="D67" s="3078" t="s">
        <v>1814</v>
      </c>
      <c r="E67" s="1913">
        <f t="shared" ref="E67:E72" si="23">IFERROR(H67*1000/$C67,"NA")</f>
        <v>69.542351221036043</v>
      </c>
      <c r="F67" s="1913">
        <f t="shared" ref="F67:G72" si="24">IFERROR(I67*1000000/$C67,"NA")</f>
        <v>6.5410936942187625</v>
      </c>
      <c r="G67" s="1913">
        <f t="shared" si="24"/>
        <v>3.5973305171493068</v>
      </c>
      <c r="H67" s="691">
        <v>7564.288522042194</v>
      </c>
      <c r="I67" s="691">
        <v>0.71149046708985331</v>
      </c>
      <c r="J67" s="691">
        <v>0.39129027798291371</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v>1162.0150000000001</v>
      </c>
      <c r="D69" s="3078" t="s">
        <v>1814</v>
      </c>
      <c r="E69" s="1913">
        <f t="shared" si="23"/>
        <v>51.411918339264993</v>
      </c>
      <c r="F69" s="1913">
        <f t="shared" si="24"/>
        <v>0.90909090909090895</v>
      </c>
      <c r="G69" s="1913">
        <f t="shared" si="24"/>
        <v>0.90909090909090895</v>
      </c>
      <c r="H69" s="691">
        <v>59.741420289001013</v>
      </c>
      <c r="I69" s="691">
        <v>1.0563772727272727E-3</v>
      </c>
      <c r="J69" s="691">
        <v>1.0563772727272727E-3</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13207.180688576584</v>
      </c>
      <c r="D93" s="3078" t="s">
        <v>1814</v>
      </c>
      <c r="E93" s="2134"/>
      <c r="F93" s="2134"/>
      <c r="G93" s="2134"/>
      <c r="H93" s="3109">
        <f>IF(SUM(H94:H98)=0,"NO",SUM(H94:H98))</f>
        <v>920.52714064979261</v>
      </c>
      <c r="I93" s="3109">
        <f>IF(SUM(I94:I99)=0,"NO",SUM(I94:I99))</f>
        <v>3.6930042574526749E-2</v>
      </c>
      <c r="J93" s="3113">
        <f>IF(SUM(J94:J99)=0,"NO",SUM(J94:J99))</f>
        <v>2.5803907585655421E-2</v>
      </c>
      <c r="K93" s="449" t="str">
        <f>IF(SUM(K94:K99)=0,"NO",SUM(K94:K99))</f>
        <v>NO</v>
      </c>
    </row>
    <row r="94" spans="2:11" ht="18" customHeight="1" x14ac:dyDescent="0.2">
      <c r="B94" s="282" t="s">
        <v>132</v>
      </c>
      <c r="C94" s="691">
        <f>IF(SUM(C102,C110)=0,"NO",SUM(C102,C110))</f>
        <v>13206.69763733609</v>
      </c>
      <c r="D94" s="1913" t="s">
        <v>1814</v>
      </c>
      <c r="E94" s="1913">
        <f t="shared" ref="E94:E99" si="32">IFERROR(H94*1000/$C94,"NA")</f>
        <v>69.701538259451752</v>
      </c>
      <c r="F94" s="1913">
        <f t="shared" ref="F94:G99" si="33">IFERROR(I94*1000000/$C94,"NA")</f>
        <v>2.7673067063711261</v>
      </c>
      <c r="G94" s="1913">
        <f t="shared" si="33"/>
        <v>1.9537403778359337</v>
      </c>
      <c r="H94" s="691">
        <f t="shared" ref="H94:K97" si="34">IF(SUM(H102,H110)=0,"NO",SUM(H102,H110))</f>
        <v>920.52714064979261</v>
      </c>
      <c r="I94" s="691">
        <f t="shared" si="34"/>
        <v>3.6546982940815868E-2</v>
      </c>
      <c r="J94" s="691">
        <f t="shared" si="34"/>
        <v>2.5802458431933944E-2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f>IF(SUM(C107,C114)=0,"NO",SUM(C107,C114))</f>
        <v>0.48305124049291498</v>
      </c>
      <c r="D99" s="1913" t="s">
        <v>1814</v>
      </c>
      <c r="E99" s="1913">
        <f t="shared" si="32"/>
        <v>67.260000000000062</v>
      </c>
      <c r="F99" s="1913">
        <f t="shared" si="33"/>
        <v>793.00000000000068</v>
      </c>
      <c r="G99" s="1913">
        <f t="shared" si="33"/>
        <v>3.0000000000000022</v>
      </c>
      <c r="H99" s="691">
        <f>IF(SUM(H107,H114)=0,"NO",SUM(H107,H114))</f>
        <v>3.2490026435553487E-2</v>
      </c>
      <c r="I99" s="691">
        <f>IF(SUM(I107,I114)=0,"NO",SUM(I107,I114))</f>
        <v>3.8305963371088189E-4</v>
      </c>
      <c r="J99" s="691">
        <f>IF(SUM(J107,J114)=0,"NO",SUM(J107,J114))</f>
        <v>1.449153721478746E-6</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13207.180688576584</v>
      </c>
      <c r="D108" s="1913" t="s">
        <v>1814</v>
      </c>
      <c r="E108" s="1931"/>
      <c r="F108" s="1931"/>
      <c r="G108" s="1931"/>
      <c r="H108" s="3078">
        <f>H109</f>
        <v>920.52714064979261</v>
      </c>
      <c r="I108" s="3078">
        <f>I109</f>
        <v>3.6930042574526749E-2</v>
      </c>
      <c r="J108" s="3110">
        <f>J109</f>
        <v>2.5803907585655421E-2</v>
      </c>
      <c r="K108" s="2921"/>
    </row>
    <row r="109" spans="2:11" ht="18" customHeight="1" x14ac:dyDescent="0.2">
      <c r="B109" s="3125" t="s">
        <v>2149</v>
      </c>
      <c r="C109" s="3099">
        <f>IF(SUM(C110:C114)=0,"NO",SUM(C110:C114))</f>
        <v>13207.180688576584</v>
      </c>
      <c r="D109" s="1913" t="s">
        <v>1814</v>
      </c>
      <c r="E109" s="628"/>
      <c r="F109" s="628"/>
      <c r="G109" s="628"/>
      <c r="H109" s="3099">
        <f>IF(SUM(H110:H113)=0,"NO",SUM(H110:H113))</f>
        <v>920.52714064979261</v>
      </c>
      <c r="I109" s="3099">
        <f>IF(SUM(I110:I114)=0,"NO",SUM(I110:I114))</f>
        <v>3.6930042574526749E-2</v>
      </c>
      <c r="J109" s="3099">
        <f>IF(SUM(J110:J114)=0,"NO",SUM(J110:J114))</f>
        <v>2.5803907585655421E-2</v>
      </c>
      <c r="K109" s="2921"/>
    </row>
    <row r="110" spans="2:11" ht="18" customHeight="1" x14ac:dyDescent="0.2">
      <c r="B110" s="282" t="s">
        <v>132</v>
      </c>
      <c r="C110" s="691">
        <v>13206.69763733609</v>
      </c>
      <c r="D110" s="1913" t="s">
        <v>1814</v>
      </c>
      <c r="E110" s="1913">
        <f t="shared" ref="E110:E114" si="37">IFERROR(H110*1000/$C110,"NA")</f>
        <v>69.701538259451752</v>
      </c>
      <c r="F110" s="1913">
        <f t="shared" ref="F110:G114" si="38">IFERROR(I110*1000000/$C110,"NA")</f>
        <v>2.7673067063711261</v>
      </c>
      <c r="G110" s="1913">
        <f t="shared" si="38"/>
        <v>1.9537403778359337</v>
      </c>
      <c r="H110" s="691">
        <v>920.52714064979261</v>
      </c>
      <c r="I110" s="691">
        <v>3.6546982940815868E-2</v>
      </c>
      <c r="J110" s="691">
        <v>2.5802458431933944E-2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0.48305124049291498</v>
      </c>
      <c r="D114" s="2880" t="s">
        <v>1814</v>
      </c>
      <c r="E114" s="2880">
        <f t="shared" si="37"/>
        <v>67.260000000000062</v>
      </c>
      <c r="F114" s="2880">
        <f t="shared" si="38"/>
        <v>793.00000000000068</v>
      </c>
      <c r="G114" s="2880">
        <f t="shared" si="38"/>
        <v>3.0000000000000022</v>
      </c>
      <c r="H114" s="1559">
        <v>3.2490026435553487E-2</v>
      </c>
      <c r="I114" s="1559">
        <v>3.8305963371088189E-4</v>
      </c>
      <c r="J114" s="1559">
        <v>1.449153721478746E-6</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668020</v>
      </c>
      <c r="G11" s="3361">
        <v>866522.88015390001</v>
      </c>
      <c r="H11" s="3361">
        <v>482271.87074500002</v>
      </c>
      <c r="I11" s="3381"/>
      <c r="J11" s="3361">
        <v>2754.2400000000098</v>
      </c>
      <c r="K11" s="3369">
        <f t="shared" ref="K11:K28" si="0">IF((SUM(F11:G11)-SUM(H11:J11))=0,"NO",(SUM(F11:G11)-SUM(H11:J11)))</f>
        <v>1049516.7694089001</v>
      </c>
      <c r="L11" s="2577">
        <f>IF(K11="NO","NA",1)</f>
        <v>1</v>
      </c>
      <c r="M11" s="5" t="s">
        <v>1814</v>
      </c>
      <c r="N11" s="3369">
        <f>K11</f>
        <v>1049516.7694089001</v>
      </c>
      <c r="O11" s="3342">
        <v>18.9807162534435</v>
      </c>
      <c r="P11" s="3369">
        <f>IFERROR(N11*O11/1000,"NA")</f>
        <v>19920.580003381026</v>
      </c>
      <c r="Q11" s="3369" t="str">
        <f>'Table1.A(d)'!G11</f>
        <v>NA</v>
      </c>
      <c r="R11" s="3369">
        <f>IF(SUM(P11,-SUM(Q11))=0,"NO",SUM(P11,-SUM(Q11)))</f>
        <v>19920.580003381026</v>
      </c>
      <c r="S11" s="2577">
        <f>IF(R11="NO","NA",1)</f>
        <v>1</v>
      </c>
      <c r="T11" s="3375">
        <f>IF(R11="NO","NO",R11*S11*44/12)</f>
        <v>73042.12667906376</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93640.144943699997</v>
      </c>
      <c r="G13" s="3361" t="s">
        <v>2146</v>
      </c>
      <c r="H13" s="3361" t="s">
        <v>2146</v>
      </c>
      <c r="I13" s="3381"/>
      <c r="J13" s="3361" t="s">
        <v>2146</v>
      </c>
      <c r="K13" s="3369">
        <f t="shared" si="0"/>
        <v>93640.144943699997</v>
      </c>
      <c r="L13" s="2577">
        <f t="shared" si="1"/>
        <v>1</v>
      </c>
      <c r="M13" s="5" t="s">
        <v>1814</v>
      </c>
      <c r="N13" s="3369">
        <f t="shared" si="2"/>
        <v>93640.144943699997</v>
      </c>
      <c r="O13" s="3342">
        <v>15.409090909090899</v>
      </c>
      <c r="P13" s="3369">
        <f t="shared" si="3"/>
        <v>1442.9095061779217</v>
      </c>
      <c r="Q13" s="3369" t="str">
        <f>'Table1.A(d)'!G13</f>
        <v>NA</v>
      </c>
      <c r="R13" s="3369">
        <f>IF(SUM(P13,-SUM(Q13))=0,"NO",SUM(P13,-SUM(Q13)))</f>
        <v>1442.9095061779217</v>
      </c>
      <c r="S13" s="2577">
        <f t="shared" si="4"/>
        <v>1</v>
      </c>
      <c r="T13" s="3375">
        <f t="shared" si="5"/>
        <v>5290.6681893190462</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209869.50501585999</v>
      </c>
      <c r="H15" s="3361">
        <v>5221.2101863999997</v>
      </c>
      <c r="I15" s="3361" t="s">
        <v>2146</v>
      </c>
      <c r="J15" s="3361">
        <v>3245.6</v>
      </c>
      <c r="K15" s="3369">
        <f t="shared" si="0"/>
        <v>201402.69482946</v>
      </c>
      <c r="L15" s="2577">
        <f>IF(K15="NO","NA",1)</f>
        <v>1</v>
      </c>
      <c r="M15" s="5" t="s">
        <v>1814</v>
      </c>
      <c r="N15" s="3369">
        <f t="shared" si="2"/>
        <v>201402.69482946</v>
      </c>
      <c r="O15" s="3342">
        <v>18.3818181818182</v>
      </c>
      <c r="P15" s="3369">
        <f t="shared" si="3"/>
        <v>3702.14771768335</v>
      </c>
      <c r="Q15" s="3369" t="str">
        <f>'Table1.A(d)'!G15</f>
        <v>NA</v>
      </c>
      <c r="R15" s="3369">
        <f>IF(SUM(P15,-SUM(Q15))=0,"NO",SUM(P15,-SUM(Q15)))</f>
        <v>3702.14771768335</v>
      </c>
      <c r="S15" s="2577">
        <f>IF(R15="NO","NA",1)</f>
        <v>1</v>
      </c>
      <c r="T15" s="3375">
        <f>IF(R15="NO","NO",R15*S15*44/12)</f>
        <v>13574.541631505615</v>
      </c>
    </row>
    <row r="16" spans="2:20" ht="18" customHeight="1" x14ac:dyDescent="0.2">
      <c r="B16" s="1727"/>
      <c r="C16" s="1567"/>
      <c r="D16" s="36" t="s">
        <v>178</v>
      </c>
      <c r="E16" s="2575" t="s">
        <v>2150</v>
      </c>
      <c r="F16" s="3382"/>
      <c r="G16" s="3361">
        <v>217129.607033204</v>
      </c>
      <c r="H16" s="3361">
        <v>5248.1629999999996</v>
      </c>
      <c r="I16" s="3361">
        <v>208140.48431820699</v>
      </c>
      <c r="J16" s="3361">
        <v>909.44000000000096</v>
      </c>
      <c r="K16" s="3369">
        <f t="shared" si="0"/>
        <v>2831.5197149970045</v>
      </c>
      <c r="L16" s="2577">
        <f t="shared" ref="L16:L28" si="6">IF(K16="NO","NA",1)</f>
        <v>1</v>
      </c>
      <c r="M16" s="5" t="s">
        <v>1814</v>
      </c>
      <c r="N16" s="3369">
        <f t="shared" si="2"/>
        <v>2831.5197149970045</v>
      </c>
      <c r="O16" s="3342">
        <v>18.981818181818198</v>
      </c>
      <c r="P16" s="3369">
        <f t="shared" si="3"/>
        <v>53.747392408306823</v>
      </c>
      <c r="Q16" s="3369" t="str">
        <f>'Table1.A(d)'!G16</f>
        <v>NA</v>
      </c>
      <c r="R16" s="3369">
        <f t="shared" ref="R16:R44" si="7">IF(SUM(P16,-SUM(Q16))=0,"NO",SUM(P16,-SUM(Q16)))</f>
        <v>53.747392408306823</v>
      </c>
      <c r="S16" s="2577">
        <f t="shared" ref="S16:S28" si="8">IF(R16="NO","NA",1)</f>
        <v>1</v>
      </c>
      <c r="T16" s="3375">
        <f t="shared" ref="T16:T28" si="9">IF(R16="NO","NO",R16*S16*44/12)</f>
        <v>197.07377216379169</v>
      </c>
    </row>
    <row r="17" spans="2:20" ht="18" customHeight="1" x14ac:dyDescent="0.2">
      <c r="B17" s="1727"/>
      <c r="C17" s="1567"/>
      <c r="D17" s="36" t="s">
        <v>247</v>
      </c>
      <c r="E17" s="2575" t="s">
        <v>2150</v>
      </c>
      <c r="F17" s="3381"/>
      <c r="G17" s="3361">
        <v>79.630928445457897</v>
      </c>
      <c r="H17" s="3361" t="s">
        <v>2146</v>
      </c>
      <c r="I17" s="3361" t="s">
        <v>2146</v>
      </c>
      <c r="J17" s="3361" t="s">
        <v>2146</v>
      </c>
      <c r="K17" s="3369">
        <f t="shared" si="0"/>
        <v>79.630928445457897</v>
      </c>
      <c r="L17" s="2577">
        <f t="shared" si="6"/>
        <v>1</v>
      </c>
      <c r="M17" s="5" t="s">
        <v>1814</v>
      </c>
      <c r="N17" s="3369">
        <f t="shared" si="2"/>
        <v>79.630928445457897</v>
      </c>
      <c r="O17" s="3342">
        <v>18.7909090909091</v>
      </c>
      <c r="P17" s="3369">
        <f t="shared" si="3"/>
        <v>1.4963375372432868</v>
      </c>
      <c r="Q17" s="3369" t="str">
        <f>'Table1.A(d)'!G17</f>
        <v>NA</v>
      </c>
      <c r="R17" s="3369">
        <f t="shared" si="7"/>
        <v>1.4963375372432868</v>
      </c>
      <c r="S17" s="2577">
        <f t="shared" si="8"/>
        <v>1</v>
      </c>
      <c r="T17" s="3375">
        <f t="shared" si="9"/>
        <v>5.4865709698920524</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747491.815170591</v>
      </c>
      <c r="H19" s="3361">
        <v>3318.6185949999999</v>
      </c>
      <c r="I19" s="3361">
        <v>2464.2009516039898</v>
      </c>
      <c r="J19" s="3361">
        <v>13962.72</v>
      </c>
      <c r="K19" s="3369">
        <f t="shared" si="0"/>
        <v>727746.27562398696</v>
      </c>
      <c r="L19" s="2577">
        <f t="shared" si="6"/>
        <v>1</v>
      </c>
      <c r="M19" s="5" t="s">
        <v>1814</v>
      </c>
      <c r="N19" s="3369">
        <f t="shared" si="2"/>
        <v>727746.27562398696</v>
      </c>
      <c r="O19" s="3342">
        <v>19.063636363636402</v>
      </c>
      <c r="P19" s="3369">
        <f t="shared" si="3"/>
        <v>13873.490363486399</v>
      </c>
      <c r="Q19" s="3369" t="str">
        <f>'Table1.A(d)'!G19</f>
        <v>NA</v>
      </c>
      <c r="R19" s="3369">
        <f t="shared" si="7"/>
        <v>13873.490363486399</v>
      </c>
      <c r="S19" s="2577">
        <f t="shared" si="8"/>
        <v>1</v>
      </c>
      <c r="T19" s="3375">
        <f t="shared" si="9"/>
        <v>50869.464666116801</v>
      </c>
    </row>
    <row r="20" spans="2:20" ht="18" customHeight="1" x14ac:dyDescent="0.2">
      <c r="B20" s="1727"/>
      <c r="C20" s="1567"/>
      <c r="D20" s="36" t="s">
        <v>190</v>
      </c>
      <c r="E20" s="2575" t="s">
        <v>2150</v>
      </c>
      <c r="F20" s="3381"/>
      <c r="G20" s="3361">
        <v>27572.968623692501</v>
      </c>
      <c r="H20" s="3361">
        <v>9389.5648693000003</v>
      </c>
      <c r="I20" s="3361">
        <v>29216.6959068508</v>
      </c>
      <c r="J20" s="3361">
        <v>6216.15</v>
      </c>
      <c r="K20" s="3369">
        <f t="shared" si="0"/>
        <v>-17249.442152458298</v>
      </c>
      <c r="L20" s="2577">
        <f t="shared" si="6"/>
        <v>1</v>
      </c>
      <c r="M20" s="5" t="s">
        <v>1814</v>
      </c>
      <c r="N20" s="3369">
        <f t="shared" si="2"/>
        <v>-17249.442152458298</v>
      </c>
      <c r="O20" s="3342">
        <v>20.072727272727299</v>
      </c>
      <c r="P20" s="3369">
        <f t="shared" si="3"/>
        <v>-346.24334793298158</v>
      </c>
      <c r="Q20" s="3369" t="str">
        <f>'Table1.A(d)'!G20</f>
        <v>NA</v>
      </c>
      <c r="R20" s="3369">
        <f t="shared" si="7"/>
        <v>-346.24334793298158</v>
      </c>
      <c r="S20" s="2577">
        <f t="shared" si="8"/>
        <v>1</v>
      </c>
      <c r="T20" s="3375">
        <f t="shared" si="9"/>
        <v>-1269.5589424209325</v>
      </c>
    </row>
    <row r="21" spans="2:20" ht="18" customHeight="1" x14ac:dyDescent="0.2">
      <c r="B21" s="1727"/>
      <c r="C21" s="1567"/>
      <c r="D21" s="36" t="s">
        <v>169</v>
      </c>
      <c r="E21" s="2575" t="s">
        <v>2150</v>
      </c>
      <c r="F21" s="3381"/>
      <c r="G21" s="3361">
        <v>21417.336579999999</v>
      </c>
      <c r="H21" s="3361">
        <v>60097.827523699998</v>
      </c>
      <c r="I21" s="3381"/>
      <c r="J21" s="3361">
        <v>3526.5599999999995</v>
      </c>
      <c r="K21" s="3369">
        <f t="shared" si="0"/>
        <v>-42207.0509437</v>
      </c>
      <c r="L21" s="2577">
        <f t="shared" si="6"/>
        <v>1</v>
      </c>
      <c r="M21" s="5" t="s">
        <v>1814</v>
      </c>
      <c r="N21" s="3369">
        <f t="shared" si="2"/>
        <v>-42207.0509437</v>
      </c>
      <c r="O21" s="3342">
        <v>16.4181818181818</v>
      </c>
      <c r="P21" s="3369">
        <f t="shared" si="3"/>
        <v>-692.96303640292831</v>
      </c>
      <c r="Q21" s="3369" t="str">
        <f>'Table1.A(d)'!G21</f>
        <v>NA</v>
      </c>
      <c r="R21" s="3369">
        <f t="shared" si="7"/>
        <v>-692.96303640292831</v>
      </c>
      <c r="S21" s="2577">
        <f t="shared" si="8"/>
        <v>1</v>
      </c>
      <c r="T21" s="3375">
        <f t="shared" si="9"/>
        <v>-2540.8644668107372</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15.409090909090899</v>
      </c>
      <c r="P22" s="3369" t="str">
        <f t="shared" si="3"/>
        <v>NA</v>
      </c>
      <c r="Q22" s="3369">
        <f>'Table1.A(d)'!G22</f>
        <v>290.65836886363599</v>
      </c>
      <c r="R22" s="3369">
        <f t="shared" si="7"/>
        <v>-290.65836886363599</v>
      </c>
      <c r="S22" s="2577">
        <f t="shared" si="8"/>
        <v>1</v>
      </c>
      <c r="T22" s="3375">
        <f t="shared" si="9"/>
        <v>-1065.7473524999987</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38584.768972620397</v>
      </c>
      <c r="H24" s="3361">
        <v>4.1412383999999998</v>
      </c>
      <c r="I24" s="3381"/>
      <c r="J24" s="3361" t="s">
        <v>2146</v>
      </c>
      <c r="K24" s="3369">
        <f t="shared" si="0"/>
        <v>38580.627734220398</v>
      </c>
      <c r="L24" s="2577">
        <f t="shared" si="6"/>
        <v>1</v>
      </c>
      <c r="M24" s="5" t="s">
        <v>1814</v>
      </c>
      <c r="N24" s="3369">
        <f t="shared" si="2"/>
        <v>38580.627734220398</v>
      </c>
      <c r="O24" s="3342">
        <v>22.009090909090901</v>
      </c>
      <c r="P24" s="3369">
        <f t="shared" si="3"/>
        <v>849.12454313225044</v>
      </c>
      <c r="Q24" s="3369">
        <f>'Table1.A(d)'!G24</f>
        <v>751.14826363636371</v>
      </c>
      <c r="R24" s="3369">
        <f t="shared" si="7"/>
        <v>97.976279495886729</v>
      </c>
      <c r="S24" s="2577">
        <f t="shared" si="8"/>
        <v>1</v>
      </c>
      <c r="T24" s="3375">
        <f t="shared" si="9"/>
        <v>359.24635815158467</v>
      </c>
    </row>
    <row r="25" spans="2:20" ht="18" customHeight="1" x14ac:dyDescent="0.2">
      <c r="B25" s="1727"/>
      <c r="C25" s="1567"/>
      <c r="D25" s="36" t="s">
        <v>252</v>
      </c>
      <c r="E25" s="2575" t="s">
        <v>2150</v>
      </c>
      <c r="F25" s="3381"/>
      <c r="G25" s="3361">
        <v>19499.910966866799</v>
      </c>
      <c r="H25" s="3361">
        <v>10396.2483072</v>
      </c>
      <c r="I25" s="3361" t="s">
        <v>2146</v>
      </c>
      <c r="J25" s="3361">
        <v>312.48</v>
      </c>
      <c r="K25" s="3369">
        <f t="shared" si="0"/>
        <v>8791.1826596667997</v>
      </c>
      <c r="L25" s="2577">
        <f t="shared" si="6"/>
        <v>1</v>
      </c>
      <c r="M25" s="5" t="s">
        <v>1814</v>
      </c>
      <c r="N25" s="3369">
        <f t="shared" si="2"/>
        <v>8791.1826596667997</v>
      </c>
      <c r="O25" s="3342">
        <v>18.991363636363602</v>
      </c>
      <c r="P25" s="3369">
        <f t="shared" si="3"/>
        <v>166.9565466834263</v>
      </c>
      <c r="Q25" s="3369">
        <f>'Table1.A(d)'!G25</f>
        <v>233.51780727272731</v>
      </c>
      <c r="R25" s="3369">
        <f t="shared" si="7"/>
        <v>-66.561260589301014</v>
      </c>
      <c r="S25" s="2577">
        <f t="shared" si="8"/>
        <v>1</v>
      </c>
      <c r="T25" s="3375">
        <f t="shared" si="9"/>
        <v>-244.05795549410371</v>
      </c>
    </row>
    <row r="26" spans="2:20" ht="18" customHeight="1" x14ac:dyDescent="0.2">
      <c r="B26" s="1727"/>
      <c r="C26" s="1567"/>
      <c r="D26" s="36" t="s">
        <v>253</v>
      </c>
      <c r="E26" s="2575" t="s">
        <v>2150</v>
      </c>
      <c r="F26" s="3381"/>
      <c r="G26" s="3361">
        <v>22050.305676</v>
      </c>
      <c r="H26" s="3361" t="s">
        <v>2146</v>
      </c>
      <c r="I26" s="3381"/>
      <c r="J26" s="3361" t="s">
        <v>2146</v>
      </c>
      <c r="K26" s="3369">
        <f t="shared" si="0"/>
        <v>22050.305676</v>
      </c>
      <c r="L26" s="2577">
        <f t="shared" si="6"/>
        <v>1</v>
      </c>
      <c r="M26" s="5" t="s">
        <v>1814</v>
      </c>
      <c r="N26" s="3369">
        <f t="shared" si="2"/>
        <v>22050.305676</v>
      </c>
      <c r="O26" s="3342">
        <v>25.261363636363601</v>
      </c>
      <c r="P26" s="3369">
        <f t="shared" si="3"/>
        <v>557.02078997440833</v>
      </c>
      <c r="Q26" s="3369">
        <f>'Table1.A(d)'!G26</f>
        <v>557.02078997440901</v>
      </c>
      <c r="R26" s="3369">
        <f t="shared" si="7"/>
        <v>-6.8212102632969618E-13</v>
      </c>
      <c r="S26" s="2577">
        <f t="shared" si="8"/>
        <v>1</v>
      </c>
      <c r="T26" s="3375">
        <f t="shared" si="9"/>
        <v>-2.5011104298755527E-12</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21855.6633101468</v>
      </c>
      <c r="H28" s="3361">
        <v>4640.5634399999999</v>
      </c>
      <c r="I28" s="3381"/>
      <c r="J28" s="3361">
        <v>8484.1</v>
      </c>
      <c r="K28" s="3369">
        <f t="shared" si="0"/>
        <v>8730.9998701467994</v>
      </c>
      <c r="L28" s="2577">
        <f t="shared" si="6"/>
        <v>1</v>
      </c>
      <c r="M28" s="5" t="s">
        <v>1814</v>
      </c>
      <c r="N28" s="3369">
        <f t="shared" si="2"/>
        <v>8730.9998701467994</v>
      </c>
      <c r="O28" s="3342">
        <v>19.0363636363636</v>
      </c>
      <c r="P28" s="3369">
        <f t="shared" si="3"/>
        <v>166.20648843715784</v>
      </c>
      <c r="Q28" s="3369">
        <f>'Table1.A(d)'!G28</f>
        <v>726.19345655127302</v>
      </c>
      <c r="R28" s="3369">
        <f t="shared" si="7"/>
        <v>-559.98696811411514</v>
      </c>
      <c r="S28" s="2577">
        <f t="shared" si="8"/>
        <v>1</v>
      </c>
      <c r="T28" s="3375">
        <f t="shared" si="9"/>
        <v>-2053.2855497517553</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2093913.658293365</v>
      </c>
      <c r="O31" s="3364"/>
      <c r="P31" s="3371">
        <f>SUM(P11:P29)</f>
        <v>39694.473304565574</v>
      </c>
      <c r="Q31" s="3371">
        <f>SUM(Q11:Q29)</f>
        <v>2558.5386862984092</v>
      </c>
      <c r="R31" s="3369">
        <f t="shared" si="7"/>
        <v>37135.934618267165</v>
      </c>
      <c r="S31" s="2578"/>
      <c r="T31" s="3377">
        <f>SUM(T11:T29)</f>
        <v>136165.09360031295</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v>29.836402531421999</v>
      </c>
      <c r="P34" s="3369" t="str">
        <f t="shared" si="13"/>
        <v>NA</v>
      </c>
      <c r="Q34" s="3369">
        <f>'Table1.A(d)'!G34</f>
        <v>25.4480137252162</v>
      </c>
      <c r="R34" s="3369">
        <f t="shared" si="7"/>
        <v>-25.4480137252162</v>
      </c>
      <c r="S34" s="2577">
        <f t="shared" si="14"/>
        <v>1</v>
      </c>
      <c r="T34" s="3375">
        <f t="shared" si="15"/>
        <v>-93.30938365912607</v>
      </c>
    </row>
    <row r="35" spans="2:20" ht="18" customHeight="1" x14ac:dyDescent="0.2">
      <c r="B35" s="1727"/>
      <c r="C35" s="1567"/>
      <c r="D35" s="31" t="s">
        <v>261</v>
      </c>
      <c r="E35" s="2575" t="s">
        <v>2150</v>
      </c>
      <c r="F35" s="3361">
        <v>12370055</v>
      </c>
      <c r="G35" s="3361">
        <v>5716</v>
      </c>
      <c r="H35" s="3361">
        <v>10760604</v>
      </c>
      <c r="I35" s="3361" t="s">
        <v>2146</v>
      </c>
      <c r="J35" s="3361">
        <v>226128</v>
      </c>
      <c r="K35" s="3369">
        <f t="shared" si="10"/>
        <v>1389039</v>
      </c>
      <c r="L35" s="2577">
        <f t="shared" si="11"/>
        <v>1</v>
      </c>
      <c r="M35" s="55" t="s">
        <v>1814</v>
      </c>
      <c r="N35" s="3369">
        <f t="shared" si="12"/>
        <v>1389039</v>
      </c>
      <c r="O35" s="3342">
        <v>24.6468879111723</v>
      </c>
      <c r="P35" s="3369">
        <f t="shared" si="13"/>
        <v>34235.488537246863</v>
      </c>
      <c r="Q35" s="3369">
        <f>'Table1.A(d)'!G35</f>
        <v>528.035535222215</v>
      </c>
      <c r="R35" s="3369">
        <f t="shared" si="7"/>
        <v>33707.453002024646</v>
      </c>
      <c r="S35" s="2577">
        <f t="shared" si="14"/>
        <v>1</v>
      </c>
      <c r="T35" s="3375">
        <f t="shared" si="15"/>
        <v>123593.99434075702</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473344</v>
      </c>
      <c r="G37" s="3361" t="s">
        <v>2146</v>
      </c>
      <c r="H37" s="3361" t="s">
        <v>2146</v>
      </c>
      <c r="I37" s="3381"/>
      <c r="J37" s="3361">
        <v>6561</v>
      </c>
      <c r="K37" s="3369">
        <f t="shared" si="10"/>
        <v>466783</v>
      </c>
      <c r="L37" s="2577">
        <f t="shared" si="11"/>
        <v>1</v>
      </c>
      <c r="M37" s="55" t="s">
        <v>1814</v>
      </c>
      <c r="N37" s="3369">
        <f t="shared" si="12"/>
        <v>466783</v>
      </c>
      <c r="O37" s="3342">
        <v>25.366408521367699</v>
      </c>
      <c r="P37" s="3369">
        <f t="shared" si="13"/>
        <v>11840.608268829579</v>
      </c>
      <c r="Q37" s="3369" t="str">
        <f>'Table1.A(d)'!G37</f>
        <v>NO</v>
      </c>
      <c r="R37" s="3369">
        <f t="shared" si="7"/>
        <v>11840.608268829579</v>
      </c>
      <c r="S37" s="2577">
        <f t="shared" si="14"/>
        <v>1</v>
      </c>
      <c r="T37" s="3375">
        <f t="shared" si="15"/>
        <v>43415.563652375124</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t="s">
        <v>2146</v>
      </c>
      <c r="I40" s="3381"/>
      <c r="J40" s="3361" t="s">
        <v>2146</v>
      </c>
      <c r="K40" s="3369" t="str">
        <f t="shared" ref="K40:K42" si="16">IF((SUM(F40:G40)-SUM(H40:J40))=0,"NO",(SUM(F40:G40)-SUM(H40:J40)))</f>
        <v>NO</v>
      </c>
      <c r="L40" s="2577" t="str">
        <f t="shared" ref="L40:L42" si="17">IF(K40="NO","NA",1)</f>
        <v>NA</v>
      </c>
      <c r="M40" s="55" t="s">
        <v>1814</v>
      </c>
      <c r="N40" s="3369" t="str">
        <f t="shared" ref="N40:N42" si="18">K40</f>
        <v>NO</v>
      </c>
      <c r="O40" s="3342" t="s">
        <v>2147</v>
      </c>
      <c r="P40" s="3369" t="str">
        <f t="shared" ref="P40:P42" si="19">IFERROR(N40*O40/1000,"NA")</f>
        <v>NA</v>
      </c>
      <c r="Q40" s="3369" t="str">
        <f>'Table1.A(d)'!G40</f>
        <v>NA</v>
      </c>
      <c r="R40" s="3369" t="str">
        <f t="shared" si="7"/>
        <v>NO</v>
      </c>
      <c r="S40" s="2577" t="str">
        <f t="shared" ref="S40:S42" si="20">IF(R40="NO","NA",1)</f>
        <v>NA</v>
      </c>
      <c r="T40" s="3375" t="str">
        <f t="shared" ref="T40:T42" si="21">IF(R40="NO","NO",R40*S40*44/12)</f>
        <v>NO</v>
      </c>
    </row>
    <row r="41" spans="2:20" ht="18" customHeight="1" x14ac:dyDescent="0.2">
      <c r="B41" s="1727"/>
      <c r="C41" s="1567"/>
      <c r="D41" s="31" t="s">
        <v>266</v>
      </c>
      <c r="E41" s="2575" t="s">
        <v>2150</v>
      </c>
      <c r="F41" s="3381"/>
      <c r="G41" s="3361">
        <v>6339</v>
      </c>
      <c r="H41" s="3361">
        <v>19705</v>
      </c>
      <c r="I41" s="3381"/>
      <c r="J41" s="3361">
        <v>-4779</v>
      </c>
      <c r="K41" s="3369">
        <f t="shared" si="16"/>
        <v>-8587</v>
      </c>
      <c r="L41" s="2577">
        <f t="shared" si="17"/>
        <v>1</v>
      </c>
      <c r="M41" s="55" t="s">
        <v>1814</v>
      </c>
      <c r="N41" s="3369">
        <f t="shared" si="18"/>
        <v>-8587</v>
      </c>
      <c r="O41" s="3342">
        <v>29.836402531421999</v>
      </c>
      <c r="P41" s="3369">
        <f t="shared" si="19"/>
        <v>-256.20518853732068</v>
      </c>
      <c r="Q41" s="3369">
        <f>'Table1.A(d)'!G41</f>
        <v>2006.4532228431201</v>
      </c>
      <c r="R41" s="3369">
        <f t="shared" si="7"/>
        <v>-2262.6584113804406</v>
      </c>
      <c r="S41" s="2577">
        <f t="shared" si="20"/>
        <v>1</v>
      </c>
      <c r="T41" s="3375">
        <f t="shared" si="21"/>
        <v>-8296.4141750616163</v>
      </c>
    </row>
    <row r="42" spans="2:20" ht="18" customHeight="1" x14ac:dyDescent="0.2">
      <c r="B42" s="1727"/>
      <c r="C42" s="1568"/>
      <c r="D42" s="31" t="s">
        <v>267</v>
      </c>
      <c r="E42" s="2575" t="s">
        <v>2150</v>
      </c>
      <c r="F42" s="3381"/>
      <c r="G42" s="3361" t="s">
        <v>2146</v>
      </c>
      <c r="H42" s="3361" t="s">
        <v>2146</v>
      </c>
      <c r="I42" s="3381"/>
      <c r="J42" s="3361" t="s">
        <v>2146</v>
      </c>
      <c r="K42" s="3369" t="str">
        <f t="shared" si="16"/>
        <v>NO</v>
      </c>
      <c r="L42" s="2577" t="str">
        <f t="shared" si="17"/>
        <v>NA</v>
      </c>
      <c r="M42" s="55" t="s">
        <v>1814</v>
      </c>
      <c r="N42" s="3369" t="str">
        <f t="shared" si="18"/>
        <v>NO</v>
      </c>
      <c r="O42" s="3342">
        <v>22.309090909090902</v>
      </c>
      <c r="P42" s="3369" t="str">
        <f t="shared" si="19"/>
        <v>NA</v>
      </c>
      <c r="Q42" s="3369">
        <f>'Table1.A(d)'!G42</f>
        <v>179.89140850866599</v>
      </c>
      <c r="R42" s="3369">
        <f t="shared" si="7"/>
        <v>-179.89140850866599</v>
      </c>
      <c r="S42" s="2577">
        <f t="shared" si="20"/>
        <v>1</v>
      </c>
      <c r="T42" s="3375">
        <f t="shared" si="21"/>
        <v>-659.60183119844203</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1847235</v>
      </c>
      <c r="O45" s="3364"/>
      <c r="P45" s="3371">
        <f>SUM(P33:P43)</f>
        <v>45819.89161753912</v>
      </c>
      <c r="Q45" s="3371">
        <f>SUM(Q33:Q43)</f>
        <v>2739.8281802992174</v>
      </c>
      <c r="R45" s="3371">
        <f>SUM(R33:R43)</f>
        <v>43080.0634372399</v>
      </c>
      <c r="S45" s="41"/>
      <c r="T45" s="3377">
        <f>SUM(T33:T43)</f>
        <v>157960.23260321296</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4707577.9060000004</v>
      </c>
      <c r="G47" s="3361">
        <v>186515</v>
      </c>
      <c r="H47" s="3361">
        <v>3376402</v>
      </c>
      <c r="I47" s="3361" t="s">
        <v>2146</v>
      </c>
      <c r="J47" s="3361">
        <v>-16364</v>
      </c>
      <c r="K47" s="3369">
        <f t="shared" ref="K47" si="22">IF((SUM(F47:G47)-SUM(H47:J47))=0,"NO",(SUM(F47:G47)-SUM(H47:J47)))</f>
        <v>1534054.9060000004</v>
      </c>
      <c r="L47" s="2577">
        <f t="shared" ref="L47" si="23">IF(K47="NO","NA",1)</f>
        <v>1</v>
      </c>
      <c r="M47" s="55" t="s">
        <v>1814</v>
      </c>
      <c r="N47" s="3369">
        <f t="shared" ref="N47" si="24">K47</f>
        <v>1534054.9060000004</v>
      </c>
      <c r="O47" s="3342">
        <v>13.973482790017909</v>
      </c>
      <c r="P47" s="3369">
        <f t="shared" ref="P47" si="25">IFERROR(N47*O47/1000,"NA")</f>
        <v>21436.089827933545</v>
      </c>
      <c r="Q47" s="3369">
        <f>'Table1.A(d)'!G47</f>
        <v>755.64438133535589</v>
      </c>
      <c r="R47" s="3369">
        <f t="shared" ref="R47" si="26">IF(SUM(P47,-SUM(Q47))=0,"NO",SUM(P47,-SUM(Q47)))</f>
        <v>20680.445446598191</v>
      </c>
      <c r="S47" s="2577">
        <f t="shared" ref="S47" si="27">IF(R47="NO","NA",1)</f>
        <v>1</v>
      </c>
      <c r="T47" s="3375">
        <f t="shared" ref="T47" si="28">IF(R47="NO","NO",R47*S47*44/12)</f>
        <v>75828.299970860025</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1534054.9060000004</v>
      </c>
      <c r="O50" s="3366"/>
      <c r="P50" s="3371">
        <f>SUM(P47:P48)</f>
        <v>21436.089827933545</v>
      </c>
      <c r="Q50" s="3371">
        <f>SUM(Q47:Q48)</f>
        <v>755.64438133535589</v>
      </c>
      <c r="R50" s="3371">
        <f>SUM(R47:R48)</f>
        <v>20680.445446598191</v>
      </c>
      <c r="S50" s="2354"/>
      <c r="T50" s="3377">
        <f>SUM(T47:T48)</f>
        <v>75828.299970860025</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2153</v>
      </c>
      <c r="G52" s="3390" t="s">
        <v>2153</v>
      </c>
      <c r="H52" s="3390" t="s">
        <v>2153</v>
      </c>
      <c r="I52" s="3361" t="s">
        <v>2146</v>
      </c>
      <c r="J52" s="3390">
        <v>-3950.76</v>
      </c>
      <c r="K52" s="3369">
        <f t="shared" ref="K52:K53" si="29">IF((SUM(F52:G52)-SUM(H52:J52))=0,"NO",(SUM(F52:G52)-SUM(H52:J52)))</f>
        <v>3950.76</v>
      </c>
      <c r="L52" s="2577">
        <f t="shared" ref="L52:L53" si="30">IF(K52="NO","NA",1)</f>
        <v>1</v>
      </c>
      <c r="M52" s="55" t="s">
        <v>1814</v>
      </c>
      <c r="N52" s="3369">
        <f t="shared" ref="N52:N53" si="31">K52</f>
        <v>3950.76</v>
      </c>
      <c r="O52" s="3342">
        <v>13.02673220594267</v>
      </c>
      <c r="P52" s="3369">
        <f t="shared" ref="P52:P53" si="32">IFERROR(N52*O52/1000,"NA")</f>
        <v>51.465492529950069</v>
      </c>
      <c r="Q52" s="3374" t="str">
        <f>'Table1.A(d)'!G52</f>
        <v>NA</v>
      </c>
      <c r="R52" s="3369">
        <f t="shared" ref="R52:R53" si="33">IF(SUM(P52,-SUM(Q52))=0,"NO",SUM(P52,-SUM(Q52)))</f>
        <v>51.465492529950069</v>
      </c>
      <c r="S52" s="2577">
        <f t="shared" ref="S52:S53" si="34">IF(R52="NO","NA",1)</f>
        <v>1</v>
      </c>
      <c r="T52" s="3375">
        <f t="shared" ref="T52:T53" si="35">IF(R52="NO","NO",R52*S52*44/12)</f>
        <v>188.70680594315024</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3950.76</v>
      </c>
      <c r="O54" s="3367"/>
      <c r="P54" s="3373">
        <f>SUM(P51:P53)</f>
        <v>51.465492529950069</v>
      </c>
      <c r="Q54" s="3373">
        <f>SUM(Q51:Q53)</f>
        <v>0</v>
      </c>
      <c r="R54" s="3373">
        <f>SUM(R51:R53)</f>
        <v>51.465492529950069</v>
      </c>
      <c r="S54" s="2374"/>
      <c r="T54" s="3379">
        <f>SUM(T51:T53)</f>
        <v>188.70680594315024</v>
      </c>
    </row>
    <row r="55" spans="2:20" ht="18" customHeight="1" thickBot="1" x14ac:dyDescent="0.25">
      <c r="B55" s="2370" t="s">
        <v>278</v>
      </c>
      <c r="C55" s="2371"/>
      <c r="D55" s="2371"/>
      <c r="E55" s="100"/>
      <c r="F55" s="3391"/>
      <c r="G55" s="3391"/>
      <c r="H55" s="3391"/>
      <c r="I55" s="3391"/>
      <c r="J55" s="3391"/>
      <c r="K55" s="3392"/>
      <c r="L55" s="2372"/>
      <c r="M55" s="2373"/>
      <c r="N55" s="3373">
        <f>SUM(N31,N45,N50,N54)</f>
        <v>5479154.3242933657</v>
      </c>
      <c r="O55" s="3367"/>
      <c r="P55" s="3373">
        <f>SUM(P31,P45,P50,P54)</f>
        <v>107001.9202425682</v>
      </c>
      <c r="Q55" s="3373">
        <f>SUM(Q31,Q45,Q50,Q54)</f>
        <v>6054.0112479329828</v>
      </c>
      <c r="R55" s="3373">
        <f>SUM(R31,R45,R50,R54)</f>
        <v>100947.9089946352</v>
      </c>
      <c r="S55" s="2374"/>
      <c r="T55" s="3379">
        <f>SUM(T31,T45,T50,T54)</f>
        <v>370142.33298032905</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2093.9136582933652</v>
      </c>
      <c r="D10" s="4136">
        <f>C10-'Table1.A(d)'!E31/1000</f>
        <v>1967.4777829589755</v>
      </c>
      <c r="E10" s="4135">
        <f>'Table1.A(b)'!T31</f>
        <v>136165.09360031295</v>
      </c>
      <c r="F10" s="4135">
        <f>'Table1.A(a)s1'!C11/1000</f>
        <v>2056.7082495810419</v>
      </c>
      <c r="G10" s="4135">
        <f>'Table1.A(a)s1'!H11</f>
        <v>141169.44801196147</v>
      </c>
      <c r="H10" s="4135">
        <f>100*((D10-F10)/F10)</f>
        <v>-4.3385087136322289</v>
      </c>
      <c r="I10" s="4137">
        <f>100*((E10-G10)/G10)</f>
        <v>-3.5449273777882184</v>
      </c>
      <c r="L10"/>
    </row>
    <row r="11" spans="2:12" ht="18" customHeight="1" x14ac:dyDescent="0.2">
      <c r="B11" s="50" t="s">
        <v>299</v>
      </c>
      <c r="C11" s="4135">
        <f>'Table1.A(b)'!N45/1000</f>
        <v>1847.2349999999999</v>
      </c>
      <c r="D11" s="4135">
        <f>C11-'Table1.A(d)'!E45/1000</f>
        <v>1751.7767162860257</v>
      </c>
      <c r="E11" s="4135">
        <f>'Table1.A(b)'!T45</f>
        <v>157960.23260321296</v>
      </c>
      <c r="F11" s="4135">
        <f>'Table1.A(a)s1'!C12/1000</f>
        <v>1772.0748108526102</v>
      </c>
      <c r="G11" s="4135">
        <f>'Table1.A(a)s1'!H12</f>
        <v>160179.25339099241</v>
      </c>
      <c r="H11" s="4135">
        <f t="shared" ref="H11:H13" si="0">100*((D11-F11)/F11)</f>
        <v>-1.1454423053854219</v>
      </c>
      <c r="I11" s="4137">
        <f t="shared" ref="I11:I13" si="1">100*((E11-G11)/G11)</f>
        <v>-1.3853359538159959</v>
      </c>
      <c r="L11"/>
    </row>
    <row r="12" spans="2:12" ht="18" customHeight="1" x14ac:dyDescent="0.2">
      <c r="B12" s="50" t="s">
        <v>300</v>
      </c>
      <c r="C12" s="4135">
        <f>'Table1.A(b)'!N50/1000</f>
        <v>1534.0549060000005</v>
      </c>
      <c r="D12" s="4135">
        <f>C12-'Table1.A(d)'!E50/1000</f>
        <v>1480.1065600000006</v>
      </c>
      <c r="E12" s="4135">
        <f>'Table1.A(b)'!T50</f>
        <v>75828.299970860025</v>
      </c>
      <c r="F12" s="4135">
        <f>'Table1.A(a)s1'!C13/1000</f>
        <v>1450.9699449913644</v>
      </c>
      <c r="G12" s="4135">
        <f>'Table1.A(a)s1'!H13</f>
        <v>74338.713810038971</v>
      </c>
      <c r="H12" s="4135">
        <f t="shared" si="0"/>
        <v>2.0080784656645414</v>
      </c>
      <c r="I12" s="4137">
        <f t="shared" si="1"/>
        <v>2.0037825306306218</v>
      </c>
      <c r="L12"/>
    </row>
    <row r="13" spans="2:12" ht="18" customHeight="1" x14ac:dyDescent="0.2">
      <c r="B13" s="50" t="s">
        <v>275</v>
      </c>
      <c r="C13" s="4135">
        <f>'Table1.A(b)'!N54/1000</f>
        <v>3.9507600000000003</v>
      </c>
      <c r="D13" s="4135">
        <f>C13-SUM('Table1.A(d)'!E54)/1000</f>
        <v>3.9507600000000003</v>
      </c>
      <c r="E13" s="4135">
        <f>'Table1.A(b)'!T54</f>
        <v>188.70680594315024</v>
      </c>
      <c r="F13" s="4135">
        <f>'Table1.A(a)s1'!C14/1000</f>
        <v>3.964379995777453</v>
      </c>
      <c r="G13" s="4135">
        <f>'Table1.A(a)s1'!H14</f>
        <v>189.70545582863753</v>
      </c>
      <c r="H13" s="4135">
        <f t="shared" si="0"/>
        <v>-0.34355929027892679</v>
      </c>
      <c r="I13" s="4137">
        <f t="shared" si="1"/>
        <v>-0.52642127825220308</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5479.1543242933649</v>
      </c>
      <c r="D15" s="4138">
        <f>SUM(D10:D14)</f>
        <v>5203.311819245002</v>
      </c>
      <c r="E15" s="4138">
        <f>SUM(E10:E14)</f>
        <v>370142.33298032905</v>
      </c>
      <c r="F15" s="4138">
        <f>SUM(F10:F14)</f>
        <v>5283.717385420794</v>
      </c>
      <c r="G15" s="4138">
        <f>SUM(G10:G14)</f>
        <v>375877.1206688215</v>
      </c>
      <c r="H15" s="4139">
        <f t="shared" ref="H15" si="2">100*((D15-F15)/F15)</f>
        <v>-1.5217612962732026</v>
      </c>
      <c r="I15" s="4140">
        <f t="shared" ref="I15" si="3">100*((E15-G15)/G15)</f>
        <v>-1.52570810329934</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W o r k b o o k S t a t e   x m l n s : i = " h t t p : / / w w w . w 3 . o r g / 2 0 0 1 / X M L S c h e m a - i n s t a n c e "   x m l n s = " h t t p : / / s c h e m a s . m i c r o s o f t . c o m / P o w e r B I A d d I n " > < L a s t P r o v i d e d R a n g e N a m e I d > 0 < / L a s t P r o v i d e d R a n g e N a m e I d > < L a s t U s e d G r o u p O b j e c t I d > < / L a s t U s e d G r o u p O b j e c t I d > < T i l e s L i s t > < T i l e s / > < / T i l e s L i s t > < / W o r k b o o k S t a t e > 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A9FEB2-8205-4368-A3A5-444D049B3276}">
  <ds:schemaRefs>
    <ds:schemaRef ds:uri="http://schemas.microsoft.com/sharepoint/events"/>
  </ds:schemaRefs>
</ds:datastoreItem>
</file>

<file path=customXml/itemProps2.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3.xml><?xml version="1.0" encoding="utf-8"?>
<ds:datastoreItem xmlns:ds="http://schemas.openxmlformats.org/officeDocument/2006/customXml" ds:itemID="{BD1D3FA5-2D6E-4B3E-A166-ECBA91C89010}"/>
</file>

<file path=customXml/itemProps4.xml><?xml version="1.0" encoding="utf-8"?>
<ds:datastoreItem xmlns:ds="http://schemas.openxmlformats.org/officeDocument/2006/customXml" ds:itemID="{D7F9BB66-26BC-4FB5-8B4E-F270C2DFD009}">
  <ds:schemaRefs>
    <ds:schemaRef ds:uri="http://schemas.microsoft.com/PowerBIAddIn"/>
  </ds:schemaRefs>
</ds:datastoreItem>
</file>

<file path=customXml/itemProps5.xml><?xml version="1.0" encoding="utf-8"?>
<ds:datastoreItem xmlns:ds="http://schemas.openxmlformats.org/officeDocument/2006/customXml" ds:itemID="{CC823002-7909-4CB6-8A7B-504FCDF1C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2023-04-13T05:47:20Z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