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HyperRail\"/>
    </mc:Choice>
  </mc:AlternateContent>
  <xr:revisionPtr revIDLastSave="0" documentId="13_ncr:1_{0FC4F5E2-CD20-43B5-9B75-9DE0468C60E6}" xr6:coauthVersionLast="47" xr6:coauthVersionMax="47" xr10:uidLastSave="{00000000-0000-0000-0000-000000000000}"/>
  <bookViews>
    <workbookView xWindow="28680" yWindow="4485" windowWidth="25440" windowHeight="15390" firstSheet="5" activeTab="6" xr2:uid="{9AA5CA3B-103F-4503-BB38-84DF181EF15E}"/>
  </bookViews>
  <sheets>
    <sheet name="Overall" sheetId="1" r:id="rId1"/>
    <sheet name="Electrical " sheetId="2" r:id="rId2"/>
    <sheet name="Mechanical - Carriage Assembly" sheetId="4" r:id="rId3"/>
    <sheet name="Mechanical - Buffer" sheetId="6" r:id="rId4"/>
    <sheet name="Mechanical - X_CarriageFWD_V2_1" sheetId="7" r:id="rId5"/>
    <sheet name="Mechanical - X_CarriageFWDBeari" sheetId="8" r:id="rId6"/>
    <sheet name="Mechanical - Rail_AssemblyV2_0" sheetId="9" r:id="rId7"/>
    <sheet name="Mechanical -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0" l="1"/>
  <c r="G6" i="10"/>
  <c r="F6" i="10"/>
  <c r="E6" i="10"/>
  <c r="F5" i="10"/>
  <c r="G5" i="10" s="1"/>
  <c r="E5" i="10"/>
  <c r="F4" i="10"/>
  <c r="G4" i="10" s="1"/>
  <c r="E4" i="10"/>
  <c r="F3" i="10"/>
  <c r="G3" i="10" s="1"/>
  <c r="E3" i="10"/>
  <c r="K6" i="9"/>
  <c r="F6" i="9"/>
  <c r="G6" i="9" s="1"/>
  <c r="E6" i="9"/>
  <c r="F5" i="9"/>
  <c r="G5" i="9" s="1"/>
  <c r="E5" i="9"/>
  <c r="G4" i="9"/>
  <c r="F4" i="9"/>
  <c r="E4" i="9"/>
  <c r="F3" i="9"/>
  <c r="G3" i="9" s="1"/>
  <c r="E3" i="9"/>
  <c r="L3" i="4"/>
  <c r="F14" i="4"/>
  <c r="L3" i="8"/>
  <c r="G3" i="8"/>
  <c r="F3" i="8"/>
  <c r="E3" i="8"/>
  <c r="G6" i="8"/>
  <c r="K6" i="8"/>
  <c r="F6" i="8"/>
  <c r="E6" i="8"/>
  <c r="G5" i="8"/>
  <c r="F5" i="8"/>
  <c r="E5" i="8"/>
  <c r="G4" i="8"/>
  <c r="F4" i="8"/>
  <c r="E4" i="8"/>
  <c r="F15" i="4"/>
  <c r="F13" i="4"/>
  <c r="F3" i="7"/>
  <c r="G3" i="7"/>
  <c r="L3" i="7" s="1"/>
  <c r="G13" i="4" s="1"/>
  <c r="E3" i="7"/>
  <c r="G4" i="7"/>
  <c r="F4" i="7"/>
  <c r="E4" i="7"/>
  <c r="E3" i="6"/>
  <c r="F3" i="6"/>
  <c r="K8" i="7"/>
  <c r="K7" i="7"/>
  <c r="E8" i="7"/>
  <c r="F8" i="7"/>
  <c r="F7" i="7"/>
  <c r="E7" i="7"/>
  <c r="G9" i="7"/>
  <c r="K9" i="7"/>
  <c r="F9" i="7"/>
  <c r="E9" i="7"/>
  <c r="F5" i="7"/>
  <c r="G5" i="7"/>
  <c r="E5" i="7"/>
  <c r="G6" i="7"/>
  <c r="K6" i="7"/>
  <c r="E6" i="7"/>
  <c r="K12" i="4"/>
  <c r="E12" i="4"/>
  <c r="F12" i="4"/>
  <c r="K11" i="4"/>
  <c r="F11" i="4"/>
  <c r="E11" i="4"/>
  <c r="K10" i="4"/>
  <c r="F10" i="4"/>
  <c r="E10" i="4"/>
  <c r="E8" i="4"/>
  <c r="K8" i="6"/>
  <c r="E8" i="6"/>
  <c r="E6" i="6"/>
  <c r="E7" i="6"/>
  <c r="E5" i="6"/>
  <c r="E6" i="4"/>
  <c r="E4" i="4"/>
  <c r="K7" i="4"/>
  <c r="F7" i="4"/>
  <c r="F6" i="4"/>
  <c r="F8" i="6"/>
  <c r="F7" i="6"/>
  <c r="F4" i="6"/>
  <c r="K4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E4" i="6"/>
  <c r="I22" i="8"/>
  <c r="G8" i="7"/>
  <c r="G7" i="7"/>
  <c r="K3" i="7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G7" i="6"/>
  <c r="G6" i="6"/>
  <c r="G5" i="6"/>
  <c r="G4" i="6"/>
  <c r="G3" i="6"/>
  <c r="L3" i="6" s="1"/>
  <c r="K4" i="4"/>
  <c r="K8" i="4"/>
  <c r="K9" i="4"/>
  <c r="K13" i="4"/>
  <c r="K14" i="4"/>
  <c r="K15" i="4"/>
  <c r="K3" i="4"/>
  <c r="E7" i="4"/>
  <c r="E3" i="4"/>
  <c r="G15" i="4"/>
  <c r="G14" i="4"/>
  <c r="G12" i="4"/>
  <c r="G11" i="4"/>
  <c r="G10" i="4"/>
  <c r="G8" i="4"/>
  <c r="G7" i="4"/>
  <c r="G6" i="4"/>
  <c r="G4" i="4"/>
  <c r="G3" i="4"/>
  <c r="I22" i="10" l="1"/>
  <c r="L3" i="10"/>
  <c r="I22" i="9"/>
  <c r="L3" i="9"/>
  <c r="F5" i="4"/>
  <c r="G5" i="4" s="1"/>
  <c r="F9" i="4"/>
  <c r="G9" i="4" s="1"/>
  <c r="I22" i="6"/>
  <c r="D9" i="1" l="1"/>
  <c r="N7" i="1"/>
  <c r="Q7" i="1" s="1"/>
  <c r="R7" i="1" s="1"/>
  <c r="N8" i="1"/>
  <c r="Q8" i="1" s="1"/>
  <c r="R8" i="1" s="1"/>
  <c r="N6" i="1"/>
  <c r="Q6" i="1" s="1"/>
  <c r="R6" i="1" s="1"/>
  <c r="F5" i="1"/>
  <c r="F6" i="1"/>
  <c r="F7" i="1"/>
  <c r="E7" i="1"/>
  <c r="E6" i="1"/>
  <c r="E5" i="1"/>
  <c r="I59" i="2"/>
  <c r="I63" i="2"/>
  <c r="I52" i="2"/>
  <c r="I24" i="2"/>
  <c r="E9" i="1" l="1"/>
  <c r="F9" i="1" s="1"/>
  <c r="E8" i="1"/>
  <c r="F8" i="1" s="1"/>
  <c r="E4" i="1"/>
  <c r="F4" i="1" s="1"/>
  <c r="E3" i="1" l="1"/>
  <c r="F3" i="1" s="1"/>
  <c r="L2" i="1" s="1"/>
</calcChain>
</file>

<file path=xl/sharedStrings.xml><?xml version="1.0" encoding="utf-8"?>
<sst xmlns="http://schemas.openxmlformats.org/spreadsheetml/2006/main" count="820" uniqueCount="328">
  <si>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</si>
  <si>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</si>
  <si>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</si>
  <si>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</si>
  <si>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</si>
  <si>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</si>
  <si>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</si>
  <si>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</si>
  <si>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</si>
  <si>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</si>
  <si>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</si>
  <si>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</si>
  <si>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</si>
  <si>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</si>
  <si>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</si>
  <si>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</si>
  <si>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</si>
  <si>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</si>
  <si>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</si>
  <si>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</si>
  <si>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</si>
  <si>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</si>
  <si>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</si>
  <si>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</si>
  <si>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</si>
  <si>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</si>
  <si>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</si>
  <si>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</si>
  <si>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</si>
  <si>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</si>
  <si>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</si>
  <si>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</si>
  <si>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</si>
  <si>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</si>
  <si>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</si>
  <si>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</si>
  <si>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</si>
  <si>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</si>
  <si>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</si>
  <si>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</si>
  <si>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</si>
  <si>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</si>
  <si>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</si>
  <si>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</si>
  <si>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</si>
  <si>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</si>
  <si>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</si>
  <si>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</si>
  <si>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</si>
  <si>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</si>
  <si>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</si>
  <si>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</si>
  <si>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</si>
  <si>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</si>
  <si>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</si>
  <si>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</si>
  <si>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</si>
  <si>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</si>
  <si>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</si>
  <si>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</si>
  <si>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</si>
  <si>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</si>
  <si>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</si>
  <si>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</si>
  <si>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</si>
  <si>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</si>
  <si>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</si>
  <si>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</si>
  <si>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</si>
  <si>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</si>
  <si>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</si>
  <si>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</si>
  <si>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</si>
  <si>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</si>
  <si>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</si>
  <si>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</si>
  <si>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</si>
  <si>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</si>
  <si>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</si>
  <si>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</si>
  <si>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</si>
  <si>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</si>
  <si>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</si>
  <si>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</si>
  <si>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</si>
  <si>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</si>
  <si>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</si>
  <si>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</si>
  <si>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</si>
  <si>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</si>
  <si>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</si>
  <si>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</si>
  <si>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</si>
  <si>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</si>
  <si>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</si>
  <si>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</si>
  <si>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</si>
  <si>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</si>
  <si>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</si>
  <si>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</si>
  <si>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</si>
  <si>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</si>
  <si>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</si>
  <si>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</si>
  <si>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</si>
  <si>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</si>
  <si>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</si>
  <si>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</si>
  <si>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</si>
  <si>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</si>
  <si>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</si>
  <si>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</si>
  <si>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</si>
  <si>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</si>
  <si>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</si>
  <si>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</si>
  <si>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</si>
  <si>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</si>
  <si>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</si>
  <si>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</si>
  <si>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</si>
  <si>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</si>
  <si>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Integrated Stepper Driver PCB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</si>
  <si>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</si>
  <si>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</si>
  <si>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</si>
  <si>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</si>
  <si>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</si>
  <si>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</si>
  <si>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</si>
  <si>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</si>
  <si>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</si>
  <si>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</si>
  <si>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</si>
  <si>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</si>
  <si>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</si>
  <si>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</si>
  <si>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</si>
  <si>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</si>
  <si>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</si>
  <si>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</si>
  <si>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</si>
  <si>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</si>
  <si>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</si>
  <si>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</si>
  <si>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</si>
  <si>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</si>
  <si>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</si>
  <si>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</si>
  <si>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</si>
  <si>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</si>
  <si>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</si>
  <si>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</si>
  <si>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</si>
  <si>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</si>
  <si>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</si>
  <si>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</si>
  <si>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</si>
  <si>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</si>
  <si>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</si>
  <si>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</si>
  <si>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</si>
  <si>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</si>
  <si>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</si>
  <si>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</si>
  <si>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</si>
  <si>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</si>
  <si>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</si>
  <si>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</si>
  <si>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</si>
  <si>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</si>
  <si>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</si>
  <si>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</si>
  <si>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</si>
  <si>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</si>
  <si>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</si>
  <si>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</si>
  <si>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</si>
  <si>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</si>
  <si>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</si>
  <si>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</si>
  <si>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</si>
  <si>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</si>
  <si>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</si>
  <si>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</si>
  <si>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</si>
  <si>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</si>
  <si>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</si>
  <si>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</si>
  <si>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</si>
  <si>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</si>
  <si>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</si>
  <si>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</si>
  <si>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</si>
  <si>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</si>
  <si>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</si>
  <si>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</si>
  <si>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</si>
  <si>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</si>
  <si>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</si>
  <si>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</si>
  <si>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</si>
  <si>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</si>
  <si>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</si>
  <si>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</si>
  <si>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</si>
  <si>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59145-040</t>
  </si>
  <si>
    <t>Littelfuse Inc.</t>
  </si>
  <si>
    <t>HE627-ND</t>
  </si>
  <si>
    <t>Mag Switch Reciever</t>
  </si>
  <si>
    <t>Box</t>
  </si>
  <si>
    <t>SENSOR REED SW SPST-NC W LEADS</t>
  </si>
  <si>
    <t>57145-000</t>
  </si>
  <si>
    <t>57145-000-ND</t>
  </si>
  <si>
    <t>Mag Switch Transmitter</t>
  </si>
  <si>
    <t>13 Weeks</t>
  </si>
  <si>
    <t>MAGNET 1.125"L X 0.259"W PLASTIC</t>
  </si>
  <si>
    <t>BC-5SE100M</t>
  </si>
  <si>
    <t>Bel Inc.</t>
  </si>
  <si>
    <t>1847-1059-ND</t>
  </si>
  <si>
    <t>CABLE MOD 8P8C PLUG-PLUG 32.81'</t>
  </si>
  <si>
    <t>LRS-350-24</t>
  </si>
  <si>
    <t>MEAN WELL USA Inc.</t>
  </si>
  <si>
    <t>1866-3346-ND</t>
  </si>
  <si>
    <t>Input Power</t>
  </si>
  <si>
    <t>AC/DC CONVERTER 24V 350W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</si>
  <si>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</si>
  <si>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</si>
  <si>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</si>
  <si>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</si>
  <si>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</si>
  <si>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</si>
  <si>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Comments</t>
  </si>
  <si>
    <t>* Bought as a pack of 100. Price is estimated based on $/pack</t>
  </si>
  <si>
    <t xml:space="preserve">* Price is estimated based on Cura Slicer weight estimates for 3D printed part and $/Kg of Amazon Basics PETG Filament </t>
  </si>
  <si>
    <t>Vendor</t>
  </si>
  <si>
    <t>Amazon</t>
  </si>
  <si>
    <t>Custom</t>
  </si>
  <si>
    <t>Top Carriage Assembly</t>
  </si>
  <si>
    <t>Overall Cost</t>
  </si>
  <si>
    <t>Category</t>
  </si>
  <si>
    <t>Main Electrical System Assembly</t>
  </si>
  <si>
    <t>Mechanical</t>
  </si>
  <si>
    <t xml:space="preserve">Electrical </t>
  </si>
  <si>
    <t xml:space="preserve">Misc Mounting Material </t>
  </si>
  <si>
    <t>Height (m)</t>
  </si>
  <si>
    <t>Width (m)</t>
  </si>
  <si>
    <t>Length (m)</t>
  </si>
  <si>
    <t>Base Parameters</t>
  </si>
  <si>
    <t>Add-On Modules</t>
  </si>
  <si>
    <t>Number</t>
  </si>
  <si>
    <t>Add On Module</t>
  </si>
  <si>
    <t>Total</t>
  </si>
  <si>
    <t>(ft)</t>
  </si>
  <si>
    <t>MODIFY THESE</t>
  </si>
  <si>
    <t>Carriage Assembly</t>
  </si>
  <si>
    <t>Long plate for gripping Closed Belt structure</t>
  </si>
  <si>
    <t>Short plate for supporting main frame</t>
  </si>
  <si>
    <t>Short corner bracket for mounting 8020 pieces</t>
  </si>
  <si>
    <t>* Bought as a pack of 40. Price is estimated based on $/pack</t>
  </si>
  <si>
    <t>M5-0.8 x 6 mm Button Head Socket Cap</t>
  </si>
  <si>
    <t>6x15x5mm flanged bearing for Closed loop belt</t>
  </si>
  <si>
    <t>* Bought as a pack of 10. Price is estimated based on $/pack</t>
  </si>
  <si>
    <t>Idler pulley for tension and to restrict belt to area</t>
  </si>
  <si>
    <t>* Bought as a pack of 5. Price is estimated based on $/pack</t>
  </si>
  <si>
    <t>Part Number - Assembly</t>
  </si>
  <si>
    <t>Vendor Link</t>
  </si>
  <si>
    <t>Thumbnail</t>
  </si>
  <si>
    <t>20-2040_150mm</t>
  </si>
  <si>
    <t>14056_m</t>
  </si>
  <si>
    <t>Buffer</t>
  </si>
  <si>
    <t>Carriage_Horizontal_Spacer</t>
  </si>
  <si>
    <t>hex spacer standoff nut M5 L30</t>
  </si>
  <si>
    <t>Buffer_L</t>
  </si>
  <si>
    <t>Bolt M5 10mm</t>
  </si>
  <si>
    <t>DIN 508, T-Slot Nut M5</t>
  </si>
  <si>
    <t>20-2040_300mm</t>
  </si>
  <si>
    <t>5537T425_T-SLOTTED FRAMING</t>
  </si>
  <si>
    <t>X_CarriageFWD_V2_1</t>
  </si>
  <si>
    <t>X_CarriageFWDBearing_V2_1_Short</t>
  </si>
  <si>
    <t>X_CarriageBWD_V2_0</t>
  </si>
  <si>
    <t>20-2040 is a 20mm x 40mm metric 20 series rectangular T-slot profile</t>
  </si>
  <si>
    <t>Can also be bought on Amazon for cheaper (quality not guaranteed)</t>
  </si>
  <si>
    <t>Alternative Vendor</t>
  </si>
  <si>
    <t>Alternative Vendor Link</t>
  </si>
  <si>
    <t>The 2 hole - 20mm slotted inside corner bracket with dual support is an external, die-cast fastening method that creates a 90 degree connection</t>
  </si>
  <si>
    <t>Can be bought on Amazon as a pack of 50 for cheaper per/unit</t>
  </si>
  <si>
    <t>11mm_BearingWheel</t>
  </si>
  <si>
    <t>Bolt M5 50mm</t>
  </si>
  <si>
    <t>5mm_Spacer</t>
  </si>
  <si>
    <t>8mm_Spacer</t>
  </si>
  <si>
    <t>Buffer_Mount</t>
  </si>
  <si>
    <t>Nut M5</t>
  </si>
  <si>
    <t>McMaster</t>
  </si>
  <si>
    <t xml:space="preserve">Bought as a pack of 25 </t>
  </si>
  <si>
    <r>
      <t xml:space="preserve">Replacement wheel with bearings – </t>
    </r>
    <r>
      <rPr>
        <sz val="11"/>
        <color rgb="FF333333"/>
        <rFont val="Calibri"/>
        <family val="2"/>
        <scheme val="minor"/>
      </rPr>
      <t>Outer Delrin wheel shell</t>
    </r>
  </si>
  <si>
    <t>Small 5mm spacer - 3D printed with PETG (price estimated on $/Kg for PETG on Amazon</t>
  </si>
  <si>
    <t>Small 8mm spacer - 3D printed with PETG (price estimated on $/Kg for PETG on Amazon</t>
  </si>
  <si>
    <t>Right Angle Bracket for wheel axis - 3D printed with PETG (price estimated on $/Kg for PETG on Amazon</t>
  </si>
  <si>
    <t>Zinc-Plated Steel Hex Nut, Medium-Strength, Class 8, M5 x 0.8 mm Thread</t>
  </si>
  <si>
    <t>Can be bought on Amazon as a pack of 50 for cheaper per/unit -  Should be Zinc plated or Stainless steel for rust prevention</t>
  </si>
  <si>
    <t>SubTotal</t>
  </si>
  <si>
    <t>Buffer used on the side of the carriage to prevent track jumps</t>
  </si>
  <si>
    <t>6mm Spacer to keep horizontal 150mm 2040 from touching lower belt</t>
  </si>
  <si>
    <t>Custom Assembly</t>
  </si>
  <si>
    <t>Should be Zinc plated or Stainless steel for rust prevention, Bought as a pack of 100</t>
  </si>
  <si>
    <t>18-8 Stainless Steel, 10mm Hex, 30mm Long, M5 x 0.8mm Thread</t>
  </si>
  <si>
    <t>DigiKey</t>
  </si>
  <si>
    <t>Exact same parts as the Buffer, but the screw is flipped so it's Left-Handed rather than Right-Handed</t>
  </si>
  <si>
    <t>Passivated 18-8 Stainless Steel, M5 x 0.80 mm Thread, 10mm Long</t>
  </si>
  <si>
    <t>Bought as a pack of 100</t>
  </si>
  <si>
    <t>2020 Series M5 Half Round Roll in Spring T Nuts</t>
  </si>
  <si>
    <t>Can be bought on Mcmaster for 5x the price</t>
  </si>
  <si>
    <t>End-Feed Triple Nut, M5 Thread Size</t>
  </si>
  <si>
    <t>Bought as a pack of 4. BE VERY CAREFUL WITH THE AMAZON ALTERNATIVES THEY SOMETIMES DON'T FIT</t>
  </si>
  <si>
    <t>X_Carriage_Plate</t>
  </si>
  <si>
    <t>4mm_Roller_Spacer_simple</t>
  </si>
  <si>
    <t>Bolt M5 30mm</t>
  </si>
  <si>
    <t>Bolt M5 45mm</t>
  </si>
  <si>
    <t>Spacer to hold location of Delrin Wheels on track - 3D printed with PETG (price estimated on $/Kg for PETG on Amazon</t>
  </si>
  <si>
    <t>Passivated 18-8 Stainless Steel, M5 x 0.80 mm Thread, 30mm Long</t>
  </si>
  <si>
    <t>Passivated 18-8 Stainless Steel, M5 x 0.80 mm Thread, 45mm Long</t>
  </si>
  <si>
    <t xml:space="preserve"> X_CarriageFWD_V2_1</t>
  </si>
  <si>
    <t xml:space="preserve">Plate for X Carriage Wheels </t>
  </si>
  <si>
    <t>Same as FWD Carriage Plate but this has 2 more M5 nuts and the top screws are reversed</t>
  </si>
  <si>
    <t>X_Carriage_Plate_Short</t>
  </si>
  <si>
    <t>F606ZZFlanged</t>
  </si>
  <si>
    <t>Rail_AssemblyV2_0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</si>
</sst>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26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8" applyNumberFormat="0" applyFill="0" applyAlignment="0" applyProtection="0"/>
    <xf numFmtId="0" fontId="11" fillId="10" borderId="9" applyNumberFormat="0" applyAlignment="0" applyProtection="0"/>
    <xf numFmtId="0" fontId="1" fillId="11" borderId="10" applyNumberFormat="0" applyFont="0" applyAlignment="0" applyProtection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0" xfId="0" applyFont="1" applyFill="1" applyBorder="1"/>
    <xf numFmtId="44" fontId="0" fillId="0" borderId="0" xfId="0" quotePrefix="1" applyNumberFormat="1"/>
    <xf numFmtId="0" fontId="0" fillId="11" borderId="10" xfId="6" applyFont="1"/>
    <xf numFmtId="0" fontId="11" fillId="10" borderId="9" xfId="5"/>
    <xf numFmtId="0" fontId="0" fillId="11" borderId="0" xfId="6" applyFont="1" applyBorder="1"/>
    <xf numFmtId="0" fontId="12" fillId="2" borderId="1" xfId="2" applyFont="1"/>
    <xf numFmtId="44" fontId="12" fillId="2" borderId="1" xfId="2" applyNumberFormat="1" applyFont="1"/>
    <xf numFmtId="0" fontId="13" fillId="0" borderId="0" xfId="0" applyFont="1"/>
    <xf numFmtId="0" fontId="10" fillId="9" borderId="8" xfId="4" applyFill="1"/>
    <xf numFmtId="0" fontId="5" fillId="8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14" fillId="0" borderId="0" xfId="0" applyFont="1"/>
    <xf numFmtId="0" fontId="15" fillId="0" borderId="0" xfId="7"/>
    <xf numFmtId="0" fontId="17" fillId="3" borderId="0" xfId="0" applyFont="1" applyFill="1"/>
    <xf numFmtId="0" fontId="6" fillId="0" borderId="0" xfId="0" applyFont="1"/>
  </cellXfs>
  <cellStyles count="8">
    <cellStyle name="Currency" xfId="1" builtinId="4"/>
    <cellStyle name="Heading 2" xfId="4" builtinId="17"/>
    <cellStyle name="Hyperlink" xfId="7" builtinId="8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50"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g"/><Relationship Id="rId3" Type="http://schemas.openxmlformats.org/officeDocument/2006/relationships/image" Target="../media/image3.jpg"/><Relationship Id="rId7" Type="http://schemas.openxmlformats.org/officeDocument/2006/relationships/image" Target="../media/image14.jpg"/><Relationship Id="rId12" Type="http://schemas.openxmlformats.org/officeDocument/2006/relationships/image" Target="../media/image19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8.jpg"/><Relationship Id="rId5" Type="http://schemas.openxmlformats.org/officeDocument/2006/relationships/image" Target="../media/image5.jpg"/><Relationship Id="rId10" Type="http://schemas.openxmlformats.org/officeDocument/2006/relationships/image" Target="../media/image17.jpg"/><Relationship Id="rId4" Type="http://schemas.openxmlformats.org/officeDocument/2006/relationships/image" Target="../media/image4.jpg"/><Relationship Id="rId9" Type="http://schemas.openxmlformats.org/officeDocument/2006/relationships/image" Target="../media/image16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g"/><Relationship Id="rId7" Type="http://schemas.openxmlformats.org/officeDocument/2006/relationships/image" Target="../media/image19.jpg"/><Relationship Id="rId2" Type="http://schemas.openxmlformats.org/officeDocument/2006/relationships/image" Target="../media/image14.jpg"/><Relationship Id="rId1" Type="http://schemas.openxmlformats.org/officeDocument/2006/relationships/image" Target="../media/image20.jpg"/><Relationship Id="rId6" Type="http://schemas.openxmlformats.org/officeDocument/2006/relationships/image" Target="../media/image23.jpg"/><Relationship Id="rId5" Type="http://schemas.openxmlformats.org/officeDocument/2006/relationships/image" Target="../media/image22.jpg"/><Relationship Id="rId4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g"/><Relationship Id="rId2" Type="http://schemas.openxmlformats.org/officeDocument/2006/relationships/image" Target="../media/image21.jpg"/><Relationship Id="rId1" Type="http://schemas.openxmlformats.org/officeDocument/2006/relationships/image" Target="../media/image24.jpg"/><Relationship Id="rId4" Type="http://schemas.openxmlformats.org/officeDocument/2006/relationships/image" Target="../media/image2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g"/><Relationship Id="rId2" Type="http://schemas.openxmlformats.org/officeDocument/2006/relationships/image" Target="../media/image21.jpg"/><Relationship Id="rId1" Type="http://schemas.openxmlformats.org/officeDocument/2006/relationships/image" Target="../media/image24.jpg"/><Relationship Id="rId4" Type="http://schemas.openxmlformats.org/officeDocument/2006/relationships/image" Target="../media/image23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g"/><Relationship Id="rId2" Type="http://schemas.openxmlformats.org/officeDocument/2006/relationships/image" Target="../media/image21.jpg"/><Relationship Id="rId1" Type="http://schemas.openxmlformats.org/officeDocument/2006/relationships/image" Target="../media/image24.jpg"/><Relationship Id="rId4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C334F-C0CE-43B0-84D6-CE2B71EA8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33650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24A6A8-329C-425D-9445-1C22C8E5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533650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7E36B-0105-4017-BF1A-010938025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533650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CB6290-321D-4EDC-BBE3-389CEAF59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533650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C0DECB-C8D6-466C-B57E-6E6964CF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533650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CEC7F-6DB2-4416-8D27-C5608054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533650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A8E74-516B-4848-898D-EB9F8F335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2533650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AEBB7C-689D-4038-8219-E55D3E9BF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2533650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D94FF2-4182-473B-B926-E9D24CF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2533650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452FFE-1747-4A9D-9B7D-294A7F095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2533650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A6A674-E284-4D92-BB99-0F34EB033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2533650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606C6A3-2C91-4DFE-AD21-01C7EE90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2533650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D0B5BCA-CE55-4269-9ADA-9B6BE1AF5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2533650" y="11468100"/>
          <a:ext cx="8763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56643-FD8C-4DAB-A938-C26EB9C8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9800" y="12668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85A73-EE2D-4C9D-BBC0-9AB016EE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09800" y="18954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2146DD-5DE0-4A77-ADCB-0FE04F943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209800" y="25241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2373B9-6CD8-48DB-BB0E-82D749FBD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209800" y="31527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8C5F9A-4A9E-47E3-A5E9-1B421E2F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209800" y="37814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D68F6-C806-430F-85DB-CD517ECD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09800" y="44100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1B52150-1354-45BF-8B68-32379A268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380C17-4C1D-4054-8C55-10C62B340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2B96B4D-1754-4560-B928-99CB4D4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A8B17AD-C2C2-48A4-9A98-F1309B971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300FA2-2734-4774-94E8-3E179F03B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C6434C6-BAA9-4404-9332-C94946FA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0442BE-0D4C-4851-863B-49471B14E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EAE2BF-5D75-4293-A821-8C7C9774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50DB31D-C4C0-43E8-A169-254A021C9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BA9BE11-5ABA-4379-9869-963675A27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1F89DAF-DF59-4AD2-98DF-6A54C3853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3A85F7-7872-47AE-87CE-EDDBCB70C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9A7A2DD-F70D-4458-A249-4D135D90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8CE99C3-C1E3-468E-A792-23C5FFC91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31C6AE-2C43-4481-8492-02185863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E94B8C-DF88-4394-933A-5F13E41FF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DA8FEF3-EB87-4D16-A5A2-953A10BD3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21EF3-1006-4B65-9999-453A6CB27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9800" y="12668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AAA62-499C-4441-9B79-6B2AF3033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09800" y="18954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E1710C-08F3-4F26-936F-AD8F873C5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209800" y="25241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3F0565-6C7B-4AF0-B1A7-B9A7C7DFE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209800" y="3152775"/>
          <a:ext cx="838200" cy="619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A0AC95-FE41-40E1-9686-EB82E2F30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9800" y="12668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E60A39-8924-4535-B1B5-9EF17225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09800" y="18954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49967D-57F6-45D8-8D51-713522A8B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209800" y="25241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D6684-F346-48E2-8F1D-494182F6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209800" y="3152775"/>
          <a:ext cx="8382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49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48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2DEE47-6D00-4A01-9D85-5821DFFD0E0D}" name="RBA_478911" displayName="RBA_478911" ref="A2:K21" totalsRowShown="0" headerRowDxfId="1" tableBorderDxfId="0">
  <autoFilter ref="A2:K21" xr:uid="{AEB73607-C281-450A-B481-305282F70C69}"/>
  <tableColumns count="11">
    <tableColumn id="1" xr3:uid="{769116A9-6701-431A-B87F-E8B659355301}" name="Part Number - Assembly"/>
    <tableColumn id="2" xr3:uid="{DE8016B2-39BC-454E-8488-8731DE3BA9A2}" name="Thumbnail"/>
    <tableColumn id="3" xr3:uid="{C4B5D665-8026-4B0D-AF80-490334AF0C10}" name="Quantity"/>
    <tableColumn id="4" xr3:uid="{C18A9099-D911-4C26-B3CC-25D1DCC6CB07}" name="Vendor"/>
    <tableColumn id="5" xr3:uid="{BA9B0E2B-0C98-4355-BB71-63B2A90A0BC8}" name="Vendor Link">
      <calculatedColumnFormula>HYPERLINK("https://8020.net/20-2040.html", "20-2040")</calculatedColumnFormula>
    </tableColumn>
    <tableColumn id="8" xr3:uid="{D966B16D-4C63-4879-8CDD-16B714C01A4C}" name="Unit Price" dataCellStyle="Currency"/>
    <tableColumn id="9" xr3:uid="{DB03D5B7-D6CC-427B-A971-AFE4058894C2}" name="Extended Price" dataCellStyle="Currency">
      <calculatedColumnFormula>RBA_478911[[#This Row],[Unit Price]]*RBA_478911[[#This Row],[Quantity]]</calculatedColumnFormula>
    </tableColumn>
    <tableColumn id="12" xr3:uid="{5EC14FF4-6251-4004-83C6-E5D3569636B0}" name="Description"/>
    <tableColumn id="16" xr3:uid="{0B6D70D1-70D8-4355-AF93-70F338BF50FE}" name="Comments"/>
    <tableColumn id="6" xr3:uid="{813C2C62-D748-4335-B166-4D9B34F60B68}" name="Alternative Vendor"/>
    <tableColumn id="7" xr3:uid="{2E70CBBE-2A2F-4858-BD5D-41E44D69FE2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O23" totalsRowShown="0" headerRowDxfId="47">
  <autoFilter ref="A2:O23" xr:uid="{4CC865C4-70F4-4E79-B894-F6854082DA6C}"/>
  <tableColumns count="15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46" dataDxfId="45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44" dataCellStyle="Normal 2"/>
    <tableColumn id="2" xr3:uid="{6B59215C-904B-43A0-9B4A-AB0E67299905}" name="Manufacturer" dataDxfId="43" dataCellStyle="Normal 2"/>
    <tableColumn id="3" xr3:uid="{DD20B8A8-53CD-4A48-AEE1-70BA807C8EEA}" name="Digi-Key Part Number" dataDxfId="42" dataCellStyle="Normal 2"/>
    <tableColumn id="4" xr3:uid="{D6FF6B24-3A2F-4CC8-A2BF-EC9E5C63F221}" name="Customer Reference" dataDxfId="41" dataCellStyle="Normal 2"/>
    <tableColumn id="6" xr3:uid="{00154DED-35B4-4DC6-A5CA-366FDF6CF4A8}" name="Packaging" dataDxfId="40" dataCellStyle="Normal 2"/>
    <tableColumn id="7" xr3:uid="{7510C95A-484A-4DC4-9287-E7E4048CE55F}" name="Part Status" dataDxfId="39" dataCellStyle="Normal 2"/>
    <tableColumn id="8" xr3:uid="{86130162-85F0-4EF0-90A3-60A56AACDF7B}" name="Quantity" dataDxfId="38" dataCellStyle="Normal 2"/>
    <tableColumn id="9" xr3:uid="{A253EF67-AEDC-4815-89E7-BF69910B09B6}" name="Unit Price" dataDxfId="37" dataCellStyle="Normal 2"/>
    <tableColumn id="10" xr3:uid="{92B290F7-25C2-4F72-A522-FCE1AA821946}" name="Extended Price" dataDxfId="36" dataCellStyle="Currency"/>
    <tableColumn id="11" xr3:uid="{513AEB4C-DFAB-4E29-92B7-65C904FF7D01}" name="Quantity Available" dataDxfId="35" dataCellStyle="Normal 2"/>
    <tableColumn id="12" xr3:uid="{69413C94-7AF0-479A-AEDD-64F66D6F47DE}" name="Mfg Std Lead Time" dataDxfId="34" dataCellStyle="Normal 2"/>
    <tableColumn id="13" xr3:uid="{7240CA0E-359D-4DB8-8A48-E5A9E8C25292}" name="Description" dataDxfId="33" dataCellStyle="Normal 2"/>
    <tableColumn id="14" xr3:uid="{83DDBE5C-9AB8-432E-B6EC-0900714F0852}" name="RoHS Status" dataDxfId="32" dataCellStyle="Normal 2"/>
    <tableColumn id="15" xr3:uid="{E5A739E3-772E-4109-84A6-8264447B7682}" name="Lead Free Status" dataDxfId="31" dataCellStyle="Normal 2"/>
    <tableColumn id="16" xr3:uid="{4317AFA4-A1A2-480B-9930-78E13685E7A5}" name="REACH Status" dataDxfId="30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62" totalsRowShown="0" headerRowDxfId="29" dataDxfId="28" tableBorderDxfId="27" headerRowCellStyle="Normal 2">
  <autoFilter ref="A54:O62" xr:uid="{E5775DE7-B0D6-434B-9E81-8E797CB33C8F}"/>
  <tableColumns count="15">
    <tableColumn id="1" xr3:uid="{20A9B34A-0BDE-406C-9284-42396D12E1E8}" name="Manufacturer Part Number" dataDxfId="26"/>
    <tableColumn id="2" xr3:uid="{370D2A53-7D06-4073-A070-AAD23FF99906}" name="Manufacturer" dataDxfId="25"/>
    <tableColumn id="3" xr3:uid="{C2834F26-8D66-4C19-8B65-AAA5D1688301}" name="Digi-Key Part Number" dataDxfId="24"/>
    <tableColumn id="4" xr3:uid="{FB6416D0-BFFD-46A4-B485-8DCAF43A11AB}" name="Customer Reference" dataDxfId="23"/>
    <tableColumn id="5" xr3:uid="{56A695A0-C403-4B74-B146-F0D3B63EA053}" name="Packaging" dataDxfId="22"/>
    <tableColumn id="6" xr3:uid="{20E6FA99-F191-48F9-ACD1-BC6CF10711CE}" name="Part Status" dataDxfId="21"/>
    <tableColumn id="7" xr3:uid="{35B7773A-8FD8-428B-873D-343086AC7F9A}" name="Quantity" dataDxfId="20"/>
    <tableColumn id="8" xr3:uid="{7E0C5B7A-E6F5-442F-8138-B9CC70588614}" name="Unit Price" dataDxfId="19" dataCellStyle="Currency"/>
    <tableColumn id="9" xr3:uid="{AC6F2354-427F-4590-BBC4-C2CCD5E5D76F}" name="Extended Price" dataDxfId="18" dataCellStyle="Currency"/>
    <tableColumn id="10" xr3:uid="{9CB6BCD3-C29A-4EEB-8E62-7BD5605AC29E}" name="Quantity Available" dataDxfId="17"/>
    <tableColumn id="11" xr3:uid="{B7AA4FE9-D5A6-41AB-8B53-DEDADD7AB2C1}" name="Mfg Std Lead Time" dataDxfId="16"/>
    <tableColumn id="12" xr3:uid="{08002C5C-4042-403A-B796-9C757374529C}" name="Description" dataDxfId="15"/>
    <tableColumn id="13" xr3:uid="{C1F04F0D-0F9F-4D6E-B682-02A8FAA992EC}" name="RoHS Status" dataDxfId="14"/>
    <tableColumn id="14" xr3:uid="{DACC60B8-D45B-4197-BD16-E6A586A16303}" name="Lead Free Status" dataDxfId="13"/>
    <tableColumn id="15" xr3:uid="{068DA1C5-D89C-4B2F-A7BC-588FDBF44AE5}" name="REACH Status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19F858-3852-46DB-93B7-7E1A804E28EC}" name="RBA_4" displayName="RBA_4" ref="A2:K20" totalsRowShown="0" headerRowDxfId="11" tableBorderDxfId="10">
  <autoFilter ref="A2:K20" xr:uid="{AEB73607-C281-450A-B481-305282F70C69}"/>
  <tableColumns count="11">
    <tableColumn id="1" xr3:uid="{60D8FA4B-5C61-44F5-8793-485C259B3860}" name="Part Number - Assembly"/>
    <tableColumn id="2" xr3:uid="{ACA4F1D1-3066-4C2A-B28F-9D73A59A852E}" name="Thumbnail"/>
    <tableColumn id="3" xr3:uid="{FB294120-8954-40DE-B3D7-402EDE8696BA}" name="Quantity"/>
    <tableColumn id="4" xr3:uid="{2F1A9ADF-BB6D-4605-9097-C22418CFC41F}" name="Vendor"/>
    <tableColumn id="5" xr3:uid="{A2C86B3D-0C7B-4174-B246-491168F2E3D7}" name="Vendor Link">
      <calculatedColumnFormula>HYPERLINK("https://8020.net/20-2040.html", "20-2040")</calculatedColumnFormula>
    </tableColumn>
    <tableColumn id="8" xr3:uid="{8A5CE49B-3470-4288-955F-6AA8DA120538}" name="Unit Price" dataCellStyle="Currency"/>
    <tableColumn id="9" xr3:uid="{05A85597-76CE-48C4-A035-5737BA98A9BC}" name="Extended Price" dataCellStyle="Currency">
      <calculatedColumnFormula>RBA_4[[#This Row],[Unit Price]]*RBA_4[[#This Row],[Quantity]]</calculatedColumnFormula>
    </tableColumn>
    <tableColumn id="12" xr3:uid="{D1ADDF69-5172-4B86-BBC3-46581F264F14}" name="Description"/>
    <tableColumn id="16" xr3:uid="{9CE11377-0C03-47EF-AE46-CBF501AE5DF5}" name="Comments"/>
    <tableColumn id="6" xr3:uid="{B058A1FA-953A-4C8C-BC18-EC263A5EF5F9}" name="Alternative Vendor"/>
    <tableColumn id="7" xr3:uid="{9A16DA4B-6A53-4262-A37A-7C0B2154277A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C5DBC-959F-4256-BCFF-6680FDF34F8A}" name="RBA_47" displayName="RBA_47" ref="A2:L21" totalsRowShown="0" headerRowDxfId="9" tableBorderDxfId="8">
  <autoFilter ref="A2:L21" xr:uid="{AEB73607-C281-450A-B481-305282F70C69}"/>
  <tableColumns count="12">
    <tableColumn id="1" xr3:uid="{5BF06E3B-8E83-4B50-A29A-31F2D60EADCE}" name="Part Number - Assembly"/>
    <tableColumn id="2" xr3:uid="{A0969D2E-B463-4491-8022-CAEC2D00F3D2}" name="Thumbnail"/>
    <tableColumn id="3" xr3:uid="{DEDDED1A-8906-41A3-9C20-ACF657E44F4B}" name="Quantity"/>
    <tableColumn id="4" xr3:uid="{5F338E93-9752-46EA-8314-A6EAB4EB486B}" name="Vendor"/>
    <tableColumn id="5" xr3:uid="{4905D375-C1E7-4C15-ADEF-4CF4AF682B0D}" name="Vendor Link">
      <calculatedColumnFormula>HYPERLINK("https://8020.net/20-2040.html", "20-2040")</calculatedColumnFormula>
    </tableColumn>
    <tableColumn id="8" xr3:uid="{EC908E84-2504-4C43-8299-45EDFC0DE9F2}" name="Unit Price" dataCellStyle="Currency"/>
    <tableColumn id="9" xr3:uid="{71348B1C-533F-487E-9BD8-162FF2AB7EEE}" name="Extended Price" dataCellStyle="Currency">
      <calculatedColumnFormula>RBA_47[[#This Row],[Unit Price]]*RBA_47[[#This Row],[Quantity]]</calculatedColumnFormula>
    </tableColumn>
    <tableColumn id="12" xr3:uid="{15450995-C0EB-4F32-867F-43EA36A93CC4}" name="Description"/>
    <tableColumn id="16" xr3:uid="{57E7A1D0-71D8-4D94-9D24-E30B126EC1CB}" name="Comments"/>
    <tableColumn id="6" xr3:uid="{99348394-6BD5-4B36-AD48-E249DF0D4589}" name="Alternative Vendor"/>
    <tableColumn id="7" xr3:uid="{A2D3C8D3-146E-4634-8C8B-8F30A28B5FC7}" name="Alternative Vendor Link">
      <calculatedColumnFormula>HYPERLINK("", "Amazon")</calculatedColumnFormula>
    </tableColumn>
    <tableColumn id="10" xr3:uid="{85BA890F-F134-4789-A0B4-E50235ED9405}" name="SubTotal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7F918E-56F2-415D-815F-8578A43A006A}" name="RBA_478" displayName="RBA_478" ref="A2:K21" totalsRowShown="0" headerRowDxfId="5" tableBorderDxfId="4">
  <autoFilter ref="A2:K21" xr:uid="{AEB73607-C281-450A-B481-305282F70C69}"/>
  <tableColumns count="11">
    <tableColumn id="1" xr3:uid="{06216075-4489-44F7-BF72-3F973EC9AAD8}" name="Part Number - Assembly"/>
    <tableColumn id="2" xr3:uid="{E2266135-C3C9-4BCF-AE74-9E61F5533A9F}" name="Thumbnail"/>
    <tableColumn id="3" xr3:uid="{9562A462-559D-4CD7-A931-8A83541C107F}" name="Quantity"/>
    <tableColumn id="4" xr3:uid="{8A20C630-1F3D-4A17-AA75-C79AF3EE1043}" name="Vendor"/>
    <tableColumn id="5" xr3:uid="{6BDD1213-9279-4D31-B60D-028DB24F802F}" name="Vendor Link">
      <calculatedColumnFormula>HYPERLINK("https://8020.net/20-2040.html", "20-2040")</calculatedColumnFormula>
    </tableColumn>
    <tableColumn id="8" xr3:uid="{57780C95-473B-477E-81DE-5CE5CEA45EEB}" name="Unit Price" dataCellStyle="Currency"/>
    <tableColumn id="9" xr3:uid="{E015C134-EF08-4DF9-B30D-4E561489B84A}" name="Extended Price" dataCellStyle="Currency">
      <calculatedColumnFormula>RBA_478[[#This Row],[Unit Price]]*RBA_478[[#This Row],[Quantity]]</calculatedColumnFormula>
    </tableColumn>
    <tableColumn id="12" xr3:uid="{E0F78D55-8639-4565-8570-53C2BF69008C}" name="Description"/>
    <tableColumn id="16" xr3:uid="{434FD4FE-3DA4-4725-8BAB-D967DA4658F1}" name="Comments"/>
    <tableColumn id="6" xr3:uid="{7AC8A47A-040C-4457-A48B-B3D28E33F8F6}" name="Alternative Vendor"/>
    <tableColumn id="7" xr3:uid="{0BEF4149-61D8-4CF2-9499-86FEE58308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00DD8-7230-4F18-8143-A0987C5D0CBD}" name="RBA_4789" displayName="RBA_4789" ref="A2:K21" totalsRowShown="0" headerRowDxfId="7" tableBorderDxfId="6">
  <autoFilter ref="A2:K21" xr:uid="{AEB73607-C281-450A-B481-305282F70C69}"/>
  <tableColumns count="11">
    <tableColumn id="1" xr3:uid="{5561EB81-DB1F-4FD1-B823-5AEA29E3528C}" name="Part Number - Assembly"/>
    <tableColumn id="2" xr3:uid="{385C3937-9989-4056-936D-2F9E53C09898}" name="Thumbnail"/>
    <tableColumn id="3" xr3:uid="{74C43C11-9B0C-4AF7-9B68-63E1F410B37A}" name="Quantity"/>
    <tableColumn id="4" xr3:uid="{20D46D9E-3D70-41D6-9D52-25D50357AE68}" name="Vendor"/>
    <tableColumn id="5" xr3:uid="{E69866C8-04A0-40F2-ACAD-C67B76C31670}" name="Vendor Link">
      <calculatedColumnFormula>HYPERLINK("https://8020.net/20-2040.html", "20-2040")</calculatedColumnFormula>
    </tableColumn>
    <tableColumn id="8" xr3:uid="{FD5808B4-A162-4FFE-A6F9-69182D25F52A}" name="Unit Price" dataCellStyle="Currency"/>
    <tableColumn id="9" xr3:uid="{7DB2F7BB-9474-4567-9742-3B7BEA7434DE}" name="Extended Price" dataCellStyle="Currency">
      <calculatedColumnFormula>RBA_4789[[#This Row],[Unit Price]]*RBA_4789[[#This Row],[Quantity]]</calculatedColumnFormula>
    </tableColumn>
    <tableColumn id="12" xr3:uid="{2E670B7F-BD45-4796-A490-C5EA27375399}" name="Description"/>
    <tableColumn id="16" xr3:uid="{9A93AE37-A671-41EC-99AB-A885BB4AAB29}" name="Comments"/>
    <tableColumn id="6" xr3:uid="{94F95D56-653C-4B05-B973-5A197FA06A08}" name="Alternative Vendor"/>
    <tableColumn id="7" xr3:uid="{79075DD9-C80A-438A-A5B3-6AC5ADB11A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B03A55-5760-438D-B7E3-27AE5EDA14E2}" name="RBA_478910" displayName="RBA_478910" ref="A2:K21" totalsRowShown="0" headerRowDxfId="3" tableBorderDxfId="2">
  <autoFilter ref="A2:K21" xr:uid="{AEB73607-C281-450A-B481-305282F70C69}"/>
  <tableColumns count="11">
    <tableColumn id="1" xr3:uid="{28EB3F0E-7C21-4114-A71E-1D2D6860B112}" name="Part Number - Assembly"/>
    <tableColumn id="2" xr3:uid="{55A5F4BD-683F-4097-971E-06476011487D}" name="Thumbnail"/>
    <tableColumn id="3" xr3:uid="{00300065-5D95-498C-8FB3-66C8B1A9124A}" name="Quantity"/>
    <tableColumn id="4" xr3:uid="{D8E9C82C-F228-49D4-868E-756B2F14946E}" name="Vendor"/>
    <tableColumn id="5" xr3:uid="{3A98FD2C-8C2D-4161-BC11-437EDDB81EB1}" name="Vendor Link">
      <calculatedColumnFormula>HYPERLINK("https://8020.net/20-2040.html", "20-2040")</calculatedColumnFormula>
    </tableColumn>
    <tableColumn id="8" xr3:uid="{B607441F-7D23-4F98-B9F7-0323B3C27A2E}" name="Unit Price" dataCellStyle="Currency"/>
    <tableColumn id="9" xr3:uid="{2EB315DE-63C5-458F-8481-65285B9EFE50}" name="Extended Price" dataCellStyle="Currency">
      <calculatedColumnFormula>RBA_478910[[#This Row],[Unit Price]]*RBA_478910[[#This Row],[Quantity]]</calculatedColumnFormula>
    </tableColumn>
    <tableColumn id="12" xr3:uid="{9ECD37D1-5BEE-4A6B-810B-7F5FD252AE5A}" name="Description"/>
    <tableColumn id="16" xr3:uid="{ADD9F502-47DB-4941-BEBB-6F9283432567}" name="Comments"/>
    <tableColumn id="6" xr3:uid="{D26F9D9B-D900-4E72-8ADC-065CCE24A7F5}" name="Alternative Vendor"/>
    <tableColumn id="7" xr3:uid="{E5DB983E-1D15-4DAB-A9C5-023F63E1520C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workbookViewId="0">
      <selection activeCell="E10" sqref="E10"/>
    </sheetView>
  </sheetViews>
  <sheetFormatPr defaultRowHeight="1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>
      <c r="A1" s="31" t="s">
        <v>239</v>
      </c>
      <c r="B1" s="31"/>
      <c r="C1" s="31"/>
      <c r="D1" s="31"/>
      <c r="E1" s="31"/>
      <c r="F1" s="31"/>
      <c r="G1" s="31"/>
      <c r="H1" s="31"/>
    </row>
    <row r="2" spans="1:18" ht="23.25">
      <c r="A2" s="18" t="s">
        <v>0</v>
      </c>
      <c r="B2" s="19" t="s">
        <v>235</v>
      </c>
      <c r="C2" s="19" t="s">
        <v>3</v>
      </c>
      <c r="D2" s="19" t="s">
        <v>6</v>
      </c>
      <c r="E2" s="19" t="s">
        <v>7</v>
      </c>
      <c r="F2" s="20" t="s">
        <v>8</v>
      </c>
      <c r="G2" s="19" t="s">
        <v>9</v>
      </c>
      <c r="H2" s="19" t="s">
        <v>11</v>
      </c>
      <c r="I2" s="22" t="s">
        <v>240</v>
      </c>
      <c r="K2" s="27" t="s">
        <v>205</v>
      </c>
      <c r="L2" s="28" t="e">
        <f>SUM(Table13[Extended Price])</f>
        <v>#REF!</v>
      </c>
    </row>
    <row r="3" spans="1:18">
      <c r="C3" t="s">
        <v>231</v>
      </c>
      <c r="D3">
        <v>2</v>
      </c>
      <c r="E3" s="7" t="e">
        <f>#REF!</f>
        <v>#REF!</v>
      </c>
      <c r="F3" s="7" t="e">
        <f>Table13[[#This Row],[Unit Price]]*Table13[[#This Row],[Quantity]]</f>
        <v>#REF!</v>
      </c>
      <c r="I3" t="s">
        <v>242</v>
      </c>
    </row>
    <row r="4" spans="1:18" ht="18" thickBot="1">
      <c r="C4" t="s">
        <v>238</v>
      </c>
      <c r="D4">
        <v>1</v>
      </c>
      <c r="E4" s="7" t="e">
        <f>#REF!</f>
        <v>#REF!</v>
      </c>
      <c r="F4" s="7" t="e">
        <f>Table13[[#This Row],[Unit Price]]*Table13[[#This Row],[Quantity]]</f>
        <v>#REF!</v>
      </c>
      <c r="I4" t="s">
        <v>242</v>
      </c>
      <c r="K4" s="30" t="s">
        <v>254</v>
      </c>
      <c r="L4" s="30"/>
    </row>
    <row r="5" spans="1:18" ht="27" thickTop="1">
      <c r="C5" t="s">
        <v>241</v>
      </c>
      <c r="D5">
        <v>1</v>
      </c>
      <c r="E5" s="7">
        <f>'Electrical '!I63</f>
        <v>163.85000000000002</v>
      </c>
      <c r="F5" s="7">
        <f>Table13[[#This Row],[Unit Price]]*Table13[[#This Row],[Quantity]]</f>
        <v>163.85000000000002</v>
      </c>
      <c r="I5" t="s">
        <v>243</v>
      </c>
      <c r="K5" s="32" t="s">
        <v>248</v>
      </c>
      <c r="L5" s="32"/>
      <c r="M5" s="32" t="s">
        <v>249</v>
      </c>
      <c r="N5" s="32"/>
      <c r="P5" s="29" t="s">
        <v>252</v>
      </c>
      <c r="R5" t="s">
        <v>253</v>
      </c>
    </row>
    <row r="6" spans="1:18">
      <c r="C6" t="s">
        <v>122</v>
      </c>
      <c r="D6">
        <v>4</v>
      </c>
      <c r="E6" s="7">
        <f>'Electrical '!I24</f>
        <v>27.140000000000004</v>
      </c>
      <c r="F6" s="7">
        <f>Table13[[#This Row],[Unit Price]]*Table13[[#This Row],[Quantity]]</f>
        <v>108.56000000000002</v>
      </c>
      <c r="I6" t="s">
        <v>243</v>
      </c>
      <c r="K6" s="24" t="s">
        <v>245</v>
      </c>
      <c r="L6" s="25">
        <v>1.5</v>
      </c>
      <c r="M6" s="24" t="s">
        <v>245</v>
      </c>
      <c r="N6" s="25">
        <f>L6</f>
        <v>1.5</v>
      </c>
      <c r="P6" s="24" t="s">
        <v>245</v>
      </c>
      <c r="Q6">
        <f>N6*(N9+1)</f>
        <v>1.5</v>
      </c>
      <c r="R6">
        <f>Q6*3.28084</f>
        <v>4.9212600000000002</v>
      </c>
    </row>
    <row r="7" spans="1:18">
      <c r="C7" t="s">
        <v>201</v>
      </c>
      <c r="D7">
        <v>1</v>
      </c>
      <c r="E7" s="23">
        <f>'Electrical '!I52</f>
        <v>34.43</v>
      </c>
      <c r="F7" s="7">
        <f>Table13[[#This Row],[Unit Price]]*Table13[[#This Row],[Quantity]]</f>
        <v>34.43</v>
      </c>
      <c r="I7" t="s">
        <v>243</v>
      </c>
      <c r="K7" s="24" t="s">
        <v>246</v>
      </c>
      <c r="L7" s="25">
        <v>2</v>
      </c>
      <c r="M7" s="24" t="s">
        <v>246</v>
      </c>
      <c r="N7" s="25">
        <f t="shared" ref="N7:N8" si="0">L7</f>
        <v>2</v>
      </c>
      <c r="P7" s="24" t="s">
        <v>246</v>
      </c>
      <c r="Q7">
        <f>N7*(N9+1)</f>
        <v>2</v>
      </c>
      <c r="R7">
        <f>Q7*3.28084</f>
        <v>6.56168</v>
      </c>
    </row>
    <row r="8" spans="1:18">
      <c r="C8" t="s">
        <v>244</v>
      </c>
      <c r="D8">
        <v>1</v>
      </c>
      <c r="E8" s="7" t="e">
        <f>#REF!</f>
        <v>#REF!</v>
      </c>
      <c r="F8" s="7" t="e">
        <f>Table13[[#This Row],[Unit Price]]*Table13[[#This Row],[Quantity]]</f>
        <v>#REF!</v>
      </c>
      <c r="I8" t="s">
        <v>242</v>
      </c>
      <c r="K8" s="24" t="s">
        <v>247</v>
      </c>
      <c r="L8" s="25">
        <v>2</v>
      </c>
      <c r="M8" s="24" t="s">
        <v>247</v>
      </c>
      <c r="N8" s="25">
        <f t="shared" si="0"/>
        <v>2</v>
      </c>
      <c r="P8" s="24" t="s">
        <v>247</v>
      </c>
      <c r="Q8">
        <f>N8*(N9+1)</f>
        <v>2</v>
      </c>
      <c r="R8">
        <f>Q8*3.28084</f>
        <v>6.56168</v>
      </c>
    </row>
    <row r="9" spans="1:18">
      <c r="C9" t="s">
        <v>251</v>
      </c>
      <c r="D9">
        <f>N9</f>
        <v>0</v>
      </c>
      <c r="E9" s="7" t="e">
        <f>#REF!</f>
        <v>#REF!</v>
      </c>
      <c r="F9" s="7" t="e">
        <f>Table13[[#This Row],[Unit Price]]*Table13[[#This Row],[Quantity]]</f>
        <v>#REF!</v>
      </c>
      <c r="I9" t="s">
        <v>242</v>
      </c>
      <c r="M9" s="26" t="s">
        <v>250</v>
      </c>
      <c r="N9">
        <v>0</v>
      </c>
    </row>
  </sheetData>
  <mergeCells count="3">
    <mergeCell ref="A1:H1"/>
    <mergeCell ref="K5:L5"/>
    <mergeCell ref="M5:N5"/>
  </mergeCells>
  <conditionalFormatting sqref="F3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O67"/>
  <sheetViews>
    <sheetView workbookViewId="0">
      <selection activeCell="D74" sqref="D74"/>
    </sheetView>
  </sheetViews>
  <sheetFormatPr defaultRowHeight="1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5" ht="58.5" customHeight="1">
      <c r="A1" s="34" t="s">
        <v>202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5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5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5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5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5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5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5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5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5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5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5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5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5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5">
      <c r="A17" t="s">
        <v>99</v>
      </c>
      <c r="B17" t="s">
        <v>100</v>
      </c>
      <c r="C17" t="s">
        <v>101</v>
      </c>
      <c r="D17" t="s">
        <v>102</v>
      </c>
      <c r="E17" t="s">
        <v>19</v>
      </c>
      <c r="F17" t="s">
        <v>20</v>
      </c>
      <c r="G17">
        <v>1</v>
      </c>
      <c r="H17" s="5">
        <v>9.66</v>
      </c>
      <c r="I17" s="5">
        <v>9.66</v>
      </c>
      <c r="J17">
        <v>1001</v>
      </c>
      <c r="K17" t="s">
        <v>103</v>
      </c>
      <c r="L17" t="s">
        <v>104</v>
      </c>
      <c r="M17" t="s">
        <v>54</v>
      </c>
      <c r="N17" t="s">
        <v>24</v>
      </c>
      <c r="O17" t="s">
        <v>32</v>
      </c>
    </row>
    <row r="18" spans="1:15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5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5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5">
      <c r="I21" s="5"/>
    </row>
    <row r="22" spans="1:15">
      <c r="I22" s="5"/>
    </row>
    <row r="23" spans="1:15">
      <c r="I23" s="5"/>
    </row>
    <row r="24" spans="1:15" ht="27.75" customHeight="1">
      <c r="A24" s="33" t="s">
        <v>205</v>
      </c>
      <c r="B24" s="33"/>
      <c r="C24" s="33"/>
      <c r="D24" s="33"/>
      <c r="E24" s="33"/>
      <c r="F24" s="33"/>
      <c r="G24" s="33"/>
      <c r="H24" s="33"/>
      <c r="I24" s="5">
        <f>SUM(Table1[Extended Price])</f>
        <v>27.140000000000004</v>
      </c>
    </row>
    <row r="25" spans="1:15" ht="47.25" customHeight="1">
      <c r="A25" s="35" t="s">
        <v>203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5">
      <c r="A27" s="2" t="s">
        <v>15</v>
      </c>
      <c r="B27" s="2" t="s">
        <v>16</v>
      </c>
      <c r="C27" s="2" t="s">
        <v>17</v>
      </c>
      <c r="D27" s="2" t="s">
        <v>123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5">
      <c r="A28" s="2" t="s">
        <v>124</v>
      </c>
      <c r="B28" s="2" t="s">
        <v>125</v>
      </c>
      <c r="C28" s="2" t="s">
        <v>126</v>
      </c>
      <c r="D28" s="2" t="s">
        <v>127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128</v>
      </c>
      <c r="M28" s="2" t="s">
        <v>23</v>
      </c>
      <c r="N28" s="2" t="s">
        <v>24</v>
      </c>
      <c r="O28" s="2" t="s">
        <v>32</v>
      </c>
    </row>
    <row r="29" spans="1:15">
      <c r="A29" s="2" t="s">
        <v>129</v>
      </c>
      <c r="B29" s="2" t="s">
        <v>130</v>
      </c>
      <c r="C29" s="2" t="s">
        <v>131</v>
      </c>
      <c r="D29" s="2" t="s">
        <v>132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133</v>
      </c>
      <c r="L29" s="2" t="s">
        <v>134</v>
      </c>
      <c r="M29" s="2" t="s">
        <v>23</v>
      </c>
      <c r="N29" s="2" t="s">
        <v>24</v>
      </c>
      <c r="O29" s="2" t="s">
        <v>32</v>
      </c>
    </row>
    <row r="30" spans="1:15">
      <c r="A30" s="2" t="s">
        <v>135</v>
      </c>
      <c r="B30" s="2" t="s">
        <v>27</v>
      </c>
      <c r="C30" s="2" t="s">
        <v>136</v>
      </c>
      <c r="D30" s="2" t="s">
        <v>137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138</v>
      </c>
      <c r="M30" s="2" t="s">
        <v>23</v>
      </c>
      <c r="N30" s="2" t="s">
        <v>24</v>
      </c>
      <c r="O30" s="2" t="s">
        <v>32</v>
      </c>
    </row>
    <row r="31" spans="1:15">
      <c r="A31" s="2" t="s">
        <v>26</v>
      </c>
      <c r="B31" s="2" t="s">
        <v>27</v>
      </c>
      <c r="C31" s="2" t="s">
        <v>28</v>
      </c>
      <c r="D31" s="2" t="s">
        <v>139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5">
      <c r="A32" s="2" t="s">
        <v>140</v>
      </c>
      <c r="B32" s="2" t="s">
        <v>141</v>
      </c>
      <c r="C32" s="2" t="s">
        <v>142</v>
      </c>
      <c r="D32" s="2" t="s">
        <v>143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144</v>
      </c>
      <c r="L32" s="2" t="s">
        <v>145</v>
      </c>
      <c r="M32" s="2" t="s">
        <v>23</v>
      </c>
      <c r="N32" s="2" t="s">
        <v>24</v>
      </c>
      <c r="O32" s="2" t="s">
        <v>32</v>
      </c>
    </row>
    <row r="33" spans="1:15">
      <c r="A33" s="2" t="s">
        <v>47</v>
      </c>
      <c r="B33" s="2" t="s">
        <v>48</v>
      </c>
      <c r="C33" s="2" t="s">
        <v>49</v>
      </c>
      <c r="D33" s="2" t="s">
        <v>146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>
      <c r="A34" s="2" t="s">
        <v>147</v>
      </c>
      <c r="B34" s="2" t="s">
        <v>61</v>
      </c>
      <c r="C34" s="2" t="s">
        <v>148</v>
      </c>
      <c r="D34" s="2" t="s">
        <v>149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150</v>
      </c>
      <c r="M34" s="2" t="s">
        <v>23</v>
      </c>
      <c r="N34" s="2" t="s">
        <v>24</v>
      </c>
      <c r="O34" s="2" t="s">
        <v>32</v>
      </c>
    </row>
    <row r="35" spans="1:15">
      <c r="A35" s="2">
        <v>5040771891</v>
      </c>
      <c r="B35" s="2" t="s">
        <v>151</v>
      </c>
      <c r="C35" s="2" t="s">
        <v>152</v>
      </c>
      <c r="D35" s="2" t="s">
        <v>153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144</v>
      </c>
      <c r="L35" s="2" t="s">
        <v>154</v>
      </c>
      <c r="M35" s="2" t="s">
        <v>23</v>
      </c>
      <c r="N35" s="2" t="s">
        <v>24</v>
      </c>
      <c r="O35" s="2" t="s">
        <v>32</v>
      </c>
    </row>
    <row r="36" spans="1:15">
      <c r="A36" s="2" t="s">
        <v>155</v>
      </c>
      <c r="B36" s="2" t="s">
        <v>156</v>
      </c>
      <c r="C36" s="2" t="s">
        <v>157</v>
      </c>
      <c r="D36" s="2" t="s">
        <v>158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159</v>
      </c>
      <c r="M36" s="2" t="s">
        <v>25</v>
      </c>
      <c r="N36" s="2" t="s">
        <v>25</v>
      </c>
      <c r="O36" s="2" t="s">
        <v>25</v>
      </c>
    </row>
    <row r="37" spans="1:15">
      <c r="A37" s="2" t="s">
        <v>160</v>
      </c>
      <c r="B37" s="2" t="s">
        <v>118</v>
      </c>
      <c r="C37" s="2" t="s">
        <v>161</v>
      </c>
      <c r="D37" s="2" t="s">
        <v>162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163</v>
      </c>
      <c r="L37" s="2" t="s">
        <v>164</v>
      </c>
      <c r="M37" s="2" t="s">
        <v>23</v>
      </c>
      <c r="N37" s="2" t="s">
        <v>24</v>
      </c>
      <c r="O37" s="2" t="s">
        <v>32</v>
      </c>
    </row>
    <row r="38" spans="1:15">
      <c r="A38" s="2" t="s">
        <v>165</v>
      </c>
      <c r="B38" s="2" t="s">
        <v>67</v>
      </c>
      <c r="C38" s="2" t="s">
        <v>166</v>
      </c>
      <c r="D38" s="2" t="s">
        <v>167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168</v>
      </c>
      <c r="L38" s="2" t="s">
        <v>169</v>
      </c>
      <c r="M38" s="2" t="s">
        <v>23</v>
      </c>
      <c r="N38" s="2" t="s">
        <v>24</v>
      </c>
      <c r="O38" s="2" t="s">
        <v>32</v>
      </c>
    </row>
    <row r="39" spans="1:15">
      <c r="A39" s="2" t="s">
        <v>81</v>
      </c>
      <c r="B39" s="2" t="s">
        <v>82</v>
      </c>
      <c r="C39" s="2" t="s">
        <v>83</v>
      </c>
      <c r="D39" s="2" t="s">
        <v>170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>
      <c r="A40" s="2" t="s">
        <v>86</v>
      </c>
      <c r="B40" s="2" t="s">
        <v>87</v>
      </c>
      <c r="C40" s="2" t="s">
        <v>88</v>
      </c>
      <c r="D40" s="2" t="s">
        <v>171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>
      <c r="A41" s="2" t="s">
        <v>172</v>
      </c>
      <c r="B41" s="2" t="s">
        <v>72</v>
      </c>
      <c r="C41" s="2" t="s">
        <v>173</v>
      </c>
      <c r="D41" s="2" t="s">
        <v>174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175</v>
      </c>
      <c r="M41" s="2" t="s">
        <v>23</v>
      </c>
      <c r="N41" s="2" t="s">
        <v>24</v>
      </c>
      <c r="O41" s="2" t="s">
        <v>32</v>
      </c>
    </row>
    <row r="42" spans="1:15">
      <c r="A42" s="2" t="s">
        <v>176</v>
      </c>
      <c r="B42" s="2" t="s">
        <v>93</v>
      </c>
      <c r="C42" s="2" t="s">
        <v>177</v>
      </c>
      <c r="D42" s="2" t="s">
        <v>178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144</v>
      </c>
      <c r="L42" s="2" t="s">
        <v>179</v>
      </c>
      <c r="M42" s="2" t="s">
        <v>54</v>
      </c>
      <c r="N42" s="2" t="s">
        <v>24</v>
      </c>
      <c r="O42" s="2" t="s">
        <v>25</v>
      </c>
    </row>
    <row r="43" spans="1:15">
      <c r="A43" s="2" t="s">
        <v>180</v>
      </c>
      <c r="B43" s="2" t="s">
        <v>112</v>
      </c>
      <c r="C43" s="2" t="s">
        <v>181</v>
      </c>
      <c r="D43" s="2" t="s">
        <v>182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183</v>
      </c>
      <c r="L43" s="2" t="s">
        <v>184</v>
      </c>
      <c r="M43" s="2" t="s">
        <v>23</v>
      </c>
      <c r="N43" s="2" t="s">
        <v>24</v>
      </c>
      <c r="O43" s="2" t="s">
        <v>32</v>
      </c>
    </row>
    <row r="44" spans="1:15">
      <c r="A44" s="2" t="s">
        <v>111</v>
      </c>
      <c r="B44" s="2" t="s">
        <v>112</v>
      </c>
      <c r="C44" s="2" t="s">
        <v>113</v>
      </c>
      <c r="D44" s="2" t="s">
        <v>185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>
      <c r="A45" s="2" t="s">
        <v>186</v>
      </c>
      <c r="B45" s="2" t="s">
        <v>112</v>
      </c>
      <c r="C45" s="2" t="s">
        <v>187</v>
      </c>
      <c r="D45" s="2" t="s">
        <v>188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189</v>
      </c>
      <c r="M45" s="2" t="s">
        <v>23</v>
      </c>
      <c r="N45" s="2" t="s">
        <v>24</v>
      </c>
      <c r="O45" s="2" t="s">
        <v>32</v>
      </c>
    </row>
    <row r="46" spans="1:15">
      <c r="A46" s="2" t="s">
        <v>190</v>
      </c>
      <c r="B46" s="2" t="s">
        <v>112</v>
      </c>
      <c r="C46" s="2" t="s">
        <v>191</v>
      </c>
      <c r="D46" s="2" t="s">
        <v>192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193</v>
      </c>
      <c r="M46" s="2" t="s">
        <v>23</v>
      </c>
      <c r="N46" s="2" t="s">
        <v>24</v>
      </c>
      <c r="O46" s="2" t="s">
        <v>32</v>
      </c>
    </row>
    <row r="47" spans="1:15">
      <c r="A47" s="2" t="s">
        <v>117</v>
      </c>
      <c r="B47" s="2" t="s">
        <v>118</v>
      </c>
      <c r="C47" s="2" t="s">
        <v>119</v>
      </c>
      <c r="D47" s="2" t="s">
        <v>194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>
      <c r="A48" s="2" t="s">
        <v>195</v>
      </c>
      <c r="B48" s="2" t="s">
        <v>196</v>
      </c>
      <c r="C48" s="2" t="s">
        <v>197</v>
      </c>
      <c r="D48" s="2" t="s">
        <v>198</v>
      </c>
      <c r="E48" s="2" t="s">
        <v>19</v>
      </c>
      <c r="F48" s="2" t="s">
        <v>199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200</v>
      </c>
      <c r="M48" s="2" t="s">
        <v>23</v>
      </c>
      <c r="N48" s="2" t="s">
        <v>24</v>
      </c>
      <c r="O48" s="2" t="s">
        <v>25</v>
      </c>
    </row>
    <row r="49" spans="1:15" ht="16.5" customHeight="1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>
      <c r="A52" s="33" t="s">
        <v>205</v>
      </c>
      <c r="B52" s="33"/>
      <c r="C52" s="33"/>
      <c r="D52" s="33"/>
      <c r="E52" s="33"/>
      <c r="F52" s="33"/>
      <c r="G52" s="33"/>
      <c r="H52" s="33"/>
      <c r="I52" s="7">
        <f>SUM(Table2[Extended Price])</f>
        <v>34.43</v>
      </c>
    </row>
    <row r="53" spans="1:15" ht="41.25" customHeight="1">
      <c r="A53" s="36" t="s">
        <v>204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>
      <c r="A55" s="8" t="s">
        <v>206</v>
      </c>
      <c r="B55" s="8" t="s">
        <v>207</v>
      </c>
      <c r="C55" s="8" t="s">
        <v>208</v>
      </c>
      <c r="D55" s="8" t="s">
        <v>209</v>
      </c>
      <c r="E55" s="8" t="s">
        <v>210</v>
      </c>
      <c r="F55" s="8" t="s">
        <v>20</v>
      </c>
      <c r="G55" s="8">
        <v>3</v>
      </c>
      <c r="H55" s="10">
        <v>4.5</v>
      </c>
      <c r="I55" s="10">
        <v>13.5</v>
      </c>
      <c r="J55" s="8">
        <v>1125</v>
      </c>
      <c r="K55" s="8" t="s">
        <v>133</v>
      </c>
      <c r="L55" s="8" t="s">
        <v>211</v>
      </c>
      <c r="M55" s="8" t="s">
        <v>23</v>
      </c>
      <c r="N55" s="8" t="s">
        <v>24</v>
      </c>
      <c r="O55" s="8" t="s">
        <v>25</v>
      </c>
    </row>
    <row r="56" spans="1:15">
      <c r="A56" s="8" t="s">
        <v>212</v>
      </c>
      <c r="B56" s="8" t="s">
        <v>207</v>
      </c>
      <c r="C56" s="8" t="s">
        <v>213</v>
      </c>
      <c r="D56" s="8" t="s">
        <v>214</v>
      </c>
      <c r="E56" s="8" t="s">
        <v>51</v>
      </c>
      <c r="F56" s="8" t="s">
        <v>20</v>
      </c>
      <c r="G56" s="8">
        <v>3</v>
      </c>
      <c r="H56" s="10">
        <v>2.75</v>
      </c>
      <c r="I56" s="10">
        <v>8.25</v>
      </c>
      <c r="J56" s="8">
        <v>8439</v>
      </c>
      <c r="K56" s="8" t="s">
        <v>215</v>
      </c>
      <c r="L56" s="8" t="s">
        <v>216</v>
      </c>
      <c r="M56" s="8" t="s">
        <v>23</v>
      </c>
      <c r="N56" s="8" t="s">
        <v>24</v>
      </c>
      <c r="O56" s="8" t="s">
        <v>25</v>
      </c>
    </row>
    <row r="57" spans="1:15">
      <c r="A57" s="8" t="s">
        <v>217</v>
      </c>
      <c r="B57" s="8" t="s">
        <v>218</v>
      </c>
      <c r="C57" s="8" t="s">
        <v>219</v>
      </c>
      <c r="D57" s="8" t="s">
        <v>230</v>
      </c>
      <c r="E57" s="8" t="s">
        <v>51</v>
      </c>
      <c r="F57" s="8" t="s">
        <v>20</v>
      </c>
      <c r="G57" s="8">
        <v>4</v>
      </c>
      <c r="H57" s="10">
        <v>11.63</v>
      </c>
      <c r="I57" s="10">
        <v>46.52</v>
      </c>
      <c r="J57" s="8">
        <v>40</v>
      </c>
      <c r="K57" s="8" t="s">
        <v>58</v>
      </c>
      <c r="L57" s="8" t="s">
        <v>220</v>
      </c>
      <c r="M57" s="8" t="s">
        <v>54</v>
      </c>
      <c r="N57" s="8" t="s">
        <v>24</v>
      </c>
      <c r="O57" s="8" t="s">
        <v>25</v>
      </c>
    </row>
    <row r="58" spans="1:15">
      <c r="A58" s="8" t="s">
        <v>221</v>
      </c>
      <c r="B58" s="8" t="s">
        <v>222</v>
      </c>
      <c r="C58" s="8" t="s">
        <v>223</v>
      </c>
      <c r="D58" s="8" t="s">
        <v>224</v>
      </c>
      <c r="E58" s="8" t="s">
        <v>210</v>
      </c>
      <c r="F58" s="8" t="s">
        <v>20</v>
      </c>
      <c r="G58" s="8">
        <v>1</v>
      </c>
      <c r="H58" s="10">
        <v>36.58</v>
      </c>
      <c r="I58" s="10">
        <v>36.58</v>
      </c>
      <c r="J58" s="8">
        <v>325</v>
      </c>
      <c r="K58" s="8" t="s">
        <v>133</v>
      </c>
      <c r="L58" s="8" t="s">
        <v>225</v>
      </c>
      <c r="M58" s="8" t="s">
        <v>23</v>
      </c>
      <c r="N58" s="8" t="s">
        <v>24</v>
      </c>
      <c r="O58" s="8" t="s">
        <v>25</v>
      </c>
    </row>
    <row r="59" spans="1:15">
      <c r="A59" s="8" t="s">
        <v>226</v>
      </c>
      <c r="B59" s="8" t="s">
        <v>227</v>
      </c>
      <c r="C59" s="8"/>
      <c r="D59" s="8" t="s">
        <v>228</v>
      </c>
      <c r="E59" s="8" t="s">
        <v>210</v>
      </c>
      <c r="F59" s="8" t="s">
        <v>20</v>
      </c>
      <c r="G59" s="8">
        <v>1</v>
      </c>
      <c r="H59" s="10">
        <v>59</v>
      </c>
      <c r="I59" s="10">
        <f>Table5[[#This Row],[Unit Price]]*Table5[[#This Row],[Quantity]]</f>
        <v>59</v>
      </c>
      <c r="J59" s="8">
        <v>2</v>
      </c>
      <c r="K59" s="8"/>
      <c r="L59" s="8" t="s">
        <v>229</v>
      </c>
      <c r="M59" s="8" t="s">
        <v>23</v>
      </c>
      <c r="N59" s="8" t="s">
        <v>24</v>
      </c>
      <c r="O59" s="8" t="s">
        <v>25</v>
      </c>
    </row>
    <row r="60" spans="1:15">
      <c r="A60" s="8"/>
      <c r="B60" s="8"/>
      <c r="C60" s="8"/>
      <c r="D60" s="8"/>
      <c r="E60" s="8"/>
      <c r="F60" s="8"/>
      <c r="G60" s="8"/>
      <c r="H60" s="10"/>
      <c r="I60" s="10"/>
      <c r="J60" s="8"/>
      <c r="K60" s="8"/>
      <c r="L60" s="8"/>
      <c r="M60" s="8"/>
      <c r="N60" s="8"/>
      <c r="O60" s="8"/>
    </row>
    <row r="61" spans="1:15">
      <c r="A61" s="12"/>
      <c r="B61" s="12"/>
      <c r="C61" s="12"/>
      <c r="D61" s="12"/>
      <c r="E61" s="12"/>
      <c r="F61" s="12"/>
      <c r="G61" s="12"/>
      <c r="H61" s="13"/>
      <c r="I61" s="13"/>
      <c r="J61" s="12"/>
      <c r="K61" s="12"/>
      <c r="L61" s="12"/>
      <c r="M61" s="12"/>
      <c r="N61" s="12"/>
      <c r="O61" s="12"/>
    </row>
    <row r="62" spans="1:15">
      <c r="A62" s="12"/>
      <c r="B62" s="12"/>
      <c r="C62" s="12"/>
      <c r="D62" s="12"/>
      <c r="E62" s="12"/>
      <c r="F62" s="12"/>
      <c r="G62" s="12"/>
      <c r="H62" s="13"/>
      <c r="I62" s="13"/>
      <c r="J62" s="12"/>
      <c r="K62" s="12"/>
      <c r="L62" s="12"/>
      <c r="M62" s="12"/>
      <c r="N62" s="12"/>
      <c r="O62" s="12"/>
    </row>
    <row r="63" spans="1:15" ht="27.75" customHeight="1">
      <c r="A63" s="33" t="s">
        <v>205</v>
      </c>
      <c r="B63" s="33"/>
      <c r="C63" s="33"/>
      <c r="D63" s="33"/>
      <c r="E63" s="33"/>
      <c r="F63" s="33"/>
      <c r="G63" s="33"/>
      <c r="H63" s="33"/>
      <c r="I63" s="7">
        <f>SUM(Table5[Extended Price])</f>
        <v>163.85000000000002</v>
      </c>
    </row>
    <row r="65" customFormat="1"/>
    <row r="66" customFormat="1"/>
    <row r="67" customFormat="1"/>
  </sheetData>
  <mergeCells count="6">
    <mergeCell ref="A63:H63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E806-9200-462B-9863-0A0AB9EEB52E}">
  <dimension ref="A1:AF21"/>
  <sheetViews>
    <sheetView workbookViewId="0">
      <selection activeCell="H5" sqref="H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37" t="s">
        <v>255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265</v>
      </c>
      <c r="B2" s="15" t="s">
        <v>267</v>
      </c>
      <c r="C2" s="15" t="s">
        <v>6</v>
      </c>
      <c r="D2" s="15" t="s">
        <v>235</v>
      </c>
      <c r="E2" s="15" t="s">
        <v>266</v>
      </c>
      <c r="F2" s="15" t="s">
        <v>7</v>
      </c>
      <c r="G2" s="16" t="s">
        <v>8</v>
      </c>
      <c r="H2" s="15" t="s">
        <v>11</v>
      </c>
      <c r="I2" s="17" t="s">
        <v>232</v>
      </c>
      <c r="J2" s="17" t="s">
        <v>283</v>
      </c>
      <c r="K2" s="17" t="s">
        <v>284</v>
      </c>
      <c r="L2" s="40" t="s">
        <v>301</v>
      </c>
    </row>
    <row r="3" spans="1:32" ht="50.1" customHeight="1">
      <c r="A3" s="38" t="s">
        <v>268</v>
      </c>
      <c r="C3" s="38">
        <v>1</v>
      </c>
      <c r="D3">
        <v>8020</v>
      </c>
      <c r="E3" s="39" t="str">
        <f>HYPERLINK("https://8020.net/20-2040.html", "20-2040")</f>
        <v>20-2040</v>
      </c>
      <c r="F3">
        <v>4.75</v>
      </c>
      <c r="G3" s="5">
        <f>RBA_4[[#This Row],[Unit Price]]*RBA_4[[#This Row],[Quantity]]</f>
        <v>4.75</v>
      </c>
      <c r="H3" t="s">
        <v>281</v>
      </c>
      <c r="I3" t="s">
        <v>282</v>
      </c>
      <c r="J3" t="s">
        <v>236</v>
      </c>
      <c r="K3" s="39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SUM(RBA_4[Extended Price])</f>
        <v>117.42068</v>
      </c>
    </row>
    <row r="4" spans="1:32" ht="50.1" customHeight="1">
      <c r="A4" s="38" t="s">
        <v>269</v>
      </c>
      <c r="C4" s="38">
        <v>4</v>
      </c>
      <c r="D4">
        <v>8020</v>
      </c>
      <c r="E4" s="39" t="str">
        <f>HYPERLINK("https://8020.net/20-2040.html", "14056")</f>
        <v>14056</v>
      </c>
      <c r="F4">
        <v>1.94</v>
      </c>
      <c r="G4" s="5">
        <f>RBA_4[[#This Row],[Unit Price]]*RBA_4[[#This Row],[Quantity]]</f>
        <v>7.76</v>
      </c>
      <c r="H4" t="s">
        <v>285</v>
      </c>
      <c r="I4" t="s">
        <v>286</v>
      </c>
      <c r="J4" t="s">
        <v>236</v>
      </c>
      <c r="K4" s="39" t="str">
        <f>HYPERLINK("https://www.amazon.com/Aluminum-Extrusion-Corner-Bracket-Profile/dp/B08N16BKQS/ref=sr_1_7?crid=2K2OD6C5WR7GM&amp;keywords=right+angle+8020&amp;qid=1645476638&amp;sprefix=right+angle+8020%2Caps%2C149&amp;sr=8-7", "Amazon")</f>
        <v>Amazon</v>
      </c>
    </row>
    <row r="5" spans="1:32" ht="50.1" customHeight="1">
      <c r="A5" s="38" t="s">
        <v>270</v>
      </c>
      <c r="C5" s="38">
        <v>2</v>
      </c>
      <c r="D5" t="s">
        <v>237</v>
      </c>
      <c r="E5" s="39"/>
      <c r="F5" s="5">
        <f>'Mechanical - Buffer'!L3</f>
        <v>3.1936900000000006</v>
      </c>
      <c r="G5" s="5">
        <f>RBA_4[[#This Row],[Unit Price]]*RBA_4[[#This Row],[Quantity]]</f>
        <v>6.3873800000000012</v>
      </c>
      <c r="H5" t="s">
        <v>302</v>
      </c>
      <c r="I5" t="s">
        <v>304</v>
      </c>
      <c r="K5" s="39"/>
    </row>
    <row r="6" spans="1:32" ht="50.1" customHeight="1">
      <c r="A6" s="38" t="s">
        <v>271</v>
      </c>
      <c r="C6" s="38">
        <v>2</v>
      </c>
      <c r="D6" t="s">
        <v>236</v>
      </c>
      <c r="E6" s="39" t="str">
        <f>HYPERLINK("https://amzn.to/3p4Z7Zp", "PETG")</f>
        <v>PETG</v>
      </c>
      <c r="F6">
        <f>12*0.02</f>
        <v>0.24</v>
      </c>
      <c r="G6" s="5">
        <f>RBA_4[[#This Row],[Unit Price]]*RBA_4[[#This Row],[Quantity]]</f>
        <v>0.48</v>
      </c>
      <c r="H6" t="s">
        <v>303</v>
      </c>
      <c r="I6" t="s">
        <v>234</v>
      </c>
      <c r="K6" s="39"/>
    </row>
    <row r="7" spans="1:32" ht="50.1" customHeight="1">
      <c r="A7" s="41" t="s">
        <v>276</v>
      </c>
      <c r="C7" s="38">
        <v>3</v>
      </c>
      <c r="D7">
        <v>8020</v>
      </c>
      <c r="E7" s="39" t="str">
        <f t="shared" ref="E7:E20" si="0">HYPERLINK("https://8020.net/20-2040.html", "20-2040")</f>
        <v>20-2040</v>
      </c>
      <c r="F7" s="5">
        <f>0.0149*300 + 2.51</f>
        <v>6.9799999999999995</v>
      </c>
      <c r="G7" s="5">
        <f>RBA_4[[#This Row],[Unit Price]]*RBA_4[[#This Row],[Quantity]]</f>
        <v>20.939999999999998</v>
      </c>
      <c r="H7" t="s">
        <v>281</v>
      </c>
      <c r="I7" t="s">
        <v>282</v>
      </c>
      <c r="K7" s="39" t="str">
        <f>HYPERLINK("https://www.amazon.com/European-Standard-Anodized-Aluminum-Extrusion/dp/B099N9QCTJ/ref=sr_1_4?crid=WNRTCAE6OMWK&amp;keywords=2040+300mm&amp;qid=1645478233&amp;sprefix=2040+300mm%2Caps%2C190&amp;sr=8-4", "Amazon")</f>
        <v>Amazon</v>
      </c>
    </row>
    <row r="8" spans="1:32" ht="50.1" customHeight="1">
      <c r="A8" s="38" t="s">
        <v>272</v>
      </c>
      <c r="C8" s="38">
        <v>4</v>
      </c>
      <c r="D8" t="s">
        <v>307</v>
      </c>
      <c r="E8" s="39" t="str">
        <f>HYPERLINK("https://www.digikey.com/en/products/detail/w%C3%BCrth-elektronik/970300581/6174852", "DigiKey")</f>
        <v>DigiKey</v>
      </c>
      <c r="F8" s="5">
        <v>0.76</v>
      </c>
      <c r="G8" s="5">
        <f>RBA_4[[#This Row],[Unit Price]]*RBA_4[[#This Row],[Quantity]]</f>
        <v>3.04</v>
      </c>
      <c r="H8" t="s">
        <v>306</v>
      </c>
      <c r="K8" s="39" t="str">
        <f t="shared" ref="K8:K20" si="1">HYPERLINK("", "Amazon")</f>
        <v>Amazon</v>
      </c>
    </row>
    <row r="9" spans="1:32" ht="50.1" customHeight="1">
      <c r="A9" s="38" t="s">
        <v>273</v>
      </c>
      <c r="C9" s="38">
        <v>2</v>
      </c>
      <c r="D9" t="s">
        <v>237</v>
      </c>
      <c r="E9" s="39"/>
      <c r="F9" s="5">
        <f>'Mechanical - Buffer'!L3</f>
        <v>3.1936900000000006</v>
      </c>
      <c r="G9" s="5">
        <f>RBA_4[[#This Row],[Unit Price]]*RBA_4[[#This Row],[Quantity]]</f>
        <v>6.3873800000000012</v>
      </c>
      <c r="H9" t="s">
        <v>308</v>
      </c>
      <c r="I9" t="s">
        <v>304</v>
      </c>
      <c r="K9" s="39" t="str">
        <f t="shared" si="1"/>
        <v>Amazon</v>
      </c>
    </row>
    <row r="10" spans="1:32" ht="50.1" customHeight="1">
      <c r="A10" s="38" t="s">
        <v>274</v>
      </c>
      <c r="C10" s="38">
        <v>40</v>
      </c>
      <c r="D10" t="s">
        <v>293</v>
      </c>
      <c r="E10" s="39" t="str">
        <f>HYPERLINK("https://www.mcmaster.com/92095A208/", "McMaster")</f>
        <v>McMaster</v>
      </c>
      <c r="F10" s="5">
        <f>16.33/100</f>
        <v>0.16329999999999997</v>
      </c>
      <c r="G10" s="5">
        <f>RBA_4[[#This Row],[Unit Price]]*RBA_4[[#This Row],[Quantity]]</f>
        <v>6.5319999999999991</v>
      </c>
      <c r="H10" t="s">
        <v>309</v>
      </c>
      <c r="I10" t="s">
        <v>310</v>
      </c>
      <c r="J10" t="s">
        <v>236</v>
      </c>
      <c r="K10" s="39" t="str">
        <f>HYPERLINK("https://amzn.to/3I9bwDb", "Amazon")</f>
        <v>Amazon</v>
      </c>
    </row>
    <row r="11" spans="1:32" ht="50.1" customHeight="1">
      <c r="A11" s="38" t="s">
        <v>275</v>
      </c>
      <c r="C11" s="38">
        <v>40</v>
      </c>
      <c r="D11" t="s">
        <v>236</v>
      </c>
      <c r="E11" s="39" t="str">
        <f>HYPERLINK("https://amzn.to/3I8VKIx", "Amazon")</f>
        <v>Amazon</v>
      </c>
      <c r="F11" s="5">
        <f>10.99/50</f>
        <v>0.2198</v>
      </c>
      <c r="G11" s="5">
        <f>RBA_4[[#This Row],[Unit Price]]*RBA_4[[#This Row],[Quantity]]</f>
        <v>8.7919999999999998</v>
      </c>
      <c r="H11" t="s">
        <v>311</v>
      </c>
      <c r="I11" t="s">
        <v>312</v>
      </c>
      <c r="J11" t="s">
        <v>293</v>
      </c>
      <c r="K11" s="39" t="str">
        <f>HYPERLINK("https://www.mcmaster.com/90510A232/", "McMaster")</f>
        <v>McMaster</v>
      </c>
    </row>
    <row r="12" spans="1:32" ht="50.1" customHeight="1">
      <c r="A12" s="38" t="s">
        <v>277</v>
      </c>
      <c r="C12" s="38">
        <v>2</v>
      </c>
      <c r="D12" t="s">
        <v>293</v>
      </c>
      <c r="E12" s="39" t="str">
        <f>HYPERLINK("https://www.mcmaster.com/5537T425/", "McMaster")</f>
        <v>McMaster</v>
      </c>
      <c r="F12" s="5">
        <f>7.03/4</f>
        <v>1.7575000000000001</v>
      </c>
      <c r="G12" s="5">
        <f>RBA_4[[#This Row],[Unit Price]]*RBA_4[[#This Row],[Quantity]]</f>
        <v>3.5150000000000001</v>
      </c>
      <c r="H12" t="s">
        <v>313</v>
      </c>
      <c r="I12" t="s">
        <v>314</v>
      </c>
      <c r="J12" t="s">
        <v>236</v>
      </c>
      <c r="K12" s="39" t="str">
        <f>HYPERLINK("https://amzn.to/3s5sT1T", "Amazon")</f>
        <v>Amazon</v>
      </c>
    </row>
    <row r="13" spans="1:32" ht="50.1" customHeight="1">
      <c r="A13" s="38" t="s">
        <v>278</v>
      </c>
      <c r="C13" s="38">
        <v>2</v>
      </c>
      <c r="D13" t="s">
        <v>237</v>
      </c>
      <c r="E13" s="39"/>
      <c r="F13" s="5">
        <f>'Mechanical - X_CarriageFWD_V2_1'!L3</f>
        <v>8.958969999999999</v>
      </c>
      <c r="G13" s="5">
        <f>RBA_4[[#This Row],[Unit Price]]*RBA_4[[#This Row],[Quantity]]</f>
        <v>17.917939999999998</v>
      </c>
      <c r="H13" t="s">
        <v>256</v>
      </c>
      <c r="K13" s="39" t="str">
        <f t="shared" si="1"/>
        <v>Amazon</v>
      </c>
    </row>
    <row r="14" spans="1:32" ht="50.1" customHeight="1">
      <c r="A14" s="41" t="s">
        <v>279</v>
      </c>
      <c r="C14" s="38">
        <v>2</v>
      </c>
      <c r="D14" t="s">
        <v>237</v>
      </c>
      <c r="E14" s="39"/>
      <c r="F14" s="5">
        <f>'Mechanical - X_CarriageFWDBeari'!L3</f>
        <v>6.5005199999999999</v>
      </c>
      <c r="G14" s="5">
        <f>RBA_4[[#This Row],[Unit Price]]*RBA_4[[#This Row],[Quantity]]</f>
        <v>13.00104</v>
      </c>
      <c r="H14" t="s">
        <v>257</v>
      </c>
      <c r="K14" s="39" t="str">
        <f t="shared" si="1"/>
        <v>Amazon</v>
      </c>
    </row>
    <row r="15" spans="1:32" ht="50.1" customHeight="1">
      <c r="A15" s="38" t="s">
        <v>280</v>
      </c>
      <c r="C15" s="38">
        <v>2</v>
      </c>
      <c r="D15" t="s">
        <v>237</v>
      </c>
      <c r="E15" s="39"/>
      <c r="F15" s="5">
        <f>'Mechanical - X_CarriageFWD_V2_1'!L3</f>
        <v>8.958969999999999</v>
      </c>
      <c r="G15" s="5">
        <f>RBA_4[[#This Row],[Unit Price]]*RBA_4[[#This Row],[Quantity]]</f>
        <v>17.917939999999998</v>
      </c>
      <c r="H15" t="s">
        <v>324</v>
      </c>
      <c r="K15" s="39" t="str">
        <f t="shared" si="1"/>
        <v>Amazon</v>
      </c>
    </row>
    <row r="16" spans="1:32" ht="50.1" customHeight="1">
      <c r="E16" s="39"/>
      <c r="F16" s="5"/>
      <c r="G16" s="5"/>
      <c r="K16" s="39"/>
    </row>
    <row r="17" spans="1:11" ht="50.1" customHeight="1">
      <c r="E17" s="39"/>
      <c r="G17" s="5"/>
      <c r="K17" s="39"/>
    </row>
    <row r="18" spans="1:11" ht="50.1" customHeight="1">
      <c r="E18" s="39"/>
      <c r="F18" s="5"/>
      <c r="G18" s="5"/>
      <c r="K18" s="39"/>
    </row>
    <row r="19" spans="1:11" ht="50.1" customHeight="1">
      <c r="E19" s="39"/>
      <c r="F19" s="5"/>
      <c r="G19" s="5"/>
      <c r="K19" s="39"/>
    </row>
    <row r="20" spans="1:11" ht="50.1" customHeight="1">
      <c r="E20" s="39"/>
      <c r="F20" s="5"/>
      <c r="G20" s="5"/>
      <c r="K20" s="39"/>
    </row>
    <row r="21" spans="1:11" ht="50.1" customHeight="1">
      <c r="A21" s="33"/>
      <c r="B21" s="33"/>
      <c r="C21" s="33"/>
      <c r="D21" s="33"/>
      <c r="E21" s="33"/>
      <c r="F21" s="33"/>
      <c r="G21" s="33"/>
      <c r="H21" s="33"/>
      <c r="I21" s="5"/>
    </row>
  </sheetData>
  <mergeCells count="2">
    <mergeCell ref="A1:O1"/>
    <mergeCell ref="A21:H21"/>
  </mergeCells>
  <conditionalFormatting sqref="G17:G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B881-1A8F-42B7-8D24-2632762BB81C}">
  <dimension ref="A1:AF22"/>
  <sheetViews>
    <sheetView topLeftCell="F1" workbookViewId="0">
      <selection activeCell="L2" sqref="L1:L1048576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23.5703125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37" t="s">
        <v>270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265</v>
      </c>
      <c r="B2" s="15" t="s">
        <v>267</v>
      </c>
      <c r="C2" s="15" t="s">
        <v>6</v>
      </c>
      <c r="D2" s="15" t="s">
        <v>235</v>
      </c>
      <c r="E2" s="15" t="s">
        <v>266</v>
      </c>
      <c r="F2" s="15" t="s">
        <v>7</v>
      </c>
      <c r="G2" s="16" t="s">
        <v>8</v>
      </c>
      <c r="H2" s="15" t="s">
        <v>11</v>
      </c>
      <c r="I2" s="17" t="s">
        <v>232</v>
      </c>
      <c r="J2" s="17" t="s">
        <v>283</v>
      </c>
      <c r="K2" s="17" t="s">
        <v>284</v>
      </c>
      <c r="L2" s="40" t="s">
        <v>301</v>
      </c>
    </row>
    <row r="3" spans="1:32" ht="50.1" customHeight="1">
      <c r="A3" s="38" t="s">
        <v>287</v>
      </c>
      <c r="C3" s="38">
        <v>2</v>
      </c>
      <c r="D3" t="s">
        <v>236</v>
      </c>
      <c r="E3" s="39" t="str">
        <f>HYPERLINK("https://amzn.to/3LMWk0F", "Amazon")</f>
        <v>Amazon</v>
      </c>
      <c r="F3" s="5">
        <f>11.99/10</f>
        <v>1.1990000000000001</v>
      </c>
      <c r="G3" s="5">
        <f>RBA_47[[#This Row],[Unit Price]]*RBA_47[[#This Row],[Quantity]]</f>
        <v>2.3980000000000001</v>
      </c>
      <c r="H3" t="s">
        <v>295</v>
      </c>
      <c r="K3" s="39"/>
      <c r="L3" s="7">
        <f>SUM(RBA_47[Extended Price])</f>
        <v>3.1936900000000006</v>
      </c>
    </row>
    <row r="4" spans="1:32" ht="50.1" customHeight="1">
      <c r="A4" s="38" t="s">
        <v>288</v>
      </c>
      <c r="C4" s="38">
        <v>1</v>
      </c>
      <c r="D4" t="s">
        <v>293</v>
      </c>
      <c r="E4" s="39" t="str">
        <f>HYPERLINK("https://www.mcmaster.com/91306A736/", "McMaster")</f>
        <v>McMaster</v>
      </c>
      <c r="F4" s="5">
        <f>13.78/25</f>
        <v>0.55120000000000002</v>
      </c>
      <c r="G4" s="5">
        <f>RBA_47[[#This Row],[Unit Price]]*RBA_47[[#This Row],[Quantity]]</f>
        <v>0.55120000000000002</v>
      </c>
      <c r="H4" t="s">
        <v>294</v>
      </c>
      <c r="I4" t="s">
        <v>300</v>
      </c>
      <c r="J4" t="s">
        <v>236</v>
      </c>
      <c r="K4" s="39" t="str">
        <f>HYPERLINK("https://www.amazon.com/ZAYI-M5-0-8-Stainless-Finish%EF%BC%8CMetric-Fastener/dp/B09MRGZ473/ref=sr_1_3?crid=3FJWNU9KFFIX0&amp;keywords=M5+50mm&amp;qid=1645477676&amp;sprefix=m5+50mm%2Caps%2C146&amp;sr=8-3", "Amazon")</f>
        <v>Amazon</v>
      </c>
    </row>
    <row r="5" spans="1:32" ht="50.1" customHeight="1">
      <c r="A5" s="38" t="s">
        <v>289</v>
      </c>
      <c r="C5" s="38">
        <v>1</v>
      </c>
      <c r="D5" t="s">
        <v>236</v>
      </c>
      <c r="E5" s="39" t="str">
        <f>HYPERLINK("https://amzn.to/3p4Z7Zp", "PETG")</f>
        <v>PETG</v>
      </c>
      <c r="F5" s="5">
        <v>1.899E-2</v>
      </c>
      <c r="G5" s="5">
        <f>RBA_47[[#This Row],[Unit Price]]*RBA_47[[#This Row],[Quantity]]</f>
        <v>1.899E-2</v>
      </c>
      <c r="H5" t="s">
        <v>296</v>
      </c>
      <c r="I5" t="s">
        <v>234</v>
      </c>
      <c r="K5" s="39"/>
    </row>
    <row r="6" spans="1:32" ht="50.1" customHeight="1">
      <c r="A6" s="38" t="s">
        <v>290</v>
      </c>
      <c r="C6" s="38">
        <v>1</v>
      </c>
      <c r="D6" t="s">
        <v>236</v>
      </c>
      <c r="E6" s="39" t="str">
        <f t="shared" ref="E6:E7" si="0">HYPERLINK("https://amzn.to/3p4Z7Zp", "PETG")</f>
        <v>PETG</v>
      </c>
      <c r="F6" s="5">
        <v>1.899E-2</v>
      </c>
      <c r="G6" s="5">
        <f>RBA_47[[#This Row],[Unit Price]]*RBA_47[[#This Row],[Quantity]]</f>
        <v>1.899E-2</v>
      </c>
      <c r="H6" t="s">
        <v>297</v>
      </c>
      <c r="I6" t="s">
        <v>234</v>
      </c>
      <c r="K6" s="39"/>
    </row>
    <row r="7" spans="1:32" ht="50.1" customHeight="1">
      <c r="A7" s="38" t="s">
        <v>291</v>
      </c>
      <c r="C7" s="38">
        <v>1</v>
      </c>
      <c r="D7" t="s">
        <v>236</v>
      </c>
      <c r="E7" s="39" t="str">
        <f t="shared" si="0"/>
        <v>PETG</v>
      </c>
      <c r="F7" s="5">
        <f>0.01899*9</f>
        <v>0.17091000000000001</v>
      </c>
      <c r="G7" s="5">
        <f>RBA_47[[#This Row],[Unit Price]]*RBA_47[[#This Row],[Quantity]]</f>
        <v>0.17091000000000001</v>
      </c>
      <c r="H7" t="s">
        <v>298</v>
      </c>
      <c r="I7" t="s">
        <v>234</v>
      </c>
      <c r="K7" s="39"/>
    </row>
    <row r="8" spans="1:32" ht="50.1" customHeight="1">
      <c r="A8" s="38" t="s">
        <v>292</v>
      </c>
      <c r="C8" s="38">
        <v>1</v>
      </c>
      <c r="D8" t="s">
        <v>293</v>
      </c>
      <c r="E8" s="39" t="str">
        <f>HYPERLINK("https://www.mcmaster.com/90591A260/", "McMaster")</f>
        <v>McMaster</v>
      </c>
      <c r="F8" s="5">
        <f>3.56/100</f>
        <v>3.56E-2</v>
      </c>
      <c r="G8" s="5">
        <f>RBA_47[[#This Row],[Unit Price]]*RBA_47[[#This Row],[Quantity]]</f>
        <v>3.56E-2</v>
      </c>
      <c r="H8" t="s">
        <v>299</v>
      </c>
      <c r="I8" t="s">
        <v>305</v>
      </c>
      <c r="K8" s="39" t="str">
        <f>HYPERLINK("https://amzn.to/3v5pm5K", "Amazon")</f>
        <v>Amazon</v>
      </c>
    </row>
    <row r="9" spans="1:32" ht="50.1" customHeight="1">
      <c r="A9" s="38"/>
      <c r="C9" s="38"/>
      <c r="E9" s="39" t="str">
        <f t="shared" ref="E5:E22" si="1">HYPERLINK("https://8020.net/20-2040.html", "20-2040")</f>
        <v>20-2040</v>
      </c>
      <c r="F9" s="5"/>
      <c r="G9" s="5">
        <f>RBA_47[[#This Row],[Unit Price]]*RBA_47[[#This Row],[Quantity]]</f>
        <v>0</v>
      </c>
      <c r="K9" s="39" t="str">
        <f t="shared" ref="K4:K21" si="2">HYPERLINK("", "Amazon")</f>
        <v>Amazon</v>
      </c>
    </row>
    <row r="10" spans="1:32" ht="50.1" customHeight="1">
      <c r="A10" s="38"/>
      <c r="C10" s="38"/>
      <c r="E10" s="39" t="str">
        <f t="shared" si="1"/>
        <v>20-2040</v>
      </c>
      <c r="F10" s="5"/>
      <c r="G10" s="5">
        <f>RBA_47[[#This Row],[Unit Price]]*RBA_47[[#This Row],[Quantity]]</f>
        <v>0</v>
      </c>
      <c r="K10" s="39" t="str">
        <f t="shared" si="2"/>
        <v>Amazon</v>
      </c>
    </row>
    <row r="11" spans="1:32" ht="50.1" customHeight="1">
      <c r="A11" s="38"/>
      <c r="C11" s="38"/>
      <c r="E11" s="39" t="str">
        <f t="shared" si="1"/>
        <v>20-2040</v>
      </c>
      <c r="F11" s="5"/>
      <c r="G11" s="5">
        <f>RBA_47[[#This Row],[Unit Price]]*RBA_47[[#This Row],[Quantity]]</f>
        <v>0</v>
      </c>
      <c r="K11" s="39" t="str">
        <f t="shared" si="2"/>
        <v>Amazon</v>
      </c>
    </row>
    <row r="12" spans="1:32" ht="50.1" customHeight="1">
      <c r="A12" s="38"/>
      <c r="C12" s="38"/>
      <c r="E12" s="39" t="str">
        <f t="shared" si="1"/>
        <v>20-2040</v>
      </c>
      <c r="F12" s="5"/>
      <c r="G12" s="5">
        <f>RBA_47[[#This Row],[Unit Price]]*RBA_47[[#This Row],[Quantity]]</f>
        <v>0</v>
      </c>
      <c r="K12" s="39" t="str">
        <f t="shared" si="2"/>
        <v>Amazon</v>
      </c>
    </row>
    <row r="13" spans="1:32" ht="50.1" customHeight="1">
      <c r="A13" s="38"/>
      <c r="C13" s="38"/>
      <c r="E13" s="39" t="str">
        <f t="shared" si="1"/>
        <v>20-2040</v>
      </c>
      <c r="F13" s="5"/>
      <c r="G13" s="5">
        <f>RBA_47[[#This Row],[Unit Price]]*RBA_47[[#This Row],[Quantity]]</f>
        <v>0</v>
      </c>
      <c r="K13" s="39" t="str">
        <f t="shared" si="2"/>
        <v>Amazon</v>
      </c>
    </row>
    <row r="14" spans="1:32" ht="50.1" customHeight="1">
      <c r="A14" s="38"/>
      <c r="C14" s="38"/>
      <c r="E14" s="39" t="str">
        <f t="shared" si="1"/>
        <v>20-2040</v>
      </c>
      <c r="F14" s="5"/>
      <c r="G14" s="5">
        <f>RBA_47[[#This Row],[Unit Price]]*RBA_47[[#This Row],[Quantity]]</f>
        <v>0</v>
      </c>
      <c r="K14" s="39" t="str">
        <f t="shared" si="2"/>
        <v>Amazon</v>
      </c>
    </row>
    <row r="15" spans="1:32" ht="50.1" customHeight="1">
      <c r="A15" s="38"/>
      <c r="C15" s="38"/>
      <c r="E15" s="39" t="str">
        <f t="shared" si="1"/>
        <v>20-2040</v>
      </c>
      <c r="F15" s="5"/>
      <c r="G15" s="5">
        <f>RBA_47[[#This Row],[Unit Price]]*RBA_47[[#This Row],[Quantity]]</f>
        <v>0</v>
      </c>
      <c r="H15" t="s">
        <v>256</v>
      </c>
      <c r="I15" t="s">
        <v>234</v>
      </c>
      <c r="K15" s="39" t="str">
        <f t="shared" si="2"/>
        <v>Amazon</v>
      </c>
    </row>
    <row r="16" spans="1:32" ht="50.1" customHeight="1">
      <c r="A16" s="38"/>
      <c r="C16" s="38"/>
      <c r="E16" s="39" t="str">
        <f t="shared" si="1"/>
        <v>20-2040</v>
      </c>
      <c r="F16" s="5"/>
      <c r="G16" s="5">
        <f>RBA_47[[#This Row],[Unit Price]]*RBA_47[[#This Row],[Quantity]]</f>
        <v>0</v>
      </c>
      <c r="H16" t="s">
        <v>257</v>
      </c>
      <c r="I16" t="s">
        <v>234</v>
      </c>
      <c r="K16" s="39" t="str">
        <f t="shared" si="2"/>
        <v>Amazon</v>
      </c>
    </row>
    <row r="17" spans="1:11" ht="50.1" customHeight="1">
      <c r="E17" s="39" t="str">
        <f t="shared" si="1"/>
        <v>20-2040</v>
      </c>
      <c r="F17" s="5"/>
      <c r="G17" s="5">
        <f>RBA_47[[#This Row],[Unit Price]]*RBA_47[[#This Row],[Quantity]]</f>
        <v>0</v>
      </c>
      <c r="H17" t="s">
        <v>258</v>
      </c>
      <c r="I17" t="s">
        <v>259</v>
      </c>
      <c r="K17" s="39" t="str">
        <f t="shared" si="2"/>
        <v>Amazon</v>
      </c>
    </row>
    <row r="18" spans="1:11" ht="50.1" customHeight="1">
      <c r="E18" s="39" t="str">
        <f t="shared" si="1"/>
        <v>20-2040</v>
      </c>
      <c r="F18" s="5"/>
      <c r="G18" s="5">
        <f>RBA_47[[#This Row],[Unit Price]]*RBA_47[[#This Row],[Quantity]]</f>
        <v>0</v>
      </c>
      <c r="H18" t="s">
        <v>260</v>
      </c>
      <c r="I18" t="s">
        <v>233</v>
      </c>
      <c r="K18" s="39" t="str">
        <f t="shared" si="2"/>
        <v>Amazon</v>
      </c>
    </row>
    <row r="19" spans="1:11" ht="50.1" customHeight="1">
      <c r="E19" s="39" t="str">
        <f t="shared" si="1"/>
        <v>20-2040</v>
      </c>
      <c r="F19" s="5"/>
      <c r="G19" s="5">
        <f>RBA_47[[#This Row],[Unit Price]]*RBA_47[[#This Row],[Quantity]]</f>
        <v>0</v>
      </c>
      <c r="H19" t="s">
        <v>261</v>
      </c>
      <c r="I19" t="s">
        <v>262</v>
      </c>
      <c r="K19" s="39" t="str">
        <f t="shared" si="2"/>
        <v>Amazon</v>
      </c>
    </row>
    <row r="20" spans="1:11" ht="50.1" customHeight="1">
      <c r="E20" s="39" t="str">
        <f t="shared" si="1"/>
        <v>20-2040</v>
      </c>
      <c r="F20" s="5"/>
      <c r="G20" s="5">
        <f>RBA_47[[#This Row],[Unit Price]]*RBA_47[[#This Row],[Quantity]]</f>
        <v>0</v>
      </c>
      <c r="K20" s="39" t="str">
        <f t="shared" si="2"/>
        <v>Amazon</v>
      </c>
    </row>
    <row r="21" spans="1:11" ht="50.1" customHeight="1">
      <c r="E21" s="39" t="str">
        <f t="shared" si="1"/>
        <v>20-2040</v>
      </c>
      <c r="F21" s="5"/>
      <c r="G21" s="5">
        <f>RBA_47[[#This Row],[Unit Price]]*RBA_47[[#This Row],[Quantity]]</f>
        <v>0</v>
      </c>
      <c r="H21" t="s">
        <v>263</v>
      </c>
      <c r="I21" t="s">
        <v>264</v>
      </c>
      <c r="K21" s="39" t="str">
        <f t="shared" si="2"/>
        <v>Amazon</v>
      </c>
    </row>
    <row r="22" spans="1:11" ht="50.1" customHeight="1">
      <c r="A22" s="33" t="s">
        <v>205</v>
      </c>
      <c r="B22" s="33"/>
      <c r="C22" s="33"/>
      <c r="D22" s="33"/>
      <c r="E22" s="33"/>
      <c r="F22" s="33"/>
      <c r="G22" s="33"/>
      <c r="H22" s="33"/>
      <c r="I22" s="5">
        <f>SUM(RBA_47[Extended Price])</f>
        <v>3.1936900000000006</v>
      </c>
    </row>
  </sheetData>
  <mergeCells count="2">
    <mergeCell ref="A1:O1"/>
    <mergeCell ref="A22:H22"/>
  </mergeCells>
  <conditionalFormatting sqref="G18:G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37D-6351-42A1-98A8-C85275010919}">
  <dimension ref="A1:AF22"/>
  <sheetViews>
    <sheetView workbookViewId="0">
      <selection activeCell="H11" sqref="H11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37" t="s">
        <v>322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265</v>
      </c>
      <c r="B2" s="15" t="s">
        <v>267</v>
      </c>
      <c r="C2" s="15" t="s">
        <v>6</v>
      </c>
      <c r="D2" s="15" t="s">
        <v>235</v>
      </c>
      <c r="E2" s="15" t="s">
        <v>266</v>
      </c>
      <c r="F2" s="15" t="s">
        <v>7</v>
      </c>
      <c r="G2" s="16" t="s">
        <v>8</v>
      </c>
      <c r="H2" s="15" t="s">
        <v>11</v>
      </c>
      <c r="I2" s="17" t="s">
        <v>232</v>
      </c>
      <c r="J2" s="17" t="s">
        <v>283</v>
      </c>
      <c r="K2" s="17" t="s">
        <v>284</v>
      </c>
      <c r="L2" s="40" t="s">
        <v>301</v>
      </c>
    </row>
    <row r="3" spans="1:32" ht="50.1" customHeight="1">
      <c r="A3" s="41" t="s">
        <v>315</v>
      </c>
      <c r="C3" s="41">
        <v>1</v>
      </c>
      <c r="D3" t="s">
        <v>236</v>
      </c>
      <c r="E3" s="39" t="str">
        <f>HYPERLINK("https://amzn.to/3p4Z7Zp", "PETG")</f>
        <v>PETG</v>
      </c>
      <c r="F3" s="5">
        <f>0.01899*27</f>
        <v>0.51273000000000002</v>
      </c>
      <c r="G3" s="5">
        <f>RBA_478[[#This Row],[Unit Price]]*RBA_478[[#This Row],[Quantity]]</f>
        <v>0.51273000000000002</v>
      </c>
      <c r="H3" t="s">
        <v>323</v>
      </c>
      <c r="I3" t="s">
        <v>282</v>
      </c>
      <c r="J3" t="s">
        <v>236</v>
      </c>
      <c r="K3" s="39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SUM(RBA_478[Extended Price])</f>
        <v>8.958969999999999</v>
      </c>
    </row>
    <row r="4" spans="1:32" ht="50.1" customHeight="1">
      <c r="A4" s="41" t="s">
        <v>287</v>
      </c>
      <c r="C4" s="38">
        <v>4</v>
      </c>
      <c r="D4" t="s">
        <v>236</v>
      </c>
      <c r="E4" s="39" t="str">
        <f>HYPERLINK("https://amzn.to/3LMWk0F", "Amazon")</f>
        <v>Amazon</v>
      </c>
      <c r="F4" s="5">
        <f>11.99/10</f>
        <v>1.1990000000000001</v>
      </c>
      <c r="G4" s="5">
        <f>RBA_478[[#This Row],[Unit Price]]*RBA_478[[#This Row],[Quantity]]</f>
        <v>4.7960000000000003</v>
      </c>
      <c r="H4" t="s">
        <v>295</v>
      </c>
      <c r="K4" s="39"/>
    </row>
    <row r="5" spans="1:32" ht="50.1" customHeight="1">
      <c r="A5" s="41" t="s">
        <v>316</v>
      </c>
      <c r="C5" s="41">
        <v>2</v>
      </c>
      <c r="D5" t="s">
        <v>236</v>
      </c>
      <c r="E5" s="39" t="str">
        <f>HYPERLINK("https://amzn.to/3p4Z7Zp", "PETG")</f>
        <v>PETG</v>
      </c>
      <c r="F5" s="5">
        <f>0.01899*8</f>
        <v>0.15192</v>
      </c>
      <c r="G5" s="5">
        <f>RBA_478[[#This Row],[Unit Price]]*RBA_478[[#This Row],[Quantity]]</f>
        <v>0.30384</v>
      </c>
      <c r="H5" t="s">
        <v>319</v>
      </c>
      <c r="I5" t="s">
        <v>234</v>
      </c>
      <c r="K5" s="39"/>
    </row>
    <row r="6" spans="1:32" ht="50.1" customHeight="1">
      <c r="A6" s="41" t="s">
        <v>272</v>
      </c>
      <c r="C6" s="41">
        <v>1</v>
      </c>
      <c r="D6" t="s">
        <v>307</v>
      </c>
      <c r="E6" s="39" t="str">
        <f>HYPERLINK("https://www.digikey.com/en/products/detail/w%C3%BCrth-elektronik/970300581/6174852", "DigiKey")</f>
        <v>DigiKey</v>
      </c>
      <c r="F6" s="5">
        <v>0.76</v>
      </c>
      <c r="G6" s="5">
        <f>RBA_478[[#This Row],[Quantity]]*RBA_478[[#This Row],[Unit Price]]</f>
        <v>0.76</v>
      </c>
      <c r="H6" t="s">
        <v>306</v>
      </c>
      <c r="K6" s="39" t="str">
        <f t="shared" ref="K5:K21" si="0">HYPERLINK("", "Amazon")</f>
        <v>Amazon</v>
      </c>
    </row>
    <row r="7" spans="1:32" ht="50.1" customHeight="1">
      <c r="A7" s="41" t="s">
        <v>317</v>
      </c>
      <c r="C7" s="41">
        <v>2</v>
      </c>
      <c r="D7" t="s">
        <v>293</v>
      </c>
      <c r="E7" s="39" t="str">
        <f>HYPERLINK("https://www.mcmaster.com/92095A218/", "McMaster")</f>
        <v>McMaster</v>
      </c>
      <c r="F7" s="5">
        <f>9.22/25</f>
        <v>0.36880000000000002</v>
      </c>
      <c r="G7" s="5">
        <f>RBA_478[[#This Row],[Unit Price]]*RBA_478[[#This Row],[Quantity]]</f>
        <v>0.73760000000000003</v>
      </c>
      <c r="H7" t="s">
        <v>320</v>
      </c>
      <c r="I7" t="s">
        <v>305</v>
      </c>
      <c r="K7" s="39" t="str">
        <f>HYPERLINK("https://amzn.to/3I2Pemt", "Amazon")</f>
        <v>Amazon</v>
      </c>
    </row>
    <row r="8" spans="1:32" ht="50.1" customHeight="1">
      <c r="A8" s="41" t="s">
        <v>318</v>
      </c>
      <c r="C8" s="41">
        <v>4</v>
      </c>
      <c r="D8" t="s">
        <v>293</v>
      </c>
      <c r="E8" s="39" t="str">
        <f>HYPERLINK("https://www.mcmaster.com/92095A223/", "McMaster")</f>
        <v>McMaster</v>
      </c>
      <c r="F8" s="5">
        <f>11.11/25</f>
        <v>0.44439999999999996</v>
      </c>
      <c r="G8" s="5">
        <f>RBA_478[[#This Row],[Unit Price]]*RBA_478[[#This Row],[Quantity]]</f>
        <v>1.7775999999999998</v>
      </c>
      <c r="H8" t="s">
        <v>321</v>
      </c>
      <c r="I8" t="s">
        <v>305</v>
      </c>
      <c r="K8" s="39" t="str">
        <f>HYPERLINK("https://amzn.to/3sVaTGL", "Amazon")</f>
        <v>Amazon</v>
      </c>
    </row>
    <row r="9" spans="1:32" ht="50.1" customHeight="1">
      <c r="A9" s="41" t="s">
        <v>292</v>
      </c>
      <c r="C9" s="41">
        <v>2</v>
      </c>
      <c r="D9" t="s">
        <v>293</v>
      </c>
      <c r="E9" s="39" t="str">
        <f>HYPERLINK("https://www.mcmaster.com/90591A260/", "McMaster")</f>
        <v>McMaster</v>
      </c>
      <c r="F9" s="5">
        <f>3.56/100</f>
        <v>3.56E-2</v>
      </c>
      <c r="G9" s="5">
        <f>RBA_478[[#This Row],[Unit Price]]*RBA_478[[#This Row],[Quantity]]</f>
        <v>7.1199999999999999E-2</v>
      </c>
      <c r="H9" t="s">
        <v>299</v>
      </c>
      <c r="I9" t="s">
        <v>305</v>
      </c>
      <c r="K9" s="39" t="str">
        <f>HYPERLINK("https://amzn.to/3v5pm5K", "Amazon")</f>
        <v>Amazon</v>
      </c>
    </row>
    <row r="10" spans="1:32" ht="50.1" customHeight="1">
      <c r="A10" s="41"/>
      <c r="C10" s="41"/>
      <c r="E10" s="39"/>
      <c r="F10" s="5"/>
      <c r="G10" s="5"/>
      <c r="K10" s="39"/>
    </row>
    <row r="11" spans="1:32" ht="50.1" customHeight="1">
      <c r="A11" s="41"/>
      <c r="C11" s="41"/>
      <c r="E11" s="39"/>
      <c r="F11" s="5"/>
      <c r="G11" s="5"/>
      <c r="K11" s="39"/>
    </row>
    <row r="12" spans="1:32" ht="50.1" customHeight="1">
      <c r="A12" s="41"/>
      <c r="C12" s="41"/>
      <c r="E12" s="39"/>
      <c r="F12" s="5"/>
      <c r="G12" s="5"/>
      <c r="K12" s="39"/>
    </row>
    <row r="13" spans="1:32" ht="50.1" customHeight="1">
      <c r="A13" s="41"/>
      <c r="C13" s="41"/>
      <c r="E13" s="39"/>
      <c r="F13" s="5"/>
      <c r="G13" s="5"/>
      <c r="K13" s="39"/>
    </row>
    <row r="14" spans="1:32" ht="50.1" customHeight="1">
      <c r="A14" s="41"/>
      <c r="C14" s="41"/>
      <c r="E14" s="39"/>
      <c r="F14" s="5"/>
      <c r="G14" s="5"/>
      <c r="K14" s="39"/>
    </row>
    <row r="15" spans="1:32" ht="50.1" customHeight="1">
      <c r="A15" s="41"/>
      <c r="C15" s="41"/>
      <c r="E15" s="39"/>
      <c r="F15" s="5"/>
      <c r="G15" s="5"/>
      <c r="K15" s="39"/>
    </row>
    <row r="16" spans="1:32" ht="50.1" customHeight="1">
      <c r="A16" s="41"/>
      <c r="C16" s="41"/>
      <c r="E16" s="39"/>
      <c r="F16" s="5"/>
      <c r="G16" s="5"/>
      <c r="K16" s="39"/>
    </row>
    <row r="17" spans="1:11" ht="50.1" customHeight="1">
      <c r="E17" s="39"/>
      <c r="F17" s="5"/>
      <c r="G17" s="5"/>
      <c r="K17" s="39"/>
    </row>
    <row r="18" spans="1:11" ht="50.1" customHeight="1">
      <c r="E18" s="39"/>
      <c r="G18" s="5"/>
      <c r="K18" s="39"/>
    </row>
    <row r="19" spans="1:11" ht="50.1" customHeight="1">
      <c r="E19" s="39"/>
      <c r="F19" s="5"/>
      <c r="G19" s="5"/>
      <c r="K19" s="39"/>
    </row>
    <row r="20" spans="1:11" ht="50.1" customHeight="1">
      <c r="E20" s="39"/>
      <c r="F20" s="5"/>
      <c r="G20" s="5"/>
      <c r="K20" s="39"/>
    </row>
    <row r="21" spans="1:11" ht="50.1" customHeight="1">
      <c r="E21" s="39"/>
      <c r="F21" s="5"/>
      <c r="G21" s="5"/>
      <c r="K21" s="39"/>
    </row>
    <row r="22" spans="1:11" ht="50.1" customHeight="1">
      <c r="A22" s="33"/>
      <c r="B22" s="33"/>
      <c r="C22" s="33"/>
      <c r="D22" s="33"/>
      <c r="E22" s="33"/>
      <c r="F22" s="33"/>
      <c r="G22" s="33"/>
      <c r="H22" s="33"/>
      <c r="I22" s="5"/>
    </row>
  </sheetData>
  <mergeCells count="2">
    <mergeCell ref="A1:O1"/>
    <mergeCell ref="A22:H22"/>
  </mergeCells>
  <conditionalFormatting sqref="G18:G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8 G10:G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0449-7EC3-47DC-B268-2C2AD3FB1A65}">
  <dimension ref="A1:AF22"/>
  <sheetViews>
    <sheetView workbookViewId="0">
      <selection activeCell="L4" sqref="L4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37" t="s">
        <v>279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265</v>
      </c>
      <c r="B2" s="15" t="s">
        <v>267</v>
      </c>
      <c r="C2" s="15" t="s">
        <v>6</v>
      </c>
      <c r="D2" s="15" t="s">
        <v>235</v>
      </c>
      <c r="E2" s="15" t="s">
        <v>266</v>
      </c>
      <c r="F2" s="15" t="s">
        <v>7</v>
      </c>
      <c r="G2" s="16" t="s">
        <v>8</v>
      </c>
      <c r="H2" s="15" t="s">
        <v>11</v>
      </c>
      <c r="I2" s="17" t="s">
        <v>232</v>
      </c>
      <c r="J2" s="17" t="s">
        <v>283</v>
      </c>
      <c r="K2" s="17" t="s">
        <v>284</v>
      </c>
      <c r="L2" s="40" t="s">
        <v>301</v>
      </c>
    </row>
    <row r="3" spans="1:32" ht="50.1" customHeight="1">
      <c r="A3" s="41" t="s">
        <v>325</v>
      </c>
      <c r="C3" s="41">
        <v>1</v>
      </c>
      <c r="D3" t="s">
        <v>236</v>
      </c>
      <c r="E3" s="39" t="str">
        <f t="shared" ref="E3" si="0">HYPERLINK("https://amzn.to/3p4Z7Zp", "PETG")</f>
        <v>PETG</v>
      </c>
      <c r="F3" s="5">
        <f>0.01899*20</f>
        <v>0.37980000000000003</v>
      </c>
      <c r="G3" s="5">
        <f>RBA_4789[[#This Row],[Unit Price]]*RBA_4789[[#This Row],[Quantity]]</f>
        <v>0.37980000000000003</v>
      </c>
      <c r="H3" t="s">
        <v>298</v>
      </c>
      <c r="I3" t="s">
        <v>234</v>
      </c>
      <c r="K3" s="39"/>
      <c r="L3" s="7">
        <f>SUM(RBA_4789[Extended Price])</f>
        <v>6.5005199999999999</v>
      </c>
    </row>
    <row r="4" spans="1:32" ht="50.1" customHeight="1">
      <c r="A4" s="41" t="s">
        <v>316</v>
      </c>
      <c r="C4" s="41">
        <v>1</v>
      </c>
      <c r="D4" t="s">
        <v>236</v>
      </c>
      <c r="E4" s="39" t="str">
        <f>HYPERLINK("https://amzn.to/3p4Z7Zp", "PETG")</f>
        <v>PETG</v>
      </c>
      <c r="F4" s="5">
        <f>0.01899*8</f>
        <v>0.15192</v>
      </c>
      <c r="G4" s="5">
        <f>RBA_4789[[#This Row],[Unit Price]]*RBA_4789[[#This Row],[Quantity]]</f>
        <v>0.15192</v>
      </c>
      <c r="H4" t="s">
        <v>319</v>
      </c>
      <c r="I4" t="s">
        <v>234</v>
      </c>
      <c r="K4" s="39"/>
    </row>
    <row r="5" spans="1:32" ht="50.1" customHeight="1">
      <c r="A5" s="41" t="s">
        <v>326</v>
      </c>
      <c r="C5" s="41">
        <v>4</v>
      </c>
      <c r="D5" t="s">
        <v>236</v>
      </c>
      <c r="E5" s="39" t="str">
        <f>HYPERLINK("https://amzn.to/3t3zuJQ", "F606ZZ")</f>
        <v>F606ZZ</v>
      </c>
      <c r="F5" s="5">
        <f>12.7/10</f>
        <v>1.27</v>
      </c>
      <c r="G5" s="5">
        <f>RBA_4789[[#This Row],[Unit Price]]*RBA_4789[[#This Row],[Quantity]]</f>
        <v>5.08</v>
      </c>
      <c r="K5" s="39"/>
    </row>
    <row r="6" spans="1:32" ht="50.1" customHeight="1">
      <c r="A6" s="41" t="s">
        <v>318</v>
      </c>
      <c r="C6" s="41">
        <v>2</v>
      </c>
      <c r="D6" t="s">
        <v>293</v>
      </c>
      <c r="E6" s="39" t="str">
        <f>HYPERLINK("https://www.mcmaster.com/92095A223/", "McMaster")</f>
        <v>McMaster</v>
      </c>
      <c r="F6" s="5">
        <f>11.11/25</f>
        <v>0.44439999999999996</v>
      </c>
      <c r="G6" s="5">
        <f>RBA_4789[[#This Row],[Unit Price]]*RBA_4789[[#This Row],[Quantity]]</f>
        <v>0.88879999999999992</v>
      </c>
      <c r="H6" t="s">
        <v>321</v>
      </c>
      <c r="I6" t="s">
        <v>305</v>
      </c>
      <c r="K6" s="39" t="str">
        <f>HYPERLINK("https://amzn.to/3sVaTGL", "Amazon")</f>
        <v>Amazon</v>
      </c>
    </row>
    <row r="7" spans="1:32" ht="50.1" customHeight="1">
      <c r="A7" s="38"/>
      <c r="C7" s="38"/>
      <c r="E7" s="39"/>
      <c r="F7" s="5"/>
      <c r="G7" s="5"/>
      <c r="K7" s="39"/>
    </row>
    <row r="8" spans="1:32" ht="50.1" customHeight="1">
      <c r="A8" s="38"/>
      <c r="C8" s="38"/>
      <c r="E8" s="39"/>
      <c r="F8" s="5"/>
      <c r="G8" s="5"/>
      <c r="K8" s="39"/>
    </row>
    <row r="9" spans="1:32" ht="50.1" customHeight="1">
      <c r="A9" s="38"/>
      <c r="C9" s="38"/>
      <c r="E9" s="39"/>
      <c r="F9" s="5"/>
      <c r="G9" s="5"/>
      <c r="K9" s="39"/>
    </row>
    <row r="10" spans="1:32" ht="50.1" customHeight="1">
      <c r="A10" s="38"/>
      <c r="C10" s="38"/>
      <c r="E10" s="39"/>
      <c r="F10" s="5"/>
      <c r="G10" s="5"/>
      <c r="K10" s="39"/>
    </row>
    <row r="11" spans="1:32" ht="50.1" customHeight="1">
      <c r="A11" s="38"/>
      <c r="C11" s="38"/>
      <c r="E11" s="39"/>
      <c r="F11" s="5"/>
      <c r="G11" s="5"/>
      <c r="K11" s="39"/>
    </row>
    <row r="12" spans="1:32" ht="50.1" customHeight="1">
      <c r="A12" s="38"/>
      <c r="C12" s="38"/>
      <c r="E12" s="39"/>
      <c r="F12" s="5"/>
      <c r="G12" s="5"/>
      <c r="K12" s="39"/>
    </row>
    <row r="13" spans="1:32" ht="50.1" customHeight="1">
      <c r="A13" s="38"/>
      <c r="C13" s="38"/>
      <c r="E13" s="39"/>
      <c r="F13" s="5"/>
      <c r="G13" s="5"/>
      <c r="K13" s="39"/>
    </row>
    <row r="14" spans="1:32" ht="50.1" customHeight="1">
      <c r="A14" s="38"/>
      <c r="C14" s="38"/>
      <c r="E14" s="39"/>
      <c r="F14" s="5"/>
      <c r="G14" s="5"/>
      <c r="K14" s="39"/>
    </row>
    <row r="15" spans="1:32" ht="50.1" customHeight="1">
      <c r="A15" s="38"/>
      <c r="C15" s="38"/>
      <c r="E15" s="39"/>
      <c r="F15" s="5"/>
      <c r="G15" s="5"/>
      <c r="K15" s="39"/>
    </row>
    <row r="16" spans="1:32" ht="50.1" customHeight="1">
      <c r="A16" s="38"/>
      <c r="C16" s="38"/>
      <c r="E16" s="39"/>
      <c r="F16" s="5"/>
      <c r="G16" s="5"/>
      <c r="K16" s="39"/>
    </row>
    <row r="17" spans="1:11" ht="50.1" customHeight="1">
      <c r="E17" s="39"/>
      <c r="F17" s="5"/>
      <c r="G17" s="5"/>
      <c r="K17" s="39"/>
    </row>
    <row r="18" spans="1:11" ht="50.1" customHeight="1">
      <c r="E18" s="39"/>
      <c r="G18" s="5"/>
      <c r="K18" s="39"/>
    </row>
    <row r="19" spans="1:11" ht="50.1" customHeight="1">
      <c r="E19" s="39"/>
      <c r="F19" s="5"/>
      <c r="G19" s="5"/>
      <c r="K19" s="39"/>
    </row>
    <row r="20" spans="1:11" ht="50.1" customHeight="1">
      <c r="E20" s="39"/>
      <c r="F20" s="5"/>
      <c r="G20" s="5"/>
      <c r="K20" s="39"/>
    </row>
    <row r="21" spans="1:11" ht="50.1" customHeight="1">
      <c r="E21" s="39"/>
      <c r="F21" s="5"/>
      <c r="G21" s="5"/>
      <c r="K21" s="39"/>
    </row>
    <row r="22" spans="1:11" ht="50.1" customHeight="1">
      <c r="A22" s="33" t="s">
        <v>205</v>
      </c>
      <c r="B22" s="33"/>
      <c r="C22" s="33"/>
      <c r="D22" s="33"/>
      <c r="E22" s="33"/>
      <c r="F22" s="33"/>
      <c r="G22" s="33"/>
      <c r="H22" s="33"/>
      <c r="I22" s="5">
        <f>SUM(RBA_4789[Extended Price])</f>
        <v>6.5005199999999999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6C48-8C5C-4678-925E-E6B0DB93355C}">
  <dimension ref="A1:AF22"/>
  <sheetViews>
    <sheetView tabSelected="1" workbookViewId="0">
      <selection activeCell="G7" sqref="G7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37" t="s">
        <v>327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265</v>
      </c>
      <c r="B2" s="15" t="s">
        <v>267</v>
      </c>
      <c r="C2" s="15" t="s">
        <v>6</v>
      </c>
      <c r="D2" s="15" t="s">
        <v>235</v>
      </c>
      <c r="E2" s="15" t="s">
        <v>266</v>
      </c>
      <c r="F2" s="15" t="s">
        <v>7</v>
      </c>
      <c r="G2" s="16" t="s">
        <v>8</v>
      </c>
      <c r="H2" s="15" t="s">
        <v>11</v>
      </c>
      <c r="I2" s="17" t="s">
        <v>232</v>
      </c>
      <c r="J2" s="17" t="s">
        <v>283</v>
      </c>
      <c r="K2" s="17" t="s">
        <v>284</v>
      </c>
      <c r="L2" s="40" t="s">
        <v>301</v>
      </c>
    </row>
    <row r="3" spans="1:32" ht="50.1" customHeight="1">
      <c r="A3" s="41" t="s">
        <v>325</v>
      </c>
      <c r="C3" s="41">
        <v>1</v>
      </c>
      <c r="D3" t="s">
        <v>236</v>
      </c>
      <c r="E3" s="39" t="str">
        <f t="shared" ref="E3" si="0">HYPERLINK("https://amzn.to/3p4Z7Zp", "PETG")</f>
        <v>PETG</v>
      </c>
      <c r="F3" s="5">
        <f>0.01899*20</f>
        <v>0.37980000000000003</v>
      </c>
      <c r="G3" s="5">
        <f>RBA_478910[[#This Row],[Unit Price]]*RBA_478910[[#This Row],[Quantity]]</f>
        <v>0.37980000000000003</v>
      </c>
      <c r="H3" t="s">
        <v>298</v>
      </c>
      <c r="I3" t="s">
        <v>234</v>
      </c>
      <c r="K3" s="39"/>
      <c r="L3" s="7">
        <f>SUM(RBA_478910[Extended Price])</f>
        <v>6.5005199999999999</v>
      </c>
    </row>
    <row r="4" spans="1:32" ht="50.1" customHeight="1">
      <c r="A4" s="41" t="s">
        <v>316</v>
      </c>
      <c r="C4" s="41">
        <v>1</v>
      </c>
      <c r="D4" t="s">
        <v>236</v>
      </c>
      <c r="E4" s="39" t="str">
        <f>HYPERLINK("https://amzn.to/3p4Z7Zp", "PETG")</f>
        <v>PETG</v>
      </c>
      <c r="F4" s="5">
        <f>0.01899*8</f>
        <v>0.15192</v>
      </c>
      <c r="G4" s="5">
        <f>RBA_478910[[#This Row],[Unit Price]]*RBA_478910[[#This Row],[Quantity]]</f>
        <v>0.15192</v>
      </c>
      <c r="H4" t="s">
        <v>319</v>
      </c>
      <c r="I4" t="s">
        <v>234</v>
      </c>
      <c r="K4" s="39"/>
    </row>
    <row r="5" spans="1:32" ht="50.1" customHeight="1">
      <c r="A5" s="41" t="s">
        <v>326</v>
      </c>
      <c r="C5" s="41">
        <v>4</v>
      </c>
      <c r="D5" t="s">
        <v>236</v>
      </c>
      <c r="E5" s="39" t="str">
        <f>HYPERLINK("https://amzn.to/3t3zuJQ", "F606ZZ")</f>
        <v>F606ZZ</v>
      </c>
      <c r="F5" s="5">
        <f>12.7/10</f>
        <v>1.27</v>
      </c>
      <c r="G5" s="5">
        <f>RBA_478910[[#This Row],[Unit Price]]*RBA_478910[[#This Row],[Quantity]]</f>
        <v>5.08</v>
      </c>
      <c r="K5" s="39"/>
    </row>
    <row r="6" spans="1:32" ht="50.1" customHeight="1">
      <c r="A6" s="41" t="s">
        <v>318</v>
      </c>
      <c r="C6" s="41">
        <v>2</v>
      </c>
      <c r="D6" t="s">
        <v>293</v>
      </c>
      <c r="E6" s="39" t="str">
        <f>HYPERLINK("https://www.mcmaster.com/92095A223/", "McMaster")</f>
        <v>McMaster</v>
      </c>
      <c r="F6" s="5">
        <f>11.11/25</f>
        <v>0.44439999999999996</v>
      </c>
      <c r="G6" s="5">
        <f>RBA_478910[[#This Row],[Unit Price]]*RBA_478910[[#This Row],[Quantity]]</f>
        <v>0.88879999999999992</v>
      </c>
      <c r="H6" t="s">
        <v>321</v>
      </c>
      <c r="I6" t="s">
        <v>305</v>
      </c>
      <c r="K6" s="39" t="str">
        <f>HYPERLINK("https://amzn.to/3sVaTGL", "Amazon")</f>
        <v>Amazon</v>
      </c>
    </row>
    <row r="7" spans="1:32" ht="50.1" customHeight="1">
      <c r="A7" s="38"/>
      <c r="C7" s="38"/>
      <c r="E7" s="39"/>
      <c r="F7" s="5"/>
      <c r="G7" s="5"/>
      <c r="K7" s="39"/>
    </row>
    <row r="8" spans="1:32" ht="50.1" customHeight="1">
      <c r="A8" s="38"/>
      <c r="C8" s="38"/>
      <c r="E8" s="39"/>
      <c r="F8" s="5"/>
      <c r="G8" s="5"/>
      <c r="K8" s="39"/>
    </row>
    <row r="9" spans="1:32" ht="50.1" customHeight="1">
      <c r="A9" s="38"/>
      <c r="C9" s="38"/>
      <c r="E9" s="39"/>
      <c r="F9" s="5"/>
      <c r="G9" s="5"/>
      <c r="K9" s="39"/>
    </row>
    <row r="10" spans="1:32" ht="50.1" customHeight="1">
      <c r="A10" s="38"/>
      <c r="C10" s="38"/>
      <c r="E10" s="39"/>
      <c r="F10" s="5"/>
      <c r="G10" s="5"/>
      <c r="K10" s="39"/>
    </row>
    <row r="11" spans="1:32" ht="50.1" customHeight="1">
      <c r="A11" s="38"/>
      <c r="C11" s="38"/>
      <c r="E11" s="39"/>
      <c r="F11" s="5"/>
      <c r="G11" s="5"/>
      <c r="K11" s="39"/>
    </row>
    <row r="12" spans="1:32" ht="50.1" customHeight="1">
      <c r="A12" s="38"/>
      <c r="C12" s="38"/>
      <c r="E12" s="39"/>
      <c r="F12" s="5"/>
      <c r="G12" s="5"/>
      <c r="K12" s="39"/>
    </row>
    <row r="13" spans="1:32" ht="50.1" customHeight="1">
      <c r="A13" s="38"/>
      <c r="C13" s="38"/>
      <c r="E13" s="39"/>
      <c r="F13" s="5"/>
      <c r="G13" s="5"/>
      <c r="K13" s="39"/>
    </row>
    <row r="14" spans="1:32" ht="50.1" customHeight="1">
      <c r="A14" s="38"/>
      <c r="C14" s="38"/>
      <c r="E14" s="39"/>
      <c r="F14" s="5"/>
      <c r="G14" s="5"/>
      <c r="K14" s="39"/>
    </row>
    <row r="15" spans="1:32" ht="50.1" customHeight="1">
      <c r="A15" s="38"/>
      <c r="C15" s="38"/>
      <c r="E15" s="39"/>
      <c r="F15" s="5"/>
      <c r="G15" s="5"/>
      <c r="K15" s="39"/>
    </row>
    <row r="16" spans="1:32" ht="50.1" customHeight="1">
      <c r="A16" s="38"/>
      <c r="C16" s="38"/>
      <c r="E16" s="39"/>
      <c r="F16" s="5"/>
      <c r="G16" s="5"/>
      <c r="K16" s="39"/>
    </row>
    <row r="17" spans="1:11" ht="50.1" customHeight="1">
      <c r="E17" s="39"/>
      <c r="F17" s="5"/>
      <c r="G17" s="5"/>
      <c r="K17" s="39"/>
    </row>
    <row r="18" spans="1:11" ht="50.1" customHeight="1">
      <c r="E18" s="39"/>
      <c r="G18" s="5"/>
      <c r="K18" s="39"/>
    </row>
    <row r="19" spans="1:11" ht="50.1" customHeight="1">
      <c r="E19" s="39"/>
      <c r="F19" s="5"/>
      <c r="G19" s="5"/>
      <c r="K19" s="39"/>
    </row>
    <row r="20" spans="1:11" ht="50.1" customHeight="1">
      <c r="E20" s="39"/>
      <c r="F20" s="5"/>
      <c r="G20" s="5"/>
      <c r="K20" s="39"/>
    </row>
    <row r="21" spans="1:11" ht="50.1" customHeight="1">
      <c r="E21" s="39"/>
      <c r="F21" s="5"/>
      <c r="G21" s="5"/>
      <c r="K21" s="39"/>
    </row>
    <row r="22" spans="1:11" ht="50.1" customHeight="1">
      <c r="A22" s="33" t="s">
        <v>205</v>
      </c>
      <c r="B22" s="33"/>
      <c r="C22" s="33"/>
      <c r="D22" s="33"/>
      <c r="E22" s="33"/>
      <c r="F22" s="33"/>
      <c r="G22" s="33"/>
      <c r="H22" s="33"/>
      <c r="I22" s="5">
        <f>SUM(RBA_478910[Extended Price])</f>
        <v>6.5005199999999999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1ECB-E919-4492-974C-48D8F04B0F0F}">
  <dimension ref="A1:AF22"/>
  <sheetViews>
    <sheetView workbookViewId="0">
      <selection activeCell="D12" sqref="D12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37" t="s">
        <v>279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265</v>
      </c>
      <c r="B2" s="15" t="s">
        <v>267</v>
      </c>
      <c r="C2" s="15" t="s">
        <v>6</v>
      </c>
      <c r="D2" s="15" t="s">
        <v>235</v>
      </c>
      <c r="E2" s="15" t="s">
        <v>266</v>
      </c>
      <c r="F2" s="15" t="s">
        <v>7</v>
      </c>
      <c r="G2" s="16" t="s">
        <v>8</v>
      </c>
      <c r="H2" s="15" t="s">
        <v>11</v>
      </c>
      <c r="I2" s="17" t="s">
        <v>232</v>
      </c>
      <c r="J2" s="17" t="s">
        <v>283</v>
      </c>
      <c r="K2" s="17" t="s">
        <v>284</v>
      </c>
      <c r="L2" s="40" t="s">
        <v>301</v>
      </c>
    </row>
    <row r="3" spans="1:32" ht="50.1" customHeight="1">
      <c r="A3" s="41" t="s">
        <v>325</v>
      </c>
      <c r="C3" s="41">
        <v>1</v>
      </c>
      <c r="D3" t="s">
        <v>236</v>
      </c>
      <c r="E3" s="39" t="str">
        <f t="shared" ref="E3" si="0">HYPERLINK("https://amzn.to/3p4Z7Zp", "PETG")</f>
        <v>PETG</v>
      </c>
      <c r="F3" s="5">
        <f>0.01899*20</f>
        <v>0.37980000000000003</v>
      </c>
      <c r="G3" s="5">
        <f>RBA_478911[[#This Row],[Unit Price]]*RBA_478911[[#This Row],[Quantity]]</f>
        <v>0.37980000000000003</v>
      </c>
      <c r="H3" t="s">
        <v>298</v>
      </c>
      <c r="I3" t="s">
        <v>234</v>
      </c>
      <c r="K3" s="39"/>
      <c r="L3" s="7">
        <f>SUM(RBA_478911[Extended Price])</f>
        <v>6.5005199999999999</v>
      </c>
    </row>
    <row r="4" spans="1:32" ht="50.1" customHeight="1">
      <c r="A4" s="41" t="s">
        <v>316</v>
      </c>
      <c r="C4" s="41">
        <v>1</v>
      </c>
      <c r="D4" t="s">
        <v>236</v>
      </c>
      <c r="E4" s="39" t="str">
        <f>HYPERLINK("https://amzn.to/3p4Z7Zp", "PETG")</f>
        <v>PETG</v>
      </c>
      <c r="F4" s="5">
        <f>0.01899*8</f>
        <v>0.15192</v>
      </c>
      <c r="G4" s="5">
        <f>RBA_478911[[#This Row],[Unit Price]]*RBA_478911[[#This Row],[Quantity]]</f>
        <v>0.15192</v>
      </c>
      <c r="H4" t="s">
        <v>319</v>
      </c>
      <c r="I4" t="s">
        <v>234</v>
      </c>
      <c r="K4" s="39"/>
    </row>
    <row r="5" spans="1:32" ht="50.1" customHeight="1">
      <c r="A5" s="41" t="s">
        <v>326</v>
      </c>
      <c r="C5" s="41">
        <v>4</v>
      </c>
      <c r="D5" t="s">
        <v>236</v>
      </c>
      <c r="E5" s="39" t="str">
        <f>HYPERLINK("https://amzn.to/3t3zuJQ", "F606ZZ")</f>
        <v>F606ZZ</v>
      </c>
      <c r="F5" s="5">
        <f>12.7/10</f>
        <v>1.27</v>
      </c>
      <c r="G5" s="5">
        <f>RBA_478911[[#This Row],[Unit Price]]*RBA_478911[[#This Row],[Quantity]]</f>
        <v>5.08</v>
      </c>
      <c r="K5" s="39"/>
    </row>
    <row r="6" spans="1:32" ht="50.1" customHeight="1">
      <c r="A6" s="41" t="s">
        <v>318</v>
      </c>
      <c r="C6" s="41">
        <v>2</v>
      </c>
      <c r="D6" t="s">
        <v>293</v>
      </c>
      <c r="E6" s="39" t="str">
        <f>HYPERLINK("https://www.mcmaster.com/92095A223/", "McMaster")</f>
        <v>McMaster</v>
      </c>
      <c r="F6" s="5">
        <f>11.11/25</f>
        <v>0.44439999999999996</v>
      </c>
      <c r="G6" s="5">
        <f>RBA_478911[[#This Row],[Unit Price]]*RBA_478911[[#This Row],[Quantity]]</f>
        <v>0.88879999999999992</v>
      </c>
      <c r="H6" t="s">
        <v>321</v>
      </c>
      <c r="I6" t="s">
        <v>305</v>
      </c>
      <c r="K6" s="39" t="str">
        <f>HYPERLINK("https://amzn.to/3sVaTGL", "Amazon")</f>
        <v>Amazon</v>
      </c>
    </row>
    <row r="7" spans="1:32" ht="50.1" customHeight="1">
      <c r="A7" s="38"/>
      <c r="C7" s="38"/>
      <c r="E7" s="39"/>
      <c r="F7" s="5"/>
      <c r="G7" s="5"/>
      <c r="K7" s="39"/>
    </row>
    <row r="8" spans="1:32" ht="50.1" customHeight="1">
      <c r="A8" s="38"/>
      <c r="C8" s="38"/>
      <c r="E8" s="39"/>
      <c r="F8" s="5"/>
      <c r="G8" s="5"/>
      <c r="K8" s="39"/>
    </row>
    <row r="9" spans="1:32" ht="50.1" customHeight="1">
      <c r="A9" s="38"/>
      <c r="C9" s="38"/>
      <c r="E9" s="39"/>
      <c r="F9" s="5"/>
      <c r="G9" s="5"/>
      <c r="K9" s="39"/>
    </row>
    <row r="10" spans="1:32" ht="50.1" customHeight="1">
      <c r="A10" s="38"/>
      <c r="C10" s="38"/>
      <c r="E10" s="39"/>
      <c r="F10" s="5"/>
      <c r="G10" s="5"/>
      <c r="K10" s="39"/>
    </row>
    <row r="11" spans="1:32" ht="50.1" customHeight="1">
      <c r="A11" s="38"/>
      <c r="C11" s="38"/>
      <c r="E11" s="39"/>
      <c r="F11" s="5"/>
      <c r="G11" s="5"/>
      <c r="K11" s="39"/>
    </row>
    <row r="12" spans="1:32" ht="50.1" customHeight="1">
      <c r="A12" s="38"/>
      <c r="C12" s="38"/>
      <c r="E12" s="39"/>
      <c r="F12" s="5"/>
      <c r="G12" s="5"/>
      <c r="K12" s="39"/>
    </row>
    <row r="13" spans="1:32" ht="50.1" customHeight="1">
      <c r="A13" s="38"/>
      <c r="C13" s="38"/>
      <c r="E13" s="39"/>
      <c r="F13" s="5"/>
      <c r="G13" s="5"/>
      <c r="K13" s="39"/>
    </row>
    <row r="14" spans="1:32" ht="50.1" customHeight="1">
      <c r="A14" s="38"/>
      <c r="C14" s="38"/>
      <c r="E14" s="39"/>
      <c r="F14" s="5"/>
      <c r="G14" s="5"/>
      <c r="K14" s="39"/>
    </row>
    <row r="15" spans="1:32" ht="50.1" customHeight="1">
      <c r="A15" s="38"/>
      <c r="C15" s="38"/>
      <c r="E15" s="39"/>
      <c r="F15" s="5"/>
      <c r="G15" s="5"/>
      <c r="K15" s="39"/>
    </row>
    <row r="16" spans="1:32" ht="50.1" customHeight="1">
      <c r="A16" s="38"/>
      <c r="C16" s="38"/>
      <c r="E16" s="39"/>
      <c r="F16" s="5"/>
      <c r="G16" s="5"/>
      <c r="K16" s="39"/>
    </row>
    <row r="17" spans="1:11" ht="50.1" customHeight="1">
      <c r="E17" s="39"/>
      <c r="F17" s="5"/>
      <c r="G17" s="5"/>
      <c r="K17" s="39"/>
    </row>
    <row r="18" spans="1:11" ht="50.1" customHeight="1">
      <c r="E18" s="39"/>
      <c r="G18" s="5"/>
      <c r="K18" s="39"/>
    </row>
    <row r="19" spans="1:11" ht="50.1" customHeight="1">
      <c r="E19" s="39"/>
      <c r="F19" s="5"/>
      <c r="G19" s="5"/>
      <c r="K19" s="39"/>
    </row>
    <row r="20" spans="1:11" ht="50.1" customHeight="1">
      <c r="E20" s="39"/>
      <c r="F20" s="5"/>
      <c r="G20" s="5"/>
      <c r="K20" s="39"/>
    </row>
    <row r="21" spans="1:11" ht="50.1" customHeight="1">
      <c r="E21" s="39"/>
      <c r="F21" s="5"/>
      <c r="G21" s="5"/>
      <c r="K21" s="39"/>
    </row>
    <row r="22" spans="1:11" ht="50.1" customHeight="1">
      <c r="A22" s="33" t="s">
        <v>205</v>
      </c>
      <c r="B22" s="33"/>
      <c r="C22" s="33"/>
      <c r="D22" s="33"/>
      <c r="E22" s="33"/>
      <c r="F22" s="33"/>
      <c r="G22" s="33"/>
      <c r="H22" s="33"/>
      <c r="I22" s="5">
        <f>SUM(RBA_478911[Extended Price])</f>
        <v>6.5005199999999999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Electrical </vt:lpstr>
      <vt:lpstr>Mechanical - Carriage Assembly</vt:lpstr>
      <vt:lpstr>Mechanical - Buffer</vt:lpstr>
      <vt:lpstr>Mechanical - X_CarriageFWD_V2_1</vt:lpstr>
      <vt:lpstr>Mechanical - X_CarriageFWDBeari</vt:lpstr>
      <vt:lpstr>Mechanical - Rail_AssemblyV2_0</vt:lpstr>
      <vt:lpstr>Mechanical 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2022-02-22T02:32:41Z</dcterms:modified>
</cp:coreProperties>
</file>