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drawings/drawing6.xml" ContentType="application/vnd.openxmlformats-officedocument.drawing+xml"/>
  <Override PartName="/xl/tables/table10.xml" ContentType="application/vnd.openxmlformats-officedocument.spreadsheetml.table+xml"/>
  <Override PartName="/xl/drawings/drawing7.xml" ContentType="application/vnd.openxmlformats-officedocument.drawing+xml"/>
  <Override PartName="/xl/tables/table11.xml" ContentType="application/vnd.openxmlformats-officedocument.spreadsheetml.table+xml"/>
  <Override PartName="/xl/drawings/drawing8.xml" ContentType="application/vnd.openxmlformats-officedocument.drawing+xml"/>
  <Override PartName="/xl/tables/table12.xml" ContentType="application/vnd.openxmlformats-officedocument.spreadsheetml.table+xml"/>
  <Override PartName="/xl/drawings/drawing9.xml" ContentType="application/vnd.openxmlformats-officedocument.drawing+xml"/>
  <Override PartName="/xl/tables/table13.xml" ContentType="application/vnd.openxmlformats-officedocument.spreadsheetml.table+xml"/>
  <Override PartName="/xl/drawings/drawing10.xml" ContentType="application/vnd.openxmlformats-officedocument.drawing+xml"/>
  <Override PartName="/xl/tables/table14.xml" ContentType="application/vnd.openxmlformats-officedocument.spreadsheetml.table+xml"/>
  <Override PartName="/xl/drawings/drawing11.xml" ContentType="application/vnd.openxmlformats-officedocument.drawing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an Brusind\Documents\GitHub\HyperRail\"/>
    </mc:Choice>
  </mc:AlternateContent>
  <xr:revisionPtr revIDLastSave="0" documentId="8_{307538C6-9C45-42BA-8762-C1513BCE34B3}" xr6:coauthVersionLast="47" xr6:coauthVersionMax="47" xr10:uidLastSave="{00000000-0000-0000-0000-000000000000}"/>
  <bookViews>
    <workbookView xWindow="-120" yWindow="-120" windowWidth="29040" windowHeight="15840" tabRatio="818" firstSheet="2" activeTab="2" xr2:uid="{9AA5CA3B-103F-4503-BB38-84DF181EF15E}"/>
  </bookViews>
  <sheets>
    <sheet name="Overall" sheetId="1" r:id="rId1"/>
    <sheet name="Electrical " sheetId="2" r:id="rId2"/>
    <sheet name="Mechanical - Rail_AssemblyV2_0" sheetId="9" r:id="rId3"/>
    <sheet name="Mechanical - Ebox_Assy" sheetId="16" r:id="rId4"/>
    <sheet name="Mechanical - Top_Rail_Full" sheetId="12" r:id="rId5"/>
    <sheet name="Mechanical - Carriage Assembly" sheetId="4" r:id="rId6"/>
    <sheet name="Mechanical - Top_Rail_Section" sheetId="13" r:id="rId7"/>
    <sheet name="Mechanical - Yaxis_Carriage" sheetId="14" r:id="rId8"/>
    <sheet name="Mechanical - Buffer" sheetId="6" r:id="rId9"/>
    <sheet name="Mechanical - X_CarriageFWD_V2_1" sheetId="7" r:id="rId10"/>
    <sheet name="Mechanical - X_Carriage_v2_1" sheetId="15" r:id="rId11"/>
    <sheet name="Mechanical - X_CarriageFWDBeari" sheetId="8" r:id="rId12"/>
    <sheet name="Mechanical - Bottom_Foot_Assemb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6" l="1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F9" i="16"/>
  <c r="E9" i="16"/>
  <c r="F17" i="16"/>
  <c r="F16" i="16"/>
  <c r="F4" i="1"/>
  <c r="F7" i="1"/>
  <c r="G4" i="16"/>
  <c r="F22" i="16"/>
  <c r="E22" i="16"/>
  <c r="K23" i="16"/>
  <c r="F23" i="16"/>
  <c r="E23" i="16"/>
  <c r="F21" i="16"/>
  <c r="E21" i="16"/>
  <c r="F19" i="16"/>
  <c r="E19" i="16"/>
  <c r="F18" i="16"/>
  <c r="E18" i="16"/>
  <c r="F15" i="16"/>
  <c r="E15" i="16"/>
  <c r="F14" i="16"/>
  <c r="E14" i="16"/>
  <c r="F13" i="16"/>
  <c r="E13" i="16"/>
  <c r="E11" i="16"/>
  <c r="F10" i="16"/>
  <c r="E10" i="16"/>
  <c r="E8" i="16"/>
  <c r="F7" i="16"/>
  <c r="E7" i="16"/>
  <c r="E6" i="16"/>
  <c r="F5" i="16"/>
  <c r="E5" i="16"/>
  <c r="E4" i="16"/>
  <c r="G3" i="16"/>
  <c r="F3" i="16"/>
  <c r="F20" i="16"/>
  <c r="E20" i="16"/>
  <c r="E17" i="16"/>
  <c r="E16" i="16"/>
  <c r="F12" i="16"/>
  <c r="E12" i="16"/>
  <c r="F3" i="6"/>
  <c r="E3" i="6"/>
  <c r="F4" i="15"/>
  <c r="E4" i="15"/>
  <c r="F4" i="7"/>
  <c r="E4" i="7"/>
  <c r="G4" i="12"/>
  <c r="G5" i="12"/>
  <c r="G6" i="12"/>
  <c r="G7" i="12"/>
  <c r="G4" i="14"/>
  <c r="G5" i="14"/>
  <c r="G7" i="14"/>
  <c r="G8" i="14"/>
  <c r="G11" i="14"/>
  <c r="G14" i="14"/>
  <c r="G15" i="14"/>
  <c r="G16" i="14"/>
  <c r="G17" i="14"/>
  <c r="G18" i="14"/>
  <c r="G19" i="14"/>
  <c r="G20" i="14"/>
  <c r="G21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E35" i="14"/>
  <c r="F35" i="14"/>
  <c r="F32" i="14"/>
  <c r="E32" i="14"/>
  <c r="F31" i="14"/>
  <c r="E31" i="14"/>
  <c r="F24" i="14"/>
  <c r="E24" i="14"/>
  <c r="F23" i="14"/>
  <c r="E23" i="14"/>
  <c r="F22" i="14"/>
  <c r="G22" i="14" s="1"/>
  <c r="F21" i="14"/>
  <c r="E21" i="14"/>
  <c r="F18" i="14"/>
  <c r="E18" i="14"/>
  <c r="F17" i="14"/>
  <c r="E17" i="14"/>
  <c r="E15" i="14"/>
  <c r="G4" i="15"/>
  <c r="G5" i="15"/>
  <c r="G6" i="15"/>
  <c r="G7" i="15"/>
  <c r="G8" i="15"/>
  <c r="F7" i="15"/>
  <c r="E7" i="15"/>
  <c r="F6" i="15"/>
  <c r="E6" i="15"/>
  <c r="K8" i="15"/>
  <c r="F8" i="15"/>
  <c r="E8" i="15"/>
  <c r="F5" i="15"/>
  <c r="E5" i="15"/>
  <c r="F3" i="15"/>
  <c r="G3" i="15" s="1"/>
  <c r="E3" i="15"/>
  <c r="F4" i="14"/>
  <c r="E4" i="14"/>
  <c r="F34" i="14"/>
  <c r="E34" i="14"/>
  <c r="K33" i="14"/>
  <c r="F33" i="14"/>
  <c r="E33" i="14"/>
  <c r="F30" i="14"/>
  <c r="E30" i="14"/>
  <c r="K29" i="14"/>
  <c r="F29" i="14"/>
  <c r="E29" i="14"/>
  <c r="K28" i="14"/>
  <c r="F28" i="14"/>
  <c r="E28" i="14"/>
  <c r="E25" i="14"/>
  <c r="F20" i="14"/>
  <c r="E20" i="14"/>
  <c r="E19" i="14"/>
  <c r="E16" i="14"/>
  <c r="E14" i="14"/>
  <c r="F11" i="14"/>
  <c r="F3" i="4"/>
  <c r="K11" i="14"/>
  <c r="E11" i="14"/>
  <c r="F8" i="14"/>
  <c r="F5" i="14"/>
  <c r="E5" i="14"/>
  <c r="F3" i="14"/>
  <c r="E3" i="14"/>
  <c r="E26" i="14"/>
  <c r="E27" i="14"/>
  <c r="K25" i="14"/>
  <c r="K26" i="14"/>
  <c r="K27" i="14"/>
  <c r="K31" i="14"/>
  <c r="K32" i="14"/>
  <c r="G3" i="14"/>
  <c r="F7" i="12"/>
  <c r="E7" i="12"/>
  <c r="E6" i="12"/>
  <c r="F4" i="12"/>
  <c r="E4" i="12"/>
  <c r="C3" i="12"/>
  <c r="G3" i="12" s="1"/>
  <c r="F3" i="12"/>
  <c r="G3" i="13"/>
  <c r="K3" i="13"/>
  <c r="F3" i="13"/>
  <c r="E3" i="13"/>
  <c r="F4" i="13"/>
  <c r="E4" i="13"/>
  <c r="G4" i="13"/>
  <c r="I22" i="13"/>
  <c r="E5" i="12"/>
  <c r="G4" i="4"/>
  <c r="G6" i="4"/>
  <c r="G7" i="4"/>
  <c r="G8" i="4"/>
  <c r="G10" i="4"/>
  <c r="G11" i="4"/>
  <c r="G12" i="4"/>
  <c r="G14" i="4"/>
  <c r="G16" i="4"/>
  <c r="F16" i="4"/>
  <c r="E16" i="4"/>
  <c r="K7" i="12"/>
  <c r="K6" i="12"/>
  <c r="G4" i="9"/>
  <c r="G6" i="9"/>
  <c r="G7" i="9"/>
  <c r="G8" i="9"/>
  <c r="G9" i="9"/>
  <c r="G10" i="9"/>
  <c r="G11" i="9"/>
  <c r="G12" i="9"/>
  <c r="G13" i="9"/>
  <c r="G14" i="9"/>
  <c r="G15" i="9"/>
  <c r="G16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E35" i="9"/>
  <c r="F6" i="9"/>
  <c r="F7" i="9"/>
  <c r="F11" i="9"/>
  <c r="F14" i="9"/>
  <c r="F16" i="9"/>
  <c r="F21" i="9"/>
  <c r="F22" i="9"/>
  <c r="F23" i="9"/>
  <c r="F24" i="9"/>
  <c r="F26" i="9"/>
  <c r="F27" i="9"/>
  <c r="F28" i="9"/>
  <c r="F29" i="9"/>
  <c r="F30" i="9"/>
  <c r="F31" i="9"/>
  <c r="F32" i="9"/>
  <c r="F33" i="9"/>
  <c r="F34" i="9"/>
  <c r="K7" i="10"/>
  <c r="G7" i="10"/>
  <c r="F7" i="10"/>
  <c r="E7" i="10"/>
  <c r="K6" i="10"/>
  <c r="F6" i="10"/>
  <c r="E6" i="10"/>
  <c r="F4" i="10"/>
  <c r="E5" i="10"/>
  <c r="F3" i="10"/>
  <c r="E28" i="9"/>
  <c r="E27" i="9"/>
  <c r="E29" i="9"/>
  <c r="E30" i="9"/>
  <c r="K33" i="9"/>
  <c r="E33" i="9"/>
  <c r="K34" i="9"/>
  <c r="E34" i="9"/>
  <c r="K32" i="9"/>
  <c r="E32" i="9"/>
  <c r="E25" i="9"/>
  <c r="E20" i="9"/>
  <c r="K16" i="9"/>
  <c r="E16" i="9"/>
  <c r="E15" i="9"/>
  <c r="E13" i="9"/>
  <c r="E12" i="9"/>
  <c r="E10" i="9"/>
  <c r="E9" i="9"/>
  <c r="E8" i="9"/>
  <c r="E19" i="9"/>
  <c r="E18" i="9"/>
  <c r="E6" i="9"/>
  <c r="E3" i="9"/>
  <c r="E7" i="9"/>
  <c r="E11" i="9"/>
  <c r="E14" i="9"/>
  <c r="E24" i="9"/>
  <c r="E23" i="9"/>
  <c r="E22" i="9"/>
  <c r="E31" i="9"/>
  <c r="E21" i="9"/>
  <c r="G6" i="10"/>
  <c r="G5" i="10"/>
  <c r="G4" i="10"/>
  <c r="E4" i="10"/>
  <c r="G3" i="10"/>
  <c r="E3" i="10"/>
  <c r="G3" i="9"/>
  <c r="F14" i="4"/>
  <c r="L3" i="8"/>
  <c r="G3" i="8"/>
  <c r="F3" i="8"/>
  <c r="E3" i="8"/>
  <c r="G6" i="8"/>
  <c r="K6" i="8"/>
  <c r="F6" i="8"/>
  <c r="E6" i="8"/>
  <c r="G5" i="8"/>
  <c r="F5" i="8"/>
  <c r="E5" i="8"/>
  <c r="G4" i="8"/>
  <c r="F4" i="8"/>
  <c r="E4" i="8"/>
  <c r="F3" i="7"/>
  <c r="G3" i="7"/>
  <c r="E3" i="7"/>
  <c r="G4" i="7"/>
  <c r="K8" i="7"/>
  <c r="K7" i="7"/>
  <c r="E8" i="7"/>
  <c r="F8" i="7"/>
  <c r="F7" i="7"/>
  <c r="E7" i="7"/>
  <c r="G9" i="7"/>
  <c r="K9" i="7"/>
  <c r="F9" i="7"/>
  <c r="E9" i="7"/>
  <c r="F5" i="7"/>
  <c r="G5" i="7"/>
  <c r="E5" i="7"/>
  <c r="G6" i="7"/>
  <c r="K6" i="7"/>
  <c r="E6" i="7"/>
  <c r="K12" i="4"/>
  <c r="E12" i="4"/>
  <c r="F12" i="4"/>
  <c r="K11" i="4"/>
  <c r="F11" i="4"/>
  <c r="E11" i="4"/>
  <c r="K10" i="4"/>
  <c r="F10" i="4"/>
  <c r="E10" i="4"/>
  <c r="E8" i="4"/>
  <c r="K8" i="6"/>
  <c r="E8" i="6"/>
  <c r="E6" i="6"/>
  <c r="E7" i="6"/>
  <c r="E5" i="6"/>
  <c r="E6" i="4"/>
  <c r="E4" i="4"/>
  <c r="K7" i="4"/>
  <c r="F7" i="4"/>
  <c r="F6" i="4"/>
  <c r="F8" i="6"/>
  <c r="F7" i="6"/>
  <c r="F4" i="6"/>
  <c r="K4" i="6"/>
  <c r="E4" i="6"/>
  <c r="I22" i="8"/>
  <c r="G8" i="7"/>
  <c r="G7" i="7"/>
  <c r="K3" i="7"/>
  <c r="G8" i="6"/>
  <c r="G7" i="6"/>
  <c r="G6" i="6"/>
  <c r="G5" i="6"/>
  <c r="G4" i="6"/>
  <c r="G3" i="6"/>
  <c r="L3" i="6" s="1"/>
  <c r="K4" i="4"/>
  <c r="K8" i="4"/>
  <c r="K9" i="4"/>
  <c r="K13" i="4"/>
  <c r="K14" i="4"/>
  <c r="K15" i="4"/>
  <c r="K3" i="4"/>
  <c r="E7" i="4"/>
  <c r="E3" i="4"/>
  <c r="G3" i="4"/>
  <c r="L3" i="16" l="1"/>
  <c r="E8" i="1" s="1"/>
  <c r="F8" i="1" s="1"/>
  <c r="L3" i="7"/>
  <c r="L3" i="15"/>
  <c r="F6" i="12"/>
  <c r="L3" i="13"/>
  <c r="I22" i="10"/>
  <c r="L3" i="10"/>
  <c r="F5" i="4"/>
  <c r="G5" i="4" s="1"/>
  <c r="F9" i="4"/>
  <c r="G9" i="4" s="1"/>
  <c r="F10" i="14" l="1"/>
  <c r="G10" i="14" s="1"/>
  <c r="F13" i="14"/>
  <c r="G13" i="14" s="1"/>
  <c r="F12" i="14"/>
  <c r="G12" i="14" s="1"/>
  <c r="F9" i="14"/>
  <c r="G9" i="14" s="1"/>
  <c r="F13" i="4"/>
  <c r="G13" i="4" s="1"/>
  <c r="F15" i="4"/>
  <c r="G15" i="4" s="1"/>
  <c r="N7" i="1"/>
  <c r="Q7" i="1" s="1"/>
  <c r="R7" i="1" s="1"/>
  <c r="N8" i="1"/>
  <c r="Q8" i="1" s="1"/>
  <c r="R8" i="1" s="1"/>
  <c r="N6" i="1"/>
  <c r="Q6" i="1" s="1"/>
  <c r="R6" i="1" s="1"/>
  <c r="I56" i="2"/>
  <c r="I60" i="2" s="1"/>
  <c r="I52" i="2"/>
  <c r="E7" i="1" s="1"/>
  <c r="I24" i="2"/>
  <c r="L3" i="4" l="1"/>
  <c r="F17" i="9" s="1"/>
  <c r="G17" i="9" s="1"/>
  <c r="F5" i="9"/>
  <c r="G5" i="9" s="1"/>
  <c r="F6" i="14"/>
  <c r="G6" i="14" s="1"/>
  <c r="L3" i="14" s="1"/>
  <c r="F8" i="12" s="1"/>
  <c r="G8" i="12" s="1"/>
  <c r="I22" i="12" l="1"/>
  <c r="L3" i="12"/>
  <c r="E4" i="1" s="1"/>
  <c r="L3" i="9"/>
  <c r="E3" i="1" s="1"/>
  <c r="F3" i="1" s="1"/>
  <c r="L2" i="1" l="1"/>
</calcChain>
</file>

<file path=xl/sharedStrings.xml><?xml version="1.0" encoding="utf-8"?>
<sst xmlns="http://schemas.openxmlformats.org/spreadsheetml/2006/main" count="1145" uniqueCount="445">
  <si>
    <t>Manufacturer Part Number</t>
  </si>
  <si>
    <t>Manufacturer</t>
  </si>
  <si>
    <t>Digi-Key Part Number</t>
  </si>
  <si>
    <t>Customer Reference</t>
  </si>
  <si>
    <t>Packaging</t>
  </si>
  <si>
    <t>Part Status</t>
  </si>
  <si>
    <t>Quantity</t>
  </si>
  <si>
    <t>Unit Price</t>
  </si>
  <si>
    <t>Extended Price</t>
  </si>
  <si>
    <t>Quantity Available</t>
  </si>
  <si>
    <t>Mfg Std Lead Time</t>
  </si>
  <si>
    <t>Description</t>
  </si>
  <si>
    <t>RoHS Status</t>
  </si>
  <si>
    <t>Lead Free Status</t>
  </si>
  <si>
    <t>REACH Status</t>
  </si>
  <si>
    <t>LTST-C193TBKT-5A</t>
  </si>
  <si>
    <t>Lite-On Inc.</t>
  </si>
  <si>
    <t>160-1827-1-ND</t>
  </si>
  <si>
    <t>5V, 24V_ Integrated</t>
  </si>
  <si>
    <t>Cut Tape (CT)</t>
  </si>
  <si>
    <t>Active</t>
  </si>
  <si>
    <t>20 Weeks</t>
  </si>
  <si>
    <t>LED BLUE CLEAR CHIP SMD</t>
  </si>
  <si>
    <t>ROHS3 Compliant</t>
  </si>
  <si>
    <t>Lead free</t>
  </si>
  <si>
    <t>Not Available</t>
  </si>
  <si>
    <t>CL31A106KBHNNNE</t>
  </si>
  <si>
    <t>Samsung Electro-Mechanics</t>
  </si>
  <si>
    <t>1276-2876-1-ND</t>
  </si>
  <si>
    <t>C1, C2, C9, C11, C12_ Integrated</t>
  </si>
  <si>
    <t>28 Weeks</t>
  </si>
  <si>
    <t>CAP CER 10UF 50V X5R 1206</t>
  </si>
  <si>
    <t>REACH Unaffected</t>
  </si>
  <si>
    <t>CL10B104JB8NNNC</t>
  </si>
  <si>
    <t>1276-1033-1-ND</t>
  </si>
  <si>
    <t>C3, C4, C6, C7, C10_ Integrated</t>
  </si>
  <si>
    <t>CAP CER 0.1UF 50V X7R 0603</t>
  </si>
  <si>
    <t>0603B223K500CT</t>
  </si>
  <si>
    <t>Walsin Technology Corporation</t>
  </si>
  <si>
    <t>1292-1417-1-ND</t>
  </si>
  <si>
    <t>C5_ Integrated</t>
  </si>
  <si>
    <t>21 Weeks</t>
  </si>
  <si>
    <t>CAP CER 0.022UF 50V X7R 0603</t>
  </si>
  <si>
    <t>CL31B475KBHNNNE</t>
  </si>
  <si>
    <t>1276-2789-1-ND</t>
  </si>
  <si>
    <t>C8_ Integrated</t>
  </si>
  <si>
    <t>CAP CER 4.7UF 50V X7R 1206</t>
  </si>
  <si>
    <t>54602-908LF</t>
  </si>
  <si>
    <t>Amphenol ICC (FCI)</t>
  </si>
  <si>
    <t>609-1046-ND</t>
  </si>
  <si>
    <t>J1_ Integrated</t>
  </si>
  <si>
    <t>Bulk</t>
  </si>
  <si>
    <t>11 Weeks</t>
  </si>
  <si>
    <t>CONN MOD JACK 8P8C R/A UNSHLD</t>
  </si>
  <si>
    <t>RoHS Compliant</t>
  </si>
  <si>
    <t>54601-906WPLF</t>
  </si>
  <si>
    <t>609-4729-ND</t>
  </si>
  <si>
    <t>J2_ Integrated</t>
  </si>
  <si>
    <t>18 Weeks</t>
  </si>
  <si>
    <t>CONN MOD JACK 6P6C R/A UNSHLD</t>
  </si>
  <si>
    <t>OSTTE040161</t>
  </si>
  <si>
    <t>On Shore Technology Inc.</t>
  </si>
  <si>
    <t>ED2637-ND</t>
  </si>
  <si>
    <t>J3_ Integrated</t>
  </si>
  <si>
    <t>10 Weeks</t>
  </si>
  <si>
    <t>TERM BLK 4POS SIDE ENT 3.5MM PCB</t>
  </si>
  <si>
    <t>ERJ-6DSFR11V</t>
  </si>
  <si>
    <t>Panasonic Electronic Components</t>
  </si>
  <si>
    <t>P19309CT-ND</t>
  </si>
  <si>
    <t>R1, R2_ Integrated</t>
  </si>
  <si>
    <t>RES 0.11 OHM 1% 1/2W 0805</t>
  </si>
  <si>
    <t>RC0603FR-0720KL</t>
  </si>
  <si>
    <t>Yageo</t>
  </si>
  <si>
    <t>311-20.0KHRCT-ND</t>
  </si>
  <si>
    <t>R3, R5, R6, R7, R8, R9_ Integrated</t>
  </si>
  <si>
    <t>RES SMD 20K OHM 1% 1/10W 0603</t>
  </si>
  <si>
    <t>TC33X-2-203E</t>
  </si>
  <si>
    <t>Bourns Inc.</t>
  </si>
  <si>
    <t>TC33X-2-203ECT-ND</t>
  </si>
  <si>
    <t>R4_ Integrated</t>
  </si>
  <si>
    <t>TRIMMER 20K OHM 0.1W J LEAD TOP</t>
  </si>
  <si>
    <t>RMCF0603FT4K70</t>
  </si>
  <si>
    <t>Stackpole Electronics Inc</t>
  </si>
  <si>
    <t>RMCF0603FT4K70CT-ND</t>
  </si>
  <si>
    <t>R19_ Integrated</t>
  </si>
  <si>
    <t>RES 4.7K OHM 1% 1/10W 0603</t>
  </si>
  <si>
    <t>CRGCQ0603J470R</t>
  </si>
  <si>
    <t>TE Connectivity Passive Product</t>
  </si>
  <si>
    <t>A130089CT-ND</t>
  </si>
  <si>
    <t>R20_ Integrated</t>
  </si>
  <si>
    <t>19 Weeks</t>
  </si>
  <si>
    <t>CRGCQ 0603 470R 5%</t>
  </si>
  <si>
    <t>1825057-3</t>
  </si>
  <si>
    <t>TE Connectivity ALCOSWITCH Switches</t>
  </si>
  <si>
    <t>450-1364-ND</t>
  </si>
  <si>
    <t>SW1_ Integrated</t>
  </si>
  <si>
    <t>Tube</t>
  </si>
  <si>
    <t>23 Weeks</t>
  </si>
  <si>
    <t>SWITCH SLIDE DIP SPST 100MA 24V</t>
  </si>
  <si>
    <t>AS5047P-ATSM</t>
  </si>
  <si>
    <t>ams</t>
  </si>
  <si>
    <t>AS5047P-ATSMCT-ND</t>
  </si>
  <si>
    <t>U1_ Integrated</t>
  </si>
  <si>
    <t>14 Weeks</t>
  </si>
  <si>
    <t>ROTARY ENCODER MAGNETIC PROG</t>
  </si>
  <si>
    <t>TMC2209-LA-T</t>
  </si>
  <si>
    <t>Trinamic Motion Control GmbH</t>
  </si>
  <si>
    <t>1460-1398-1-ND</t>
  </si>
  <si>
    <t>U2_ Integrated</t>
  </si>
  <si>
    <t>6 Weeks</t>
  </si>
  <si>
    <t>IC MTR DRV 4.75-28V QFN28</t>
  </si>
  <si>
    <t>LMZM23601V5SILR</t>
  </si>
  <si>
    <t>Texas Instruments</t>
  </si>
  <si>
    <t>296-LMZM23601V5SILRCT-ND</t>
  </si>
  <si>
    <t>U3_ Integrated</t>
  </si>
  <si>
    <t>8 Weeks</t>
  </si>
  <si>
    <t>DC DC CONVERTER 5V</t>
  </si>
  <si>
    <t>MBR0520LT1G</t>
  </si>
  <si>
    <t>ON Semiconductor</t>
  </si>
  <si>
    <t>MBR0520LT1GOSCT-ND</t>
  </si>
  <si>
    <t>VD1, VD2_ Integrated</t>
  </si>
  <si>
    <t>DIODE SCHOTTKY 20V 500MA SOD123</t>
  </si>
  <si>
    <t>3_3V, 5V, 24V</t>
  </si>
  <si>
    <t>TAP106K025SCS</t>
  </si>
  <si>
    <t>AVX Corporation</t>
  </si>
  <si>
    <t>478-1841-ND</t>
  </si>
  <si>
    <t>C1, C2, C3</t>
  </si>
  <si>
    <t>CAP TANT 10UF 10% 25V RADIAL</t>
  </si>
  <si>
    <t>C1206C104K5RAC7800</t>
  </si>
  <si>
    <t>KEMET</t>
  </si>
  <si>
    <t>399-C1206C104K5RAC7800CT-ND</t>
  </si>
  <si>
    <t>C4, C6</t>
  </si>
  <si>
    <t>15 Weeks</t>
  </si>
  <si>
    <t>CAP CER 0.1UF 50V X7R 1206</t>
  </si>
  <si>
    <t>CL31B105KOFNNNE</t>
  </si>
  <si>
    <t>1276-1783-1-ND</t>
  </si>
  <si>
    <t>C5</t>
  </si>
  <si>
    <t>CAP CER 1UF 16V X7R 1206</t>
  </si>
  <si>
    <t>C11, C12</t>
  </si>
  <si>
    <t>690-005-299-043</t>
  </si>
  <si>
    <t>EDAC Inc.</t>
  </si>
  <si>
    <t>151-1206-1-ND</t>
  </si>
  <si>
    <t>J</t>
  </si>
  <si>
    <t>17 Weeks</t>
  </si>
  <si>
    <t>CONN RCPT USB2.0 MINI B SMD R/A</t>
  </si>
  <si>
    <t>J1, J2, J3, J4, J5, J6</t>
  </si>
  <si>
    <t>OSTTA020161</t>
  </si>
  <si>
    <t>ED2561-ND</t>
  </si>
  <si>
    <t>J7, J8, J9, J10, J11, J12, VIN (12 - 24V)</t>
  </si>
  <si>
    <t>TERM BLK 2POS SIDE ENTRY 5MM PCB</t>
  </si>
  <si>
    <t>Molex</t>
  </si>
  <si>
    <t>WM9315CT-ND</t>
  </si>
  <si>
    <t>J13</t>
  </si>
  <si>
    <t>CONN MICRO SD CARD PUSH-PULL R/A</t>
  </si>
  <si>
    <t>ESP32-WROOM-32E (8MB)</t>
  </si>
  <si>
    <t>Espressif Systems</t>
  </si>
  <si>
    <t>1965-ESP32-WROOM-32E(8MB)CT-ND</t>
  </si>
  <si>
    <t>M1</t>
  </si>
  <si>
    <t>RX TXRX MOD WIFI TRACE ANT SMD</t>
  </si>
  <si>
    <t>MBT2222ADW1T1G</t>
  </si>
  <si>
    <t>MBT2222ADW1T1GOSCT-ND</t>
  </si>
  <si>
    <t>Q1</t>
  </si>
  <si>
    <t>36 Weeks</t>
  </si>
  <si>
    <t>TRANS 2NPN 40V 0.6A SC88/SC70-6</t>
  </si>
  <si>
    <t>ERJ-6GEYJ822V</t>
  </si>
  <si>
    <t>P8.2KACT-ND</t>
  </si>
  <si>
    <t>R1, R2, R3, R4, R5, R6, R7, R8, R9, R10, R11, R1</t>
  </si>
  <si>
    <t>22 Weeks</t>
  </si>
  <si>
    <t>RES SMD 8.2K OHM 5% 1/8W 0805</t>
  </si>
  <si>
    <t>R19</t>
  </si>
  <si>
    <t>R20</t>
  </si>
  <si>
    <t>RC0603FR-07150RL</t>
  </si>
  <si>
    <t>311-150HRCT-ND</t>
  </si>
  <si>
    <t>R22</t>
  </si>
  <si>
    <t>RES SMD 150 OHM 1% 1/10W 0603</t>
  </si>
  <si>
    <t>1825910-6</t>
  </si>
  <si>
    <t>450-1650-ND</t>
  </si>
  <si>
    <t>S1, S2</t>
  </si>
  <si>
    <t>SWITCH TACTILE SPST-NO 0.05A 24V</t>
  </si>
  <si>
    <t>LM1117MPX-ADJ/NOPB</t>
  </si>
  <si>
    <t>LM1117MPX-ADJ/NOPBCT-ND</t>
  </si>
  <si>
    <t>U1</t>
  </si>
  <si>
    <t>12 Weeks</t>
  </si>
  <si>
    <t>IC REG LIN POS ADJ 800MA SOT223</t>
  </si>
  <si>
    <t>U2</t>
  </si>
  <si>
    <t>SN74AHCT595D</t>
  </si>
  <si>
    <t>296-14308-5-ND</t>
  </si>
  <si>
    <t>U3, U4, U6</t>
  </si>
  <si>
    <t>IC 8-BIT SHIFT REGISTER 16-SOIC</t>
  </si>
  <si>
    <t>SN74LVC3G14DCUT</t>
  </si>
  <si>
    <t>296-32334-1-ND</t>
  </si>
  <si>
    <t>U7</t>
  </si>
  <si>
    <t>IC INVERT SCHMITT 3CH 3IN 8VSSOP</t>
  </si>
  <si>
    <t>VD1, VD2</t>
  </si>
  <si>
    <t>CP2102-GMR</t>
  </si>
  <si>
    <t>Silicon Labs</t>
  </si>
  <si>
    <t>336-1160-1-ND</t>
  </si>
  <si>
    <t>U5</t>
  </si>
  <si>
    <t>Not For New Designs</t>
  </si>
  <si>
    <t>IC USB-TO-UART BRIDGE 28VQFN</t>
  </si>
  <si>
    <t>ESP32 GRBL Controller PCB</t>
  </si>
  <si>
    <t>Integrated Stepper Driver PCB BOM</t>
  </si>
  <si>
    <t>ESP32 GRBL Controller PCB BOM</t>
  </si>
  <si>
    <t>Main System Assembly</t>
  </si>
  <si>
    <t>Subtotal</t>
  </si>
  <si>
    <t>Box</t>
  </si>
  <si>
    <t>SENSOR REED SW SPST-NC W LEADS</t>
  </si>
  <si>
    <t>BC-5SE100M</t>
  </si>
  <si>
    <t>Bel Inc.</t>
  </si>
  <si>
    <t>1847-1059-ND</t>
  </si>
  <si>
    <t>CABLE MOD 8P8C PLUG-PLUG 32.81'</t>
  </si>
  <si>
    <t>945-13541-0000-000</t>
  </si>
  <si>
    <t xml:space="preserve">Nvidia </t>
  </si>
  <si>
    <t>Main SBC</t>
  </si>
  <si>
    <t>Single Board Computer, NVidia Jetson Nano 2GB Development Kit</t>
  </si>
  <si>
    <t>Motor Connector Wire (30ft)</t>
  </si>
  <si>
    <t>Side Rail Assembly</t>
  </si>
  <si>
    <t>Comments</t>
  </si>
  <si>
    <t xml:space="preserve">* Price is estimated based on Cura Slicer weight estimates for 3D printed part and $/Kg of Amazon Basics PETG Filament </t>
  </si>
  <si>
    <t>Vendor</t>
  </si>
  <si>
    <t>Amazon</t>
  </si>
  <si>
    <t>Custom</t>
  </si>
  <si>
    <t>Top Carriage Assembly</t>
  </si>
  <si>
    <t>Overall Cost</t>
  </si>
  <si>
    <t>Category</t>
  </si>
  <si>
    <t>Mechanical</t>
  </si>
  <si>
    <t xml:space="preserve">Electrical </t>
  </si>
  <si>
    <t>Height (m)</t>
  </si>
  <si>
    <t>Width (m)</t>
  </si>
  <si>
    <t>Length (m)</t>
  </si>
  <si>
    <t>Base Parameters</t>
  </si>
  <si>
    <t>Add-On Modules</t>
  </si>
  <si>
    <t>Number</t>
  </si>
  <si>
    <t>Total</t>
  </si>
  <si>
    <t>(ft)</t>
  </si>
  <si>
    <t>MODIFY THESE</t>
  </si>
  <si>
    <t>Carriage Assembly</t>
  </si>
  <si>
    <t>Long plate for gripping Closed Belt structure</t>
  </si>
  <si>
    <t>Short plate for supporting main frame</t>
  </si>
  <si>
    <t>Part Number - Assembly</t>
  </si>
  <si>
    <t>Vendor Link</t>
  </si>
  <si>
    <t>Thumbnail</t>
  </si>
  <si>
    <t>20-2040_150mm</t>
  </si>
  <si>
    <t>14056_m</t>
  </si>
  <si>
    <t>Buffer</t>
  </si>
  <si>
    <t>Carriage_Horizontal_Spacer</t>
  </si>
  <si>
    <t>hex spacer standoff nut M5 L30</t>
  </si>
  <si>
    <t>Buffer_L</t>
  </si>
  <si>
    <t>Bolt M5 10mm</t>
  </si>
  <si>
    <t>DIN 508, T-Slot Nut M5</t>
  </si>
  <si>
    <t>20-2040_300mm</t>
  </si>
  <si>
    <t>5537T425_T-SLOTTED FRAMING</t>
  </si>
  <si>
    <t>X_CarriageFWD_V2_1</t>
  </si>
  <si>
    <t>X_CarriageFWDBearing_V2_1_Short</t>
  </si>
  <si>
    <t>X_CarriageBWD_V2_0</t>
  </si>
  <si>
    <t>20-2040 is a 20mm x 40mm metric 20 series rectangular T-slot profile</t>
  </si>
  <si>
    <t>Can also be bought on Amazon for cheaper (quality not guaranteed)</t>
  </si>
  <si>
    <t>Alternative Vendor</t>
  </si>
  <si>
    <t>Alternative Vendor Link</t>
  </si>
  <si>
    <t>The 2 hole - 20mm slotted inside corner bracket with dual support is an external, die-cast fastening method that creates a 90 degree connection</t>
  </si>
  <si>
    <t>Can be bought on Amazon as a pack of 50 for cheaper per/unit</t>
  </si>
  <si>
    <t>11mm_BearingWheel</t>
  </si>
  <si>
    <t>Bolt M5 50mm</t>
  </si>
  <si>
    <t>5mm_Spacer</t>
  </si>
  <si>
    <t>8mm_Spacer</t>
  </si>
  <si>
    <t>Buffer_Mount</t>
  </si>
  <si>
    <t>Nut M5</t>
  </si>
  <si>
    <t>McMaster</t>
  </si>
  <si>
    <t xml:space="preserve">Bought as a pack of 25 </t>
  </si>
  <si>
    <r>
      <t xml:space="preserve">Replacement wheel with bearings – </t>
    </r>
    <r>
      <rPr>
        <sz val="11"/>
        <color rgb="FF333333"/>
        <rFont val="Calibri"/>
        <family val="2"/>
        <scheme val="minor"/>
      </rPr>
      <t>Outer Delrin wheel shell</t>
    </r>
  </si>
  <si>
    <t>Small 5mm spacer - 3D printed with PETG (price estimated on $/Kg for PETG on Amazon</t>
  </si>
  <si>
    <t>Small 8mm spacer - 3D printed with PETG (price estimated on $/Kg for PETG on Amazon</t>
  </si>
  <si>
    <t>Right Angle Bracket for wheel axis - 3D printed with PETG (price estimated on $/Kg for PETG on Amazon</t>
  </si>
  <si>
    <t>Zinc-Plated Steel Hex Nut, Medium-Strength, Class 8, M5 x 0.8 mm Thread</t>
  </si>
  <si>
    <t>Can be bought on Amazon as a pack of 50 for cheaper per/unit -  Should be Zinc plated or Stainless steel for rust prevention</t>
  </si>
  <si>
    <t>SubTotal</t>
  </si>
  <si>
    <t>Buffer used on the side of the carriage to prevent track jumps</t>
  </si>
  <si>
    <t>6mm Spacer to keep horizontal 150mm 2040 from touching lower belt</t>
  </si>
  <si>
    <t>Custom Assembly</t>
  </si>
  <si>
    <t>Should be Zinc plated or Stainless steel for rust prevention, Bought as a pack of 100</t>
  </si>
  <si>
    <t>18-8 Stainless Steel, 10mm Hex, 30mm Long, M5 x 0.8mm Thread</t>
  </si>
  <si>
    <t>DigiKey</t>
  </si>
  <si>
    <t>Exact same parts as the Buffer, but the screw is flipped so it's Left-Handed rather than Right-Handed</t>
  </si>
  <si>
    <t>Passivated 18-8 Stainless Steel, M5 x 0.80 mm Thread, 10mm Long</t>
  </si>
  <si>
    <t>Bought as a pack of 100</t>
  </si>
  <si>
    <t>2020 Series M5 Half Round Roll in Spring T Nuts</t>
  </si>
  <si>
    <t>Can be bought on Mcmaster for 5x the price</t>
  </si>
  <si>
    <t>End-Feed Triple Nut, M5 Thread Size</t>
  </si>
  <si>
    <t>Bought as a pack of 4. BE VERY CAREFUL WITH THE AMAZON ALTERNATIVES THEY SOMETIMES DON'T FIT</t>
  </si>
  <si>
    <t>X_Carriage_Plate</t>
  </si>
  <si>
    <t>4mm_Roller_Spacer_simple</t>
  </si>
  <si>
    <t>Bolt M5 30mm</t>
  </si>
  <si>
    <t>Bolt M5 45mm</t>
  </si>
  <si>
    <t>Spacer to hold location of Delrin Wheels on track - 3D printed with PETG (price estimated on $/Kg for PETG on Amazon</t>
  </si>
  <si>
    <t>Passivated 18-8 Stainless Steel, M5 x 0.80 mm Thread, 30mm Long</t>
  </si>
  <si>
    <t>Passivated 18-8 Stainless Steel, M5 x 0.80 mm Thread, 45mm Long</t>
  </si>
  <si>
    <t xml:space="preserve"> X_CarriageFWD_V2_1</t>
  </si>
  <si>
    <t xml:space="preserve">Plate for X Carriage Wheels </t>
  </si>
  <si>
    <t>Same as FWD Carriage Plate but this has 2 more M5 nuts and the top screws are reversed</t>
  </si>
  <si>
    <t>X_Carriage_Plate_Short</t>
  </si>
  <si>
    <t>F606ZZFlanged</t>
  </si>
  <si>
    <t>Rail_AssemblyV2_0</t>
  </si>
  <si>
    <t>23HS8430B</t>
  </si>
  <si>
    <t>2804S_NEMA2115_1Gearbox</t>
  </si>
  <si>
    <t>Main</t>
  </si>
  <si>
    <t>20-4040_2m</t>
  </si>
  <si>
    <t>NEMA23_Shroud</t>
  </si>
  <si>
    <t>98952A059_ALUM MALE-FEM THRDED HEX STANDOFF</t>
  </si>
  <si>
    <t>95783A039_NYLON 6-6 MALE-FEM THRDED HEX STANDOFF</t>
  </si>
  <si>
    <t>HFS5-4060-2125</t>
  </si>
  <si>
    <t>Integrated_Stepper_NEMA23_Mount</t>
  </si>
  <si>
    <t>20-2568_d</t>
  </si>
  <si>
    <t>5mm_bore_10mm_width_idlepulley</t>
  </si>
  <si>
    <t>Tape_Belt_Layer</t>
  </si>
  <si>
    <t>SDP_sdpsi_a_6a55m028df0912</t>
  </si>
  <si>
    <t>SDP_sdpsi_a_6r25mc1000</t>
  </si>
  <si>
    <t>Carriage_Assembly</t>
  </si>
  <si>
    <t>NEMA23_StepperonlineMount</t>
  </si>
  <si>
    <t>59145_Sensor</t>
  </si>
  <si>
    <t>RightAngle_SideBracket</t>
  </si>
  <si>
    <t>Cable_Guide_Holder</t>
  </si>
  <si>
    <t>RightAngle_PulleySupport</t>
  </si>
  <si>
    <t>MagnetHolder</t>
  </si>
  <si>
    <t>MagnetActuatorHolder</t>
  </si>
  <si>
    <t>59145_Actuator</t>
  </si>
  <si>
    <t>Bottom_Foot_Assembly</t>
  </si>
  <si>
    <t>Bolt M5 8mm</t>
  </si>
  <si>
    <t>Bolt M5 12mm</t>
  </si>
  <si>
    <t>Bolt M5 25mm</t>
  </si>
  <si>
    <t>Bolt M4 10mm</t>
  </si>
  <si>
    <t>RightAngle_Bracket_60mm</t>
  </si>
  <si>
    <t>Custom - Electronics</t>
  </si>
  <si>
    <t>Stepper Online</t>
  </si>
  <si>
    <t xml:space="preserve">Included with 23HS8430B </t>
  </si>
  <si>
    <t xml:space="preserve">NEMA 23 Motor w/ Planetary Gearbox (47:1 reduction) </t>
  </si>
  <si>
    <t>Bought as a pack (both motor and gearbox)</t>
  </si>
  <si>
    <t>Gearbox included in motor price</t>
  </si>
  <si>
    <t xml:space="preserve">Integrated Stepper Driver custom PCB with closed feedback option </t>
  </si>
  <si>
    <t>Custom assembly / manufacter - see Electrical tab</t>
  </si>
  <si>
    <t xml:space="preserve">2 meter cut length (can be customized for different track requirements) </t>
  </si>
  <si>
    <t>Digikey</t>
  </si>
  <si>
    <t>Misumi</t>
  </si>
  <si>
    <t>Custom motor bracket adapter for the Integrated Stepper PCB onto NEMA 23 Motors</t>
  </si>
  <si>
    <t>GT2 Idler Pulley 20 Toothless 3mm Bore 10mm Width</t>
  </si>
  <si>
    <t>Bought as a pack of 10</t>
  </si>
  <si>
    <t>SDP/SI</t>
  </si>
  <si>
    <t>PolyBelt</t>
  </si>
  <si>
    <t>15-5M MTD5 Open End Belt Roll Polyurethane with Steel Cords.</t>
  </si>
  <si>
    <t>Can also be bought on Ebay / Amazon for much cheapera but shipping time is not guarenteed</t>
  </si>
  <si>
    <t>Ebay</t>
  </si>
  <si>
    <t>2020 Corner Bracket Plate Anodised L Shape 5 Hole</t>
  </si>
  <si>
    <t>Nema 23 Motor Mount Bracket</t>
  </si>
  <si>
    <t>Custom Carriage Assembly</t>
  </si>
  <si>
    <t xml:space="preserve">2125mm HFS5-4060 Tslot Extrusion </t>
  </si>
  <si>
    <t>ENCODER OMITTED FROM ASSEMBLY</t>
  </si>
  <si>
    <t>Column1</t>
  </si>
  <si>
    <t>Passivated 18-8 Stainless Steel, M5 x 0.80 mm Thread, 25mm Long</t>
  </si>
  <si>
    <t>M4 x 0.7mm Thread, 10mm Long</t>
  </si>
  <si>
    <t>Bottom_Foot_Standoff</t>
  </si>
  <si>
    <t>SpacerBlock_25mm</t>
  </si>
  <si>
    <t>62805K49_Heavy Duty Leveling Mount</t>
  </si>
  <si>
    <t>Bolt M5 40mm</t>
  </si>
  <si>
    <t>Nut M6</t>
  </si>
  <si>
    <t>Passivated 18-8 Stainless Steel, M5 x 0.80 mm Thread, 40mm Long</t>
  </si>
  <si>
    <t>Heavy Duty Leveling Mount with 38 mm Long M6 x 1 mm Threaded Stud</t>
  </si>
  <si>
    <t>Spacer to ensure carriage doesn't hit the lower feet</t>
  </si>
  <si>
    <t xml:space="preserve">Feet mounts (made for M6 caster feet) </t>
  </si>
  <si>
    <t>Medium-Strength, Class 8, M6 x 1 mm Thread</t>
  </si>
  <si>
    <t xml:space="preserve">Can also be bought on Amazon for cheaper (MUST BE ZINC PLATED OR STAINLESS) </t>
  </si>
  <si>
    <t>Custom foot for leveling track frame</t>
  </si>
  <si>
    <t>Passivated 18-8 Stainless Steel, M5 x 0.80 mm Thread, 8mm Long</t>
  </si>
  <si>
    <t>Passivated 18-8 Stainless Steel, M5 x 0.80 mm Thread, 12mm Long</t>
  </si>
  <si>
    <t>Closed Loop Belt</t>
  </si>
  <si>
    <t>Not Modeled</t>
  </si>
  <si>
    <t>650-5M-09 Polyurethane with Steel Cord Timing Belt, 650mm Long, 130 Tooth</t>
  </si>
  <si>
    <t>Top_Rail_Full</t>
  </si>
  <si>
    <t>Bought as a pack of 50</t>
  </si>
  <si>
    <t>Top_Rail_Section</t>
  </si>
  <si>
    <t>7959K23_1 2 Width MXL Series No. Ll050mxl Timing Belt_20ft</t>
  </si>
  <si>
    <t>CableChain_Holder</t>
  </si>
  <si>
    <t>YAxis_Carriage</t>
  </si>
  <si>
    <t>20-2040 is a 40mm x 40mm metric 20 series rectangular T-slot profile</t>
  </si>
  <si>
    <t>Magnet Holder for End Stops - 3D printed with PETG (price estimated on $/Kg for PETG on Amazon</t>
  </si>
  <si>
    <t>Bracket to hold idler pulley for tension adjust - 3D printed with PETG (price estimated on $/Kg for PETG on Amazon</t>
  </si>
  <si>
    <t>Cable holder for Power cabling  - 3D printed with PETG (price estimated on $/Kg for PETG on Amazon</t>
  </si>
  <si>
    <t>Cable Holder for side track- 3D printed with PETG (price estimated on $/Kg for PETG on Amazon</t>
  </si>
  <si>
    <t>SmallBelt_Pulley</t>
  </si>
  <si>
    <t>Bolt M3 30mm</t>
  </si>
  <si>
    <t>small_belt_loop</t>
  </si>
  <si>
    <t>PND_CAM_MSRE</t>
  </si>
  <si>
    <t>X_CarriageR_V2_0</t>
  </si>
  <si>
    <t>X_Carriage_V2_1</t>
  </si>
  <si>
    <t>20-2040_200mm</t>
  </si>
  <si>
    <t>X_Carriage_V2_0</t>
  </si>
  <si>
    <t>X_CarriageR_V2_1</t>
  </si>
  <si>
    <t>10mm_Idle_Pulley_3M</t>
  </si>
  <si>
    <t>95947A725_Aluminum Female Threaded Hex Standoff</t>
  </si>
  <si>
    <t>NEMA17 x 40</t>
  </si>
  <si>
    <t>NEMA17_Shroud</t>
  </si>
  <si>
    <t>RightAngle_Bracket</t>
  </si>
  <si>
    <t>CableChain_Mount</t>
  </si>
  <si>
    <t>Camera_Mount</t>
  </si>
  <si>
    <t>121-11-22(FPGA-RJ45_C-Frontpl-18,1_ER-11,7)</t>
  </si>
  <si>
    <t>Camera_Mount_DFK33GP006</t>
  </si>
  <si>
    <t>Tamron_M118M06</t>
  </si>
  <si>
    <t>Bolt M5 20mm</t>
  </si>
  <si>
    <t>Bolt M3 50mm</t>
  </si>
  <si>
    <t>M3_10mmSpacer</t>
  </si>
  <si>
    <t>Passivated 18-8 Stainless Steel, M3 x 0.50 mm Thread, 50mm Long</t>
  </si>
  <si>
    <t>MicaSense</t>
  </si>
  <si>
    <t>StepperOnline</t>
  </si>
  <si>
    <t>Combined with Camera Module (DFK 33GP006)</t>
  </si>
  <si>
    <t xml:space="preserve"> X_Carriage_V2_1</t>
  </si>
  <si>
    <t>4mm_Roller_Spacer_extended</t>
  </si>
  <si>
    <t>685ZZFlanged_Adapter</t>
  </si>
  <si>
    <t>Shroud for NEMA 17 Motor - 3D printed with PETG (price estimated on $/Kg for PETG on Amazon</t>
  </si>
  <si>
    <t>Bracket for NEMA 17 Motor - 3D printed with PETG (price estimated on $/Kg for PETG on Amazon</t>
  </si>
  <si>
    <t>Magnet for EndStops</t>
  </si>
  <si>
    <t>Mount for Cable Chain - 3D printed with PETG (price estimated on $/Kg for PETG on Amazon</t>
  </si>
  <si>
    <t>Nylon Spacers M3 - 10mm long</t>
  </si>
  <si>
    <t xml:space="preserve"> Ebox_Assy</t>
  </si>
  <si>
    <t>Jetson nano_fixed</t>
  </si>
  <si>
    <t>IEC320-C14</t>
  </si>
  <si>
    <t>se300-t-b</t>
  </si>
  <si>
    <t>Waterproof Ethernet RJ45 Passthrough</t>
  </si>
  <si>
    <t>DELL_DA-130PE1-00</t>
  </si>
  <si>
    <t>PowerBrick_Clamp</t>
  </si>
  <si>
    <t>12_24_5VUSBConverter</t>
  </si>
  <si>
    <t>25W_1224_5V</t>
  </si>
  <si>
    <t>EboxBottom</t>
  </si>
  <si>
    <t>95783A051_Nylon 6 6 Male-Female Threaded Hex Standoff</t>
  </si>
  <si>
    <t>95783A057_Nylon 6 6 Male-Female Threaded Hex Standoff</t>
  </si>
  <si>
    <t>95783A069_Nylon 6 6 Male-Female Threaded Hex Standoff</t>
  </si>
  <si>
    <t>Jetson_Mount</t>
  </si>
  <si>
    <t>ESP32GRBL_Mount</t>
  </si>
  <si>
    <t>Bolt M3 10mm</t>
  </si>
  <si>
    <t>98952A407_Aluminum Male-Female Threaded Hex Standoff</t>
  </si>
  <si>
    <t>EboxTslotMount</t>
  </si>
  <si>
    <t>M5-6mm-HeatInsert</t>
  </si>
  <si>
    <t>GRBL ESP32 Controller for Stepper control</t>
  </si>
  <si>
    <t>Seahorse</t>
  </si>
  <si>
    <t>Ebox Assembly</t>
  </si>
  <si>
    <t>Plate to Mount Jetson</t>
  </si>
  <si>
    <t>Plate to Mount ESP32 Board</t>
  </si>
  <si>
    <t>Bracket to hold Power Adapter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</si>
</sst>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26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name val="Calibri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26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0" borderId="0"/>
    <xf numFmtId="0" fontId="10" fillId="0" borderId="8" applyNumberFormat="0" applyFill="0" applyAlignment="0" applyProtection="0"/>
    <xf numFmtId="0" fontId="11" fillId="10" borderId="9" applyNumberFormat="0" applyAlignment="0" applyProtection="0"/>
    <xf numFmtId="0" fontId="1" fillId="11" borderId="10" applyNumberFormat="0" applyFont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3" fillId="0" borderId="0" xfId="0" applyFont="1"/>
    <xf numFmtId="0" fontId="6" fillId="0" borderId="0" xfId="3" applyFont="1" applyFill="1" applyBorder="1"/>
    <xf numFmtId="0" fontId="4" fillId="0" borderId="0" xfId="3" applyFont="1" applyFill="1" applyBorder="1"/>
    <xf numFmtId="44" fontId="3" fillId="0" borderId="0" xfId="1" applyFont="1"/>
    <xf numFmtId="44" fontId="0" fillId="0" borderId="0" xfId="1" applyFont="1"/>
    <xf numFmtId="44" fontId="6" fillId="0" borderId="0" xfId="1" applyFont="1" applyFill="1" applyBorder="1"/>
    <xf numFmtId="44" fontId="0" fillId="0" borderId="0" xfId="0" applyNumberFormat="1"/>
    <xf numFmtId="0" fontId="0" fillId="0" borderId="5" xfId="0" applyFont="1" applyBorder="1"/>
    <xf numFmtId="0" fontId="6" fillId="0" borderId="0" xfId="3" applyFont="1" applyFill="1"/>
    <xf numFmtId="44" fontId="0" fillId="0" borderId="5" xfId="1" applyNumberFormat="1" applyFont="1" applyBorder="1"/>
    <xf numFmtId="0" fontId="4" fillId="6" borderId="0" xfId="3" applyNumberFormat="1" applyFont="1" applyFill="1" applyBorder="1" applyAlignment="1"/>
    <xf numFmtId="0" fontId="0" fillId="0" borderId="0" xfId="0" applyFont="1" applyBorder="1"/>
    <xf numFmtId="44" fontId="0" fillId="0" borderId="0" xfId="1" applyNumberFormat="1" applyFont="1" applyBorder="1"/>
    <xf numFmtId="0" fontId="4" fillId="3" borderId="7" xfId="0" applyFont="1" applyFill="1" applyBorder="1"/>
    <xf numFmtId="0" fontId="4" fillId="3" borderId="0" xfId="0" applyFont="1" applyFill="1" applyBorder="1"/>
    <xf numFmtId="44" fontId="4" fillId="3" borderId="0" xfId="1" applyNumberFormat="1" applyFont="1" applyFill="1" applyBorder="1"/>
    <xf numFmtId="0" fontId="4" fillId="3" borderId="0" xfId="0" applyFont="1" applyFill="1"/>
    <xf numFmtId="0" fontId="4" fillId="0" borderId="4" xfId="0" applyFont="1" applyFill="1" applyBorder="1"/>
    <xf numFmtId="0" fontId="4" fillId="0" borderId="2" xfId="0" applyFont="1" applyFill="1" applyBorder="1"/>
    <xf numFmtId="44" fontId="4" fillId="0" borderId="2" xfId="1" applyNumberFormat="1" applyFont="1" applyFill="1" applyBorder="1"/>
    <xf numFmtId="0" fontId="4" fillId="0" borderId="3" xfId="0" applyFont="1" applyFill="1" applyBorder="1"/>
    <xf numFmtId="0" fontId="4" fillId="0" borderId="0" xfId="0" applyFont="1" applyFill="1" applyBorder="1"/>
    <xf numFmtId="44" fontId="0" fillId="0" borderId="0" xfId="0" quotePrefix="1" applyNumberFormat="1"/>
    <xf numFmtId="0" fontId="0" fillId="11" borderId="10" xfId="6" applyFont="1"/>
    <xf numFmtId="0" fontId="11" fillId="10" borderId="9" xfId="5"/>
    <xf numFmtId="0" fontId="0" fillId="11" borderId="0" xfId="6" applyFont="1" applyBorder="1"/>
    <xf numFmtId="0" fontId="12" fillId="2" borderId="1" xfId="2" applyFont="1"/>
    <xf numFmtId="44" fontId="12" fillId="2" borderId="1" xfId="2" applyNumberFormat="1" applyFont="1"/>
    <xf numFmtId="0" fontId="13" fillId="0" borderId="0" xfId="0" applyFont="1"/>
    <xf numFmtId="0" fontId="10" fillId="9" borderId="8" xfId="4" applyFill="1"/>
    <xf numFmtId="0" fontId="14" fillId="0" borderId="0" xfId="0" applyFont="1"/>
    <xf numFmtId="0" fontId="15" fillId="0" borderId="0" xfId="7"/>
    <xf numFmtId="0" fontId="17" fillId="3" borderId="0" xfId="0" applyFont="1" applyFill="1"/>
    <xf numFmtId="0" fontId="6" fillId="0" borderId="0" xfId="0" applyFont="1"/>
    <xf numFmtId="44" fontId="15" fillId="0" borderId="0" xfId="1" applyFont="1"/>
    <xf numFmtId="0" fontId="0" fillId="12" borderId="0" xfId="0" applyFill="1"/>
    <xf numFmtId="44" fontId="0" fillId="12" borderId="0" xfId="1" applyFont="1" applyFill="1"/>
    <xf numFmtId="0" fontId="5" fillId="8" borderId="6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9" fillId="4" borderId="6" xfId="0" applyFont="1" applyFill="1" applyBorder="1" applyAlignment="1">
      <alignment horizontal="center"/>
    </xf>
  </cellXfs>
  <cellStyles count="8">
    <cellStyle name="Currency" xfId="1" builtinId="4"/>
    <cellStyle name="Heading 2" xfId="4" builtinId="17"/>
    <cellStyle name="Hyperlink" xfId="7" builtinId="8"/>
    <cellStyle name="Input" xfId="5" builtinId="20"/>
    <cellStyle name="Normal" xfId="0" builtinId="0"/>
    <cellStyle name="Normal 2" xfId="3" xr:uid="{9D42AC17-3034-42BC-B655-FD48A2F0F667}"/>
    <cellStyle name="Note" xfId="6" builtinId="10"/>
    <cellStyle name="Output" xfId="2" builtinId="21"/>
  </cellStyles>
  <dxfs count="64"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border outline="0">
        <top style="thin">
          <color rgb="FF70AD47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  <top style="thin">
          <color theme="5"/>
        </top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5"/>
          <bgColor theme="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3.jpg"/><Relationship Id="rId18" Type="http://schemas.openxmlformats.org/officeDocument/2006/relationships/image" Target="../media/image18.jpg"/><Relationship Id="rId26" Type="http://schemas.openxmlformats.org/officeDocument/2006/relationships/image" Target="../media/image26.jpg"/><Relationship Id="rId3" Type="http://schemas.openxmlformats.org/officeDocument/2006/relationships/image" Target="../media/image3.jpg"/><Relationship Id="rId21" Type="http://schemas.openxmlformats.org/officeDocument/2006/relationships/image" Target="../media/image21.jpg"/><Relationship Id="rId7" Type="http://schemas.openxmlformats.org/officeDocument/2006/relationships/image" Target="../media/image7.jpg"/><Relationship Id="rId12" Type="http://schemas.openxmlformats.org/officeDocument/2006/relationships/image" Target="../media/image12.jpg"/><Relationship Id="rId17" Type="http://schemas.openxmlformats.org/officeDocument/2006/relationships/image" Target="../media/image17.jpg"/><Relationship Id="rId25" Type="http://schemas.openxmlformats.org/officeDocument/2006/relationships/image" Target="../media/image25.jpg"/><Relationship Id="rId2" Type="http://schemas.openxmlformats.org/officeDocument/2006/relationships/image" Target="../media/image2.jpg"/><Relationship Id="rId16" Type="http://schemas.openxmlformats.org/officeDocument/2006/relationships/image" Target="../media/image16.jpg"/><Relationship Id="rId20" Type="http://schemas.openxmlformats.org/officeDocument/2006/relationships/image" Target="../media/image20.jp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jpg"/><Relationship Id="rId24" Type="http://schemas.openxmlformats.org/officeDocument/2006/relationships/image" Target="../media/image24.jpg"/><Relationship Id="rId32" Type="http://schemas.openxmlformats.org/officeDocument/2006/relationships/image" Target="../media/image32.jpg"/><Relationship Id="rId5" Type="http://schemas.openxmlformats.org/officeDocument/2006/relationships/image" Target="../media/image5.jpg"/><Relationship Id="rId15" Type="http://schemas.openxmlformats.org/officeDocument/2006/relationships/image" Target="../media/image15.jpg"/><Relationship Id="rId23" Type="http://schemas.openxmlformats.org/officeDocument/2006/relationships/image" Target="../media/image23.jpg"/><Relationship Id="rId28" Type="http://schemas.openxmlformats.org/officeDocument/2006/relationships/image" Target="../media/image28.jpg"/><Relationship Id="rId10" Type="http://schemas.openxmlformats.org/officeDocument/2006/relationships/image" Target="../media/image10.jpg"/><Relationship Id="rId19" Type="http://schemas.openxmlformats.org/officeDocument/2006/relationships/image" Target="../media/image19.jpg"/><Relationship Id="rId31" Type="http://schemas.openxmlformats.org/officeDocument/2006/relationships/image" Target="../media/image31.jpg"/><Relationship Id="rId4" Type="http://schemas.openxmlformats.org/officeDocument/2006/relationships/image" Target="../media/image4.jpg"/><Relationship Id="rId9" Type="http://schemas.openxmlformats.org/officeDocument/2006/relationships/image" Target="../media/image9.jpg"/><Relationship Id="rId14" Type="http://schemas.openxmlformats.org/officeDocument/2006/relationships/image" Target="../media/image14.jpg"/><Relationship Id="rId22" Type="http://schemas.openxmlformats.org/officeDocument/2006/relationships/image" Target="../media/image22.jpg"/><Relationship Id="rId27" Type="http://schemas.openxmlformats.org/officeDocument/2006/relationships/image" Target="../media/image27.jpg"/><Relationship Id="rId30" Type="http://schemas.openxmlformats.org/officeDocument/2006/relationships/image" Target="../media/image30.jp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0.jpg"/><Relationship Id="rId2" Type="http://schemas.openxmlformats.org/officeDocument/2006/relationships/image" Target="../media/image97.jpg"/><Relationship Id="rId1" Type="http://schemas.openxmlformats.org/officeDocument/2006/relationships/image" Target="../media/image102.jpg"/><Relationship Id="rId4" Type="http://schemas.openxmlformats.org/officeDocument/2006/relationships/image" Target="../media/image98.jp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4.jpg"/><Relationship Id="rId2" Type="http://schemas.openxmlformats.org/officeDocument/2006/relationships/image" Target="../media/image84.jpg"/><Relationship Id="rId1" Type="http://schemas.openxmlformats.org/officeDocument/2006/relationships/image" Target="../media/image103.jpg"/><Relationship Id="rId5" Type="http://schemas.openxmlformats.org/officeDocument/2006/relationships/image" Target="../media/image106.jpg"/><Relationship Id="rId4" Type="http://schemas.openxmlformats.org/officeDocument/2006/relationships/image" Target="../media/image105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0.jpg"/><Relationship Id="rId13" Type="http://schemas.openxmlformats.org/officeDocument/2006/relationships/image" Target="../media/image45.jpg"/><Relationship Id="rId18" Type="http://schemas.openxmlformats.org/officeDocument/2006/relationships/image" Target="../media/image50.jpg"/><Relationship Id="rId3" Type="http://schemas.openxmlformats.org/officeDocument/2006/relationships/image" Target="../media/image35.jpg"/><Relationship Id="rId21" Type="http://schemas.openxmlformats.org/officeDocument/2006/relationships/image" Target="../media/image30.jpg"/><Relationship Id="rId7" Type="http://schemas.openxmlformats.org/officeDocument/2006/relationships/image" Target="../media/image39.jpg"/><Relationship Id="rId12" Type="http://schemas.openxmlformats.org/officeDocument/2006/relationships/image" Target="../media/image44.jpg"/><Relationship Id="rId17" Type="http://schemas.openxmlformats.org/officeDocument/2006/relationships/image" Target="../media/image49.jpg"/><Relationship Id="rId2" Type="http://schemas.openxmlformats.org/officeDocument/2006/relationships/image" Target="../media/image34.jpg"/><Relationship Id="rId16" Type="http://schemas.openxmlformats.org/officeDocument/2006/relationships/image" Target="../media/image48.jpg"/><Relationship Id="rId20" Type="http://schemas.openxmlformats.org/officeDocument/2006/relationships/image" Target="../media/image52.jpg"/><Relationship Id="rId1" Type="http://schemas.openxmlformats.org/officeDocument/2006/relationships/image" Target="../media/image33.jpg"/><Relationship Id="rId6" Type="http://schemas.openxmlformats.org/officeDocument/2006/relationships/image" Target="../media/image38.jpg"/><Relationship Id="rId11" Type="http://schemas.openxmlformats.org/officeDocument/2006/relationships/image" Target="../media/image43.jpg"/><Relationship Id="rId5" Type="http://schemas.openxmlformats.org/officeDocument/2006/relationships/image" Target="../media/image37.jpg"/><Relationship Id="rId15" Type="http://schemas.openxmlformats.org/officeDocument/2006/relationships/image" Target="../media/image47.jpg"/><Relationship Id="rId10" Type="http://schemas.openxmlformats.org/officeDocument/2006/relationships/image" Target="../media/image42.jpg"/><Relationship Id="rId19" Type="http://schemas.openxmlformats.org/officeDocument/2006/relationships/image" Target="../media/image51.jpg"/><Relationship Id="rId4" Type="http://schemas.openxmlformats.org/officeDocument/2006/relationships/image" Target="../media/image36.jpg"/><Relationship Id="rId9" Type="http://schemas.openxmlformats.org/officeDocument/2006/relationships/image" Target="../media/image41.jpg"/><Relationship Id="rId14" Type="http://schemas.openxmlformats.org/officeDocument/2006/relationships/image" Target="../media/image46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g"/><Relationship Id="rId2" Type="http://schemas.openxmlformats.org/officeDocument/2006/relationships/image" Target="../media/image22.jpg"/><Relationship Id="rId1" Type="http://schemas.openxmlformats.org/officeDocument/2006/relationships/image" Target="../media/image53.jpg"/><Relationship Id="rId6" Type="http://schemas.openxmlformats.org/officeDocument/2006/relationships/image" Target="../media/image56.jpg"/><Relationship Id="rId5" Type="http://schemas.openxmlformats.org/officeDocument/2006/relationships/image" Target="../media/image55.jpg"/><Relationship Id="rId4" Type="http://schemas.openxmlformats.org/officeDocument/2006/relationships/image" Target="../media/image54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jpg"/><Relationship Id="rId13" Type="http://schemas.openxmlformats.org/officeDocument/2006/relationships/image" Target="../media/image67.jpg"/><Relationship Id="rId3" Type="http://schemas.openxmlformats.org/officeDocument/2006/relationships/image" Target="../media/image59.jpg"/><Relationship Id="rId7" Type="http://schemas.openxmlformats.org/officeDocument/2006/relationships/image" Target="../media/image63.jpg"/><Relationship Id="rId12" Type="http://schemas.openxmlformats.org/officeDocument/2006/relationships/image" Target="../media/image66.jpg"/><Relationship Id="rId2" Type="http://schemas.openxmlformats.org/officeDocument/2006/relationships/image" Target="../media/image58.jpg"/><Relationship Id="rId1" Type="http://schemas.openxmlformats.org/officeDocument/2006/relationships/image" Target="../media/image57.jpg"/><Relationship Id="rId6" Type="http://schemas.openxmlformats.org/officeDocument/2006/relationships/image" Target="../media/image62.jpg"/><Relationship Id="rId11" Type="http://schemas.openxmlformats.org/officeDocument/2006/relationships/image" Target="../media/image65.jpg"/><Relationship Id="rId5" Type="http://schemas.openxmlformats.org/officeDocument/2006/relationships/image" Target="../media/image61.jpg"/><Relationship Id="rId10" Type="http://schemas.openxmlformats.org/officeDocument/2006/relationships/image" Target="../media/image64.jpg"/><Relationship Id="rId4" Type="http://schemas.openxmlformats.org/officeDocument/2006/relationships/image" Target="../media/image60.jpg"/><Relationship Id="rId9" Type="http://schemas.openxmlformats.org/officeDocument/2006/relationships/image" Target="../media/image31.jpg"/><Relationship Id="rId14" Type="http://schemas.openxmlformats.org/officeDocument/2006/relationships/image" Target="../media/image26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g"/><Relationship Id="rId1" Type="http://schemas.openxmlformats.org/officeDocument/2006/relationships/image" Target="../media/image64.jpg"/></Relationships>
</file>

<file path=xl/drawings/_rels/drawing6.xml.rels><?xml version="1.0" encoding="UTF-8" standalone="yes"?>
<Relationships xmlns="http://schemas.openxmlformats.org/package/2006/relationships"><Relationship Id="rId13" Type="http://schemas.openxmlformats.org/officeDocument/2006/relationships/image" Target="../media/image78.jpg"/><Relationship Id="rId18" Type="http://schemas.openxmlformats.org/officeDocument/2006/relationships/image" Target="../media/image21.jpg"/><Relationship Id="rId26" Type="http://schemas.openxmlformats.org/officeDocument/2006/relationships/image" Target="../media/image31.jpg"/><Relationship Id="rId3" Type="http://schemas.openxmlformats.org/officeDocument/2006/relationships/image" Target="../media/image70.jpg"/><Relationship Id="rId21" Type="http://schemas.openxmlformats.org/officeDocument/2006/relationships/image" Target="../media/image83.jpg"/><Relationship Id="rId7" Type="http://schemas.openxmlformats.org/officeDocument/2006/relationships/image" Target="../media/image72.jpg"/><Relationship Id="rId12" Type="http://schemas.openxmlformats.org/officeDocument/2006/relationships/image" Target="../media/image77.jpg"/><Relationship Id="rId17" Type="http://schemas.openxmlformats.org/officeDocument/2006/relationships/image" Target="../media/image23.jpg"/><Relationship Id="rId25" Type="http://schemas.openxmlformats.org/officeDocument/2006/relationships/image" Target="../media/image87.jpg"/><Relationship Id="rId33" Type="http://schemas.openxmlformats.org/officeDocument/2006/relationships/image" Target="../media/image90.jpg"/><Relationship Id="rId2" Type="http://schemas.openxmlformats.org/officeDocument/2006/relationships/image" Target="../media/image69.jpg"/><Relationship Id="rId16" Type="http://schemas.openxmlformats.org/officeDocument/2006/relationships/image" Target="../media/image81.jpg"/><Relationship Id="rId20" Type="http://schemas.openxmlformats.org/officeDocument/2006/relationships/image" Target="../media/image63.jpg"/><Relationship Id="rId29" Type="http://schemas.openxmlformats.org/officeDocument/2006/relationships/image" Target="../media/image88.jpg"/><Relationship Id="rId1" Type="http://schemas.openxmlformats.org/officeDocument/2006/relationships/image" Target="../media/image68.jpg"/><Relationship Id="rId6" Type="http://schemas.openxmlformats.org/officeDocument/2006/relationships/image" Target="../media/image59.jpg"/><Relationship Id="rId11" Type="http://schemas.openxmlformats.org/officeDocument/2006/relationships/image" Target="../media/image76.jpg"/><Relationship Id="rId24" Type="http://schemas.openxmlformats.org/officeDocument/2006/relationships/image" Target="../media/image86.jpg"/><Relationship Id="rId32" Type="http://schemas.openxmlformats.org/officeDocument/2006/relationships/image" Target="../media/image89.jpg"/><Relationship Id="rId5" Type="http://schemas.openxmlformats.org/officeDocument/2006/relationships/image" Target="../media/image71.jpg"/><Relationship Id="rId15" Type="http://schemas.openxmlformats.org/officeDocument/2006/relationships/image" Target="../media/image80.jpg"/><Relationship Id="rId23" Type="http://schemas.openxmlformats.org/officeDocument/2006/relationships/image" Target="../media/image85.jpg"/><Relationship Id="rId28" Type="http://schemas.openxmlformats.org/officeDocument/2006/relationships/image" Target="../media/image27.jpg"/><Relationship Id="rId10" Type="http://schemas.openxmlformats.org/officeDocument/2006/relationships/image" Target="../media/image75.jpg"/><Relationship Id="rId19" Type="http://schemas.openxmlformats.org/officeDocument/2006/relationships/image" Target="../media/image82.jpg"/><Relationship Id="rId31" Type="http://schemas.openxmlformats.org/officeDocument/2006/relationships/image" Target="../media/image32.jpg"/><Relationship Id="rId4" Type="http://schemas.openxmlformats.org/officeDocument/2006/relationships/image" Target="../media/image3.jpg"/><Relationship Id="rId9" Type="http://schemas.openxmlformats.org/officeDocument/2006/relationships/image" Target="../media/image74.jpg"/><Relationship Id="rId14" Type="http://schemas.openxmlformats.org/officeDocument/2006/relationships/image" Target="../media/image79.jpg"/><Relationship Id="rId22" Type="http://schemas.openxmlformats.org/officeDocument/2006/relationships/image" Target="../media/image84.jpg"/><Relationship Id="rId27" Type="http://schemas.openxmlformats.org/officeDocument/2006/relationships/image" Target="../media/image30.jpg"/><Relationship Id="rId30" Type="http://schemas.openxmlformats.org/officeDocument/2006/relationships/image" Target="../media/image52.jpg"/><Relationship Id="rId8" Type="http://schemas.openxmlformats.org/officeDocument/2006/relationships/image" Target="../media/image73.jp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92.jpg"/><Relationship Id="rId3" Type="http://schemas.openxmlformats.org/officeDocument/2006/relationships/image" Target="../media/image59.jpg"/><Relationship Id="rId7" Type="http://schemas.openxmlformats.org/officeDocument/2006/relationships/image" Target="../media/image91.jpg"/><Relationship Id="rId12" Type="http://schemas.openxmlformats.org/officeDocument/2006/relationships/image" Target="../media/image32.jpg"/><Relationship Id="rId2" Type="http://schemas.openxmlformats.org/officeDocument/2006/relationships/image" Target="../media/image58.jpg"/><Relationship Id="rId1" Type="http://schemas.openxmlformats.org/officeDocument/2006/relationships/image" Target="../media/image57.jpg"/><Relationship Id="rId6" Type="http://schemas.openxmlformats.org/officeDocument/2006/relationships/image" Target="../media/image62.jpg"/><Relationship Id="rId11" Type="http://schemas.openxmlformats.org/officeDocument/2006/relationships/image" Target="../media/image95.jpg"/><Relationship Id="rId5" Type="http://schemas.openxmlformats.org/officeDocument/2006/relationships/image" Target="../media/image61.jpg"/><Relationship Id="rId10" Type="http://schemas.openxmlformats.org/officeDocument/2006/relationships/image" Target="../media/image94.jpg"/><Relationship Id="rId4" Type="http://schemas.openxmlformats.org/officeDocument/2006/relationships/image" Target="../media/image60.jpg"/><Relationship Id="rId9" Type="http://schemas.openxmlformats.org/officeDocument/2006/relationships/image" Target="../media/image93.jp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7.jpg"/><Relationship Id="rId7" Type="http://schemas.openxmlformats.org/officeDocument/2006/relationships/image" Target="../media/image32.jpg"/><Relationship Id="rId2" Type="http://schemas.openxmlformats.org/officeDocument/2006/relationships/image" Target="../media/image91.jpg"/><Relationship Id="rId1" Type="http://schemas.openxmlformats.org/officeDocument/2006/relationships/image" Target="../media/image96.jpg"/><Relationship Id="rId6" Type="http://schemas.openxmlformats.org/officeDocument/2006/relationships/image" Target="../media/image98.jpg"/><Relationship Id="rId5" Type="http://schemas.openxmlformats.org/officeDocument/2006/relationships/image" Target="../media/image88.jpg"/><Relationship Id="rId4" Type="http://schemas.openxmlformats.org/officeDocument/2006/relationships/image" Target="../media/image62.jp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99.jpg"/><Relationship Id="rId2" Type="http://schemas.openxmlformats.org/officeDocument/2006/relationships/image" Target="../media/image91.jpg"/><Relationship Id="rId1" Type="http://schemas.openxmlformats.org/officeDocument/2006/relationships/image" Target="../media/image96.jpg"/><Relationship Id="rId6" Type="http://schemas.openxmlformats.org/officeDocument/2006/relationships/image" Target="../media/image98.jpg"/><Relationship Id="rId5" Type="http://schemas.openxmlformats.org/officeDocument/2006/relationships/image" Target="../media/image101.jpg"/><Relationship Id="rId4" Type="http://schemas.openxmlformats.org/officeDocument/2006/relationships/image" Target="../media/image10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1E44545-FC95-4BA8-9580-85ACF0C50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FF2F8B-5835-4158-B185-09E6BAB78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2E3BEE-C3B6-45E0-8FE1-F7FF64AAFA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5F5D536-E445-4FC2-8534-F249E244A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074D290-1561-4E89-AD47-BB7043D2B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13B1A6B-7FA0-4DB4-83D0-038640A37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40D88C7-D474-4008-8AB1-A6D0CC8AB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956D1A1-7DD1-4EF5-BE87-B9AD81E36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9160E962-9DF1-4698-93D8-38EE94705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DB0092A-F1D4-492C-9D14-3B0F41F4D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7702942-0BD0-4B73-BEA1-2A64B2256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ED6DFBE-F4DF-4BD9-9FAD-A38A7D42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791BD29-10F5-4AFD-866D-EA95A69D39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AD0A76-F318-4FF0-90D9-D75941ECA8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1CDC787D-A958-4AD7-B92C-5CCEE6098E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2DC5AE-8A7B-4AFA-8F20-817D85CE2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1F147E8E-3831-406D-A9AD-061A39BC49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4BD6B745-330E-4DE5-91E8-3E881B993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B1E6C73-C993-48C7-B2CC-45E19A5DEC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983BC66-92A1-44C8-AF4C-77DFFE85C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F32E1BE-59A5-4F51-A812-96AA19709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1</xdr:col>
      <xdr:colOff>1724025</xdr:colOff>
      <xdr:row>23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43BE381-A272-45ED-ABF8-8118C7664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22872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1724025</xdr:colOff>
      <xdr:row>24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B3576B6E-341D-44C0-8C04-85B2030E0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22872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25</xdr:row>
      <xdr:rowOff>9525</xdr:rowOff>
    </xdr:from>
    <xdr:to>
      <xdr:col>1</xdr:col>
      <xdr:colOff>1724025</xdr:colOff>
      <xdr:row>25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ACE34BFC-B635-4747-9C87-EAFD80721F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22872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26</xdr:row>
      <xdr:rowOff>9525</xdr:rowOff>
    </xdr:from>
    <xdr:to>
      <xdr:col>1</xdr:col>
      <xdr:colOff>1724025</xdr:colOff>
      <xdr:row>26</xdr:row>
      <xdr:rowOff>1724025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F52BF906-C1DB-4E28-8D99-21EA1641D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22872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1</xdr:col>
      <xdr:colOff>1724025</xdr:colOff>
      <xdr:row>27</xdr:row>
      <xdr:rowOff>1724025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EA1B686-5A7F-4CD4-A513-575250CE7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22872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1724025</xdr:colOff>
      <xdr:row>28</xdr:row>
      <xdr:rowOff>1724025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2885F554-3AB1-42A4-B9B1-2E430D6F0B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22872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1</xdr:col>
      <xdr:colOff>1724025</xdr:colOff>
      <xdr:row>29</xdr:row>
      <xdr:rowOff>1724025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42928E10-E804-4A0E-B841-96990AC84E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22872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</xdr:col>
      <xdr:colOff>1724025</xdr:colOff>
      <xdr:row>30</xdr:row>
      <xdr:rowOff>1724025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5A9948D-7507-4B74-91DC-E4BE9B7368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22872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9525</xdr:rowOff>
    </xdr:from>
    <xdr:to>
      <xdr:col>1</xdr:col>
      <xdr:colOff>1724025</xdr:colOff>
      <xdr:row>31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3862867-CA30-4113-ACCF-8C3EEC04C6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22872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32</xdr:row>
      <xdr:rowOff>9525</xdr:rowOff>
    </xdr:from>
    <xdr:to>
      <xdr:col>1</xdr:col>
      <xdr:colOff>1724025</xdr:colOff>
      <xdr:row>32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E70E8F5-8996-44CA-B6CC-29E531B326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22872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33</xdr:row>
      <xdr:rowOff>9525</xdr:rowOff>
    </xdr:from>
    <xdr:to>
      <xdr:col>1</xdr:col>
      <xdr:colOff>1724025</xdr:colOff>
      <xdr:row>33</xdr:row>
      <xdr:rowOff>1724025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A8ADC894-FA17-4257-96D0-B420C0580F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228725" y="27070050"/>
          <a:ext cx="876300" cy="8572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8CE99C3-C1E3-468E-A792-23C5FFC91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231C6AE-2C43-4481-8492-0218586358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CE94B8C-DF88-4394-933A-5F13E41FF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DA8FEF3-EB87-4D16-A5A2-953A10BD3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78DB089-B454-4477-BD82-D6BB7CABBC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0FC168-E722-4DDE-AD21-95BFF71AC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6F9048-6266-4CBF-BEFC-1D995E40B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D45D623-0F5C-45FA-987D-06BD01F80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D05E44-3618-4269-84D3-71C22A8D1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BFEEA0-BFD7-4C8D-A806-9C433D5E3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11FC31-CA62-44B9-BD29-A483E72EB9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D1FBEA9-0021-42A6-94BA-95DA496706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65621F4-C45F-47C2-8CC0-D4D42C979E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FB4148E-9FB0-417B-A394-7319853A9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4764FA8-448D-4659-A400-B0C0E0E83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A1246EA-CCC9-4B91-AF60-39BB47B53E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48DF38A-0633-4A4A-89E2-4E404303E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4C598C3-B1C1-469C-96DC-D82D3414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74BC2F-6212-4A95-89A4-4FAFB0EC6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DD0E839-ECA7-455D-BA43-A13A3615C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1B21F77-038D-4ABA-BFEA-F39BEC22A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F692EB1-A1DA-487C-90DC-3BB0D40AB8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B84BBE85-E8E7-4BDA-B274-C0AE43032F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530925F-CA8C-4F00-BD22-C9E8745DB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2257D60B-6422-4C61-9A85-074BA25CF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5DCC22-32D2-4B09-B8E2-9F5DFA2EA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CE069BC7-1EB4-45BF-B240-DED4ED280C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C0D14CD-3F37-4FF9-8D11-763CB95BC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C373482-7720-46EF-8C45-7C3EF277E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8540D3C2-7A21-44C8-B481-E8082CF1C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609166-FE58-4D74-A66C-A8E32BF0C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BAD6B35-F45E-4E93-ADBB-E47F2FB2F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7D8AF-68B4-44D8-A2CC-F9AEC2CD4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51C8C3-4775-40F3-9FC8-0E1ABD9E11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D3C755A-47C2-4F65-BAA0-BD6CD4AA0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5C3E6AA-AA3F-436C-91F3-BAC17C3ECD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DC334F-C0CE-43B0-84D6-CE2B71EA8A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33650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24A6A8-329C-425D-9445-1C22C8E5E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533650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87E36B-0105-4017-BF1A-010938025E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533650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CB6290-321D-4EDC-BBE3-389CEAF59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533650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C0DECB-C8D6-466C-B57E-6E6964CFA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533650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FFCEC7F-6DB2-4416-8D27-C56080543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533650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C6A8E74-516B-4848-898D-EB9F8F3359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2533650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BAEBB7C-689D-4038-8219-E55D3E9BF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2533650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D94FF2-4182-473B-B926-E9D24CF377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2533650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0452FFE-1747-4A9D-9B7D-294A7F0956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2533650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9A6A674-E284-4D92-BB99-0F34EB033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2533650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606C6A3-2C91-4DFE-AD21-01C7EE9094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2533650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D0B5BCA-CE55-4269-9ADA-9B6BE1AF5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2533650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CE39BADC-DD9D-4027-9489-27D19BE1A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931504-C6DD-4238-AA43-2F35706B1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7F1A69A-E78E-416C-90C4-A390063515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48B2CA1-9570-427B-9153-A2160BE20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D65277-966C-4D86-AC39-243D6807F8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CC81E37-1668-41EA-B1A2-FAD910946C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224364A-750D-4FA8-AFBD-F094D4AD98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6165C2-B897-4C59-A8A6-761EEBF288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3244B-7546-4FB4-BDAF-E3AF57DAA1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504E582-809E-49EF-841F-760FED8EF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9</xdr:row>
      <xdr:rowOff>9525</xdr:rowOff>
    </xdr:from>
    <xdr:to>
      <xdr:col>1</xdr:col>
      <xdr:colOff>1724025</xdr:colOff>
      <xdr:row>9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A787460-5FBA-435A-A482-C3D0751A6E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62674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10</xdr:row>
      <xdr:rowOff>9525</xdr:rowOff>
    </xdr:from>
    <xdr:to>
      <xdr:col>1</xdr:col>
      <xdr:colOff>1724025</xdr:colOff>
      <xdr:row>10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0DA88EE-EB79-4213-BBE2-7400B7F77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71342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11</xdr:row>
      <xdr:rowOff>9525</xdr:rowOff>
    </xdr:from>
    <xdr:to>
      <xdr:col>1</xdr:col>
      <xdr:colOff>1724025</xdr:colOff>
      <xdr:row>11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E7D6A71-92B0-4ABA-B1E7-ABFB0F571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80010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12</xdr:row>
      <xdr:rowOff>9525</xdr:rowOff>
    </xdr:from>
    <xdr:to>
      <xdr:col>1</xdr:col>
      <xdr:colOff>1724025</xdr:colOff>
      <xdr:row>12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3B9CDA7-A994-41A4-9290-FFE4BFE87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88677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13</xdr:row>
      <xdr:rowOff>9525</xdr:rowOff>
    </xdr:from>
    <xdr:to>
      <xdr:col>1</xdr:col>
      <xdr:colOff>1724025</xdr:colOff>
      <xdr:row>13</xdr:row>
      <xdr:rowOff>1724025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673D5EE-A699-4A68-82FE-3160664B3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97345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14</xdr:row>
      <xdr:rowOff>9525</xdr:rowOff>
    </xdr:from>
    <xdr:to>
      <xdr:col>1</xdr:col>
      <xdr:colOff>1724025</xdr:colOff>
      <xdr:row>14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8280C70-C0C9-4EBF-A2DC-2CA5A4745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>
        <a:xfrm>
          <a:off x="1228725" y="106013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15</xdr:row>
      <xdr:rowOff>9525</xdr:rowOff>
    </xdr:from>
    <xdr:to>
      <xdr:col>1</xdr:col>
      <xdr:colOff>1724025</xdr:colOff>
      <xdr:row>15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D05D23B-6B65-4AAA-89A2-016A17577E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rcRect/>
        <a:stretch>
          <a:fillRect/>
        </a:stretch>
      </xdr:blipFill>
      <xdr:spPr>
        <a:xfrm>
          <a:off x="1228725" y="114681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16</xdr:row>
      <xdr:rowOff>9525</xdr:rowOff>
    </xdr:from>
    <xdr:to>
      <xdr:col>1</xdr:col>
      <xdr:colOff>1724025</xdr:colOff>
      <xdr:row>16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9453E0B6-CA51-4617-9F73-6FAA80AECD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>
        <a:xfrm>
          <a:off x="1228725" y="123348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17</xdr:row>
      <xdr:rowOff>9525</xdr:rowOff>
    </xdr:from>
    <xdr:to>
      <xdr:col>1</xdr:col>
      <xdr:colOff>1724025</xdr:colOff>
      <xdr:row>17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8A5EB992-63BD-4CFA-89F2-B505EE118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>
        <a:xfrm>
          <a:off x="1228725" y="132016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18</xdr:row>
      <xdr:rowOff>9525</xdr:rowOff>
    </xdr:from>
    <xdr:to>
      <xdr:col>1</xdr:col>
      <xdr:colOff>1724025</xdr:colOff>
      <xdr:row>18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513A712-0662-45CD-846F-2073043D5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>
        <a:xfrm>
          <a:off x="1228725" y="140684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19</xdr:row>
      <xdr:rowOff>9525</xdr:rowOff>
    </xdr:from>
    <xdr:to>
      <xdr:col>1</xdr:col>
      <xdr:colOff>1724025</xdr:colOff>
      <xdr:row>19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52E076F5-9D0C-4C2C-9599-5CEC819B32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>
        <a:xfrm>
          <a:off x="1228725" y="149352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20</xdr:row>
      <xdr:rowOff>9525</xdr:rowOff>
    </xdr:from>
    <xdr:to>
      <xdr:col>1</xdr:col>
      <xdr:colOff>1724025</xdr:colOff>
      <xdr:row>20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48FF793-6D1F-49F5-8185-2915AFC3B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>
        <a:xfrm>
          <a:off x="1228725" y="158019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21</xdr:row>
      <xdr:rowOff>9525</xdr:rowOff>
    </xdr:from>
    <xdr:to>
      <xdr:col>1</xdr:col>
      <xdr:colOff>1724025</xdr:colOff>
      <xdr:row>21</xdr:row>
      <xdr:rowOff>1724025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16418CA-5205-49AE-9F9C-7D45E6189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rcRect/>
        <a:stretch>
          <a:fillRect/>
        </a:stretch>
      </xdr:blipFill>
      <xdr:spPr>
        <a:xfrm>
          <a:off x="1228725" y="166687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22</xdr:row>
      <xdr:rowOff>9525</xdr:rowOff>
    </xdr:from>
    <xdr:to>
      <xdr:col>1</xdr:col>
      <xdr:colOff>1724025</xdr:colOff>
      <xdr:row>22</xdr:row>
      <xdr:rowOff>1724025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5499ED-F7B4-47F9-8D89-C824BC3B49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rcRect/>
        <a:stretch>
          <a:fillRect/>
        </a:stretch>
      </xdr:blipFill>
      <xdr:spPr>
        <a:xfrm>
          <a:off x="1228725" y="175355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23</xdr:row>
      <xdr:rowOff>9525</xdr:rowOff>
    </xdr:from>
    <xdr:to>
      <xdr:col>1</xdr:col>
      <xdr:colOff>1724025</xdr:colOff>
      <xdr:row>23</xdr:row>
      <xdr:rowOff>1724025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315F0990-6A26-4092-8249-F33109479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rcRect/>
        <a:stretch>
          <a:fillRect/>
        </a:stretch>
      </xdr:blipFill>
      <xdr:spPr>
        <a:xfrm>
          <a:off x="1228725" y="184023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24</xdr:row>
      <xdr:rowOff>9525</xdr:rowOff>
    </xdr:from>
    <xdr:to>
      <xdr:col>1</xdr:col>
      <xdr:colOff>1724025</xdr:colOff>
      <xdr:row>24</xdr:row>
      <xdr:rowOff>1724025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10EDDF8-1BFB-4AAA-AB62-5B7A3B2C2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rcRect/>
        <a:stretch>
          <a:fillRect/>
        </a:stretch>
      </xdr:blipFill>
      <xdr:spPr>
        <a:xfrm>
          <a:off x="1228725" y="192690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25</xdr:row>
      <xdr:rowOff>9525</xdr:rowOff>
    </xdr:from>
    <xdr:to>
      <xdr:col>1</xdr:col>
      <xdr:colOff>1724025</xdr:colOff>
      <xdr:row>25</xdr:row>
      <xdr:rowOff>1724025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8F62B59-DDE0-4142-852A-76BB9FEEBB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rcRect/>
        <a:stretch>
          <a:fillRect/>
        </a:stretch>
      </xdr:blipFill>
      <xdr:spPr>
        <a:xfrm>
          <a:off x="1228725" y="201358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26</xdr:row>
      <xdr:rowOff>9525</xdr:rowOff>
    </xdr:from>
    <xdr:to>
      <xdr:col>1</xdr:col>
      <xdr:colOff>1724025</xdr:colOff>
      <xdr:row>26</xdr:row>
      <xdr:rowOff>1724025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E3AFF10C-0BB2-4011-8ECA-6E79EE7A5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rcRect/>
        <a:stretch>
          <a:fillRect/>
        </a:stretch>
      </xdr:blipFill>
      <xdr:spPr>
        <a:xfrm>
          <a:off x="1228725" y="210026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27</xdr:row>
      <xdr:rowOff>9525</xdr:rowOff>
    </xdr:from>
    <xdr:to>
      <xdr:col>1</xdr:col>
      <xdr:colOff>1724025</xdr:colOff>
      <xdr:row>27</xdr:row>
      <xdr:rowOff>1724025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F18DC00-BB38-4667-ADDE-7E0B79D89E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rcRect/>
        <a:stretch>
          <a:fillRect/>
        </a:stretch>
      </xdr:blipFill>
      <xdr:spPr>
        <a:xfrm>
          <a:off x="1228725" y="218694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28</xdr:row>
      <xdr:rowOff>9525</xdr:rowOff>
    </xdr:from>
    <xdr:to>
      <xdr:col>1</xdr:col>
      <xdr:colOff>1724025</xdr:colOff>
      <xdr:row>28</xdr:row>
      <xdr:rowOff>1724025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EA592300-4F5C-4F58-85EA-2600567E5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rcRect/>
        <a:stretch>
          <a:fillRect/>
        </a:stretch>
      </xdr:blipFill>
      <xdr:spPr>
        <a:xfrm>
          <a:off x="1228725" y="227361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29</xdr:row>
      <xdr:rowOff>9525</xdr:rowOff>
    </xdr:from>
    <xdr:to>
      <xdr:col>1</xdr:col>
      <xdr:colOff>1724025</xdr:colOff>
      <xdr:row>29</xdr:row>
      <xdr:rowOff>1724025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191E8CF-C1A6-4E7C-B1E6-46AC2BF1AB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>
        <a:xfrm>
          <a:off x="1228725" y="236029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30</xdr:row>
      <xdr:rowOff>9525</xdr:rowOff>
    </xdr:from>
    <xdr:to>
      <xdr:col>1</xdr:col>
      <xdr:colOff>1724025</xdr:colOff>
      <xdr:row>30</xdr:row>
      <xdr:rowOff>1724025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42413C3-D90D-49CA-9E1D-5659C7A4F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rcRect/>
        <a:stretch>
          <a:fillRect/>
        </a:stretch>
      </xdr:blipFill>
      <xdr:spPr>
        <a:xfrm>
          <a:off x="1228725" y="244697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31</xdr:row>
      <xdr:rowOff>9525</xdr:rowOff>
    </xdr:from>
    <xdr:to>
      <xdr:col>1</xdr:col>
      <xdr:colOff>1724025</xdr:colOff>
      <xdr:row>31</xdr:row>
      <xdr:rowOff>1724025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38B07DE7-103D-432C-BFAA-19D2D0E327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rcRect/>
        <a:stretch>
          <a:fillRect/>
        </a:stretch>
      </xdr:blipFill>
      <xdr:spPr>
        <a:xfrm>
          <a:off x="1228725" y="253365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32</xdr:row>
      <xdr:rowOff>9525</xdr:rowOff>
    </xdr:from>
    <xdr:to>
      <xdr:col>1</xdr:col>
      <xdr:colOff>1724025</xdr:colOff>
      <xdr:row>32</xdr:row>
      <xdr:rowOff>1724025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A31BD0B0-9341-4FDF-816F-1E4D9E8BEF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rcRect/>
        <a:stretch>
          <a:fillRect/>
        </a:stretch>
      </xdr:blipFill>
      <xdr:spPr>
        <a:xfrm>
          <a:off x="1228725" y="262032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33</xdr:row>
      <xdr:rowOff>9525</xdr:rowOff>
    </xdr:from>
    <xdr:to>
      <xdr:col>1</xdr:col>
      <xdr:colOff>1724025</xdr:colOff>
      <xdr:row>33</xdr:row>
      <xdr:rowOff>1724025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B117612-C47B-4564-AF13-60128DFF8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rcRect/>
        <a:stretch>
          <a:fillRect/>
        </a:stretch>
      </xdr:blipFill>
      <xdr:spPr>
        <a:xfrm>
          <a:off x="1228725" y="270700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34</xdr:row>
      <xdr:rowOff>9525</xdr:rowOff>
    </xdr:from>
    <xdr:to>
      <xdr:col>1</xdr:col>
      <xdr:colOff>1724025</xdr:colOff>
      <xdr:row>34</xdr:row>
      <xdr:rowOff>1724025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B2FE6D49-CBA3-4EF0-97C3-1311D95401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rcRect/>
        <a:stretch>
          <a:fillRect/>
        </a:stretch>
      </xdr:blipFill>
      <xdr:spPr>
        <a:xfrm>
          <a:off x="1228725" y="27936825"/>
          <a:ext cx="876300" cy="8572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056643-FD8C-4DAB-A938-C26EB9C83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209800" y="12668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A85A73-EE2D-4C9D-BBC0-9AB016EE0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2209800" y="18954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2146DD-5DE0-4A77-ADCB-0FE04F943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2209800" y="25241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B2373B9-6CD8-48DB-BB0E-82D749FBD8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2209800" y="31527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78C5F9A-4A9E-47E3-A5E9-1B421E2F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2209800" y="378142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D68F6-C806-430F-85DB-CD517ECD1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2209800" y="4410075"/>
          <a:ext cx="838200" cy="619125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1B52150-1354-45BF-8B68-32379A2684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3380C17-4C1D-4054-8C55-10C62B3404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2B96B4D-1754-4560-B928-99CB4D4AFF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A8B17AD-C2C2-48A4-9A98-F1309B971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95300FA2-2734-4774-94E8-3E179F03B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CC6434C6-BAA9-4404-9332-C94946FA83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60442BE-0D4C-4851-863B-49471B14E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9EAE2BF-5D75-4293-A821-8C7C9774A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50DB31D-C4C0-43E8-A169-254A021C9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BA9BE11-5ABA-4379-9869-963675A27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1F89DAF-DF59-4AD2-98DF-6A54C3853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3A85F7-7872-47AE-87CE-EDDBCB70C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8</xdr:row>
      <xdr:rowOff>9525</xdr:rowOff>
    </xdr:from>
    <xdr:to>
      <xdr:col>1</xdr:col>
      <xdr:colOff>1724025</xdr:colOff>
      <xdr:row>8</xdr:row>
      <xdr:rowOff>1724025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A9A7A2DD-F70D-4458-A249-4D135D908F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>
        <a:xfrm>
          <a:off x="1228725" y="5400675"/>
          <a:ext cx="876300" cy="8572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9525</xdr:rowOff>
    </xdr:from>
    <xdr:to>
      <xdr:col>1</xdr:col>
      <xdr:colOff>1724025</xdr:colOff>
      <xdr:row>2</xdr:row>
      <xdr:rowOff>1724025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FBDF4CF-49BB-45E4-B4F2-B639CED305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228725" y="2000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3</xdr:row>
      <xdr:rowOff>9525</xdr:rowOff>
    </xdr:from>
    <xdr:to>
      <xdr:col>1</xdr:col>
      <xdr:colOff>1724025</xdr:colOff>
      <xdr:row>3</xdr:row>
      <xdr:rowOff>1724025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2C07B75-BEFF-44AA-9838-891A13FBEA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1228725" y="106680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4</xdr:row>
      <xdr:rowOff>9525</xdr:rowOff>
    </xdr:from>
    <xdr:to>
      <xdr:col>1</xdr:col>
      <xdr:colOff>1724025</xdr:colOff>
      <xdr:row>4</xdr:row>
      <xdr:rowOff>1724025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AFD7887-826F-4197-9E3B-C9EF95CDE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>
        <a:xfrm>
          <a:off x="1228725" y="193357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5</xdr:row>
      <xdr:rowOff>9525</xdr:rowOff>
    </xdr:from>
    <xdr:to>
      <xdr:col>1</xdr:col>
      <xdr:colOff>1724025</xdr:colOff>
      <xdr:row>5</xdr:row>
      <xdr:rowOff>1724025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F47C48-5922-4E56-BE65-4707BD01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>
        <a:xfrm>
          <a:off x="1228725" y="2800350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6</xdr:row>
      <xdr:rowOff>9525</xdr:rowOff>
    </xdr:from>
    <xdr:to>
      <xdr:col>1</xdr:col>
      <xdr:colOff>1724025</xdr:colOff>
      <xdr:row>6</xdr:row>
      <xdr:rowOff>1724025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22580D59-80CF-4A9E-B63E-0CAE3856E7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>
        <a:xfrm>
          <a:off x="1228725" y="3667125"/>
          <a:ext cx="876300" cy="857250"/>
        </a:xfrm>
        <a:prstGeom prst="rect">
          <a:avLst/>
        </a:prstGeom>
      </xdr:spPr>
    </xdr:pic>
    <xdr:clientData/>
  </xdr:twoCellAnchor>
  <xdr:twoCellAnchor>
    <xdr:from>
      <xdr:col>1</xdr:col>
      <xdr:colOff>9525</xdr:colOff>
      <xdr:row>7</xdr:row>
      <xdr:rowOff>9525</xdr:rowOff>
    </xdr:from>
    <xdr:to>
      <xdr:col>1</xdr:col>
      <xdr:colOff>1724025</xdr:colOff>
      <xdr:row>7</xdr:row>
      <xdr:rowOff>1724025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ECF1480-40ED-47ED-B2B3-C61E96407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>
        <a:xfrm>
          <a:off x="1228725" y="4533900"/>
          <a:ext cx="876300" cy="8572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89F622-D48C-46EA-96AA-41B0884FFA52}" name="Table13" displayName="Table13" ref="A2:I9" totalsRowShown="0" headerRowDxfId="63">
  <autoFilter ref="A2:I9" xr:uid="{68A6F1D8-FEED-47EA-906C-768CE612E1F0}"/>
  <tableColumns count="9">
    <tableColumn id="1" xr3:uid="{1C4C2997-D62C-4993-A88D-33BDE9A5D934}" name="Manufacturer Part Number"/>
    <tableColumn id="2" xr3:uid="{12EB43DB-2BD8-4FFD-B48B-5C8C35CE848F}" name="Vendor"/>
    <tableColumn id="3" xr3:uid="{7FB24B5C-C6CD-41DC-A94B-1034232532D2}" name="Customer Reference"/>
    <tableColumn id="4" xr3:uid="{5FF9DFE0-1CDD-4783-8665-FD1FFBD1A64E}" name="Quantity"/>
    <tableColumn id="5" xr3:uid="{734760D5-EC2D-4EA0-8E69-A372A88E5237}" name="Unit Price" dataDxfId="62">
      <calculatedColumnFormula>Overall!I29</calculatedColumnFormula>
    </tableColumn>
    <tableColumn id="6" xr3:uid="{1DEFD9D4-8D71-4994-9ED5-1DE782BBB5B8}" name="Extended Price">
      <calculatedColumnFormula>Table13[[#This Row],[Unit Price]]*Table13[[#This Row],[Quantity]]</calculatedColumnFormula>
    </tableColumn>
    <tableColumn id="7" xr3:uid="{64B8AC95-4B9E-4C42-B725-83EB2EFB9B6C}" name="Quantity Available"/>
    <tableColumn id="8" xr3:uid="{DD32428D-BE6C-4C2A-B030-86AFE18F2741}" name="Description"/>
    <tableColumn id="9" xr3:uid="{30F6C134-773F-46AA-AC9B-B251DBCB4FE4}" name="Category"/>
  </tableColumns>
  <tableStyleInfo name="TableStyleDark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597874C-7453-4A6F-A610-8F4D8D47EB3F}" name="RBA_47891151213" displayName="RBA_47891151213" ref="A2:K35" totalsRowShown="0" headerRowDxfId="13" tableBorderDxfId="12">
  <autoFilter ref="A2:K35" xr:uid="{AEB73607-C281-450A-B481-305282F70C69}"/>
  <tableColumns count="11">
    <tableColumn id="1" xr3:uid="{7AFE4DA7-458C-4B5D-9F3E-7B2FC1AC1F30}" name="Part Number - Assembly" dataDxfId="11"/>
    <tableColumn id="2" xr3:uid="{D09B2BF6-3EEA-49BD-A815-693278D52D4E}" name="Thumbnail"/>
    <tableColumn id="3" xr3:uid="{D220CA10-E01E-4F84-B86E-AAD6D96BE7A6}" name="Quantity" dataDxfId="10"/>
    <tableColumn id="4" xr3:uid="{EBBFBA49-83B8-4467-B584-F209D45D0777}" name="Vendor"/>
    <tableColumn id="5" xr3:uid="{F66B6064-99C8-4A8B-BBE9-3358FCC8A0D7}" name="Vendor Link">
      <calculatedColumnFormula>HYPERLINK("https://8020.net/20-2040.html", "20-2040")</calculatedColumnFormula>
    </tableColumn>
    <tableColumn id="8" xr3:uid="{DF84A1FF-16CC-4D3C-8626-363C794C0911}" name="Unit Price" dataCellStyle="Currency"/>
    <tableColumn id="9" xr3:uid="{65648BEE-77DD-4D42-B639-6FFFD268AF96}" name="Extended Price" dataCellStyle="Currency">
      <calculatedColumnFormula>RBA_47891151213[[#This Row],[Unit Price]]*RBA_47891151213[[#This Row],[Quantity]]</calculatedColumnFormula>
    </tableColumn>
    <tableColumn id="12" xr3:uid="{B23B2726-0613-444C-83C6-160616321B7C}" name="Description"/>
    <tableColumn id="16" xr3:uid="{2C126F60-921E-4CDC-9256-9570FC692729}" name="Comments"/>
    <tableColumn id="6" xr3:uid="{091EC87E-7971-478C-A108-1D714813D8A4}" name="Alternative Vendor"/>
    <tableColumn id="7" xr3:uid="{6D405A3A-B1BF-4651-BDE5-DD392243CD75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3CC5DBC-959F-4256-BCFF-6680FDF34F8A}" name="RBA_47" displayName="RBA_47" ref="A2:L21" totalsRowShown="0" headerRowDxfId="9" tableBorderDxfId="8">
  <autoFilter ref="A2:L21" xr:uid="{AEB73607-C281-450A-B481-305282F70C69}"/>
  <tableColumns count="12">
    <tableColumn id="1" xr3:uid="{5BF06E3B-8E83-4B50-A29A-31F2D60EADCE}" name="Part Number - Assembly"/>
    <tableColumn id="2" xr3:uid="{A0969D2E-B463-4491-8022-CAEC2D00F3D2}" name="Thumbnail"/>
    <tableColumn id="3" xr3:uid="{DEDDED1A-8906-41A3-9C20-ACF657E44F4B}" name="Quantity"/>
    <tableColumn id="4" xr3:uid="{5F338E93-9752-46EA-8314-A6EAB4EB486B}" name="Vendor"/>
    <tableColumn id="5" xr3:uid="{4905D375-C1E7-4C15-ADEF-4CF4AF682B0D}" name="Vendor Link">
      <calculatedColumnFormula>HYPERLINK("https://8020.net/20-2040.html", "20-2040")</calculatedColumnFormula>
    </tableColumn>
    <tableColumn id="8" xr3:uid="{EC908E84-2504-4C43-8299-45EDFC0DE9F2}" name="Unit Price" dataCellStyle="Currency"/>
    <tableColumn id="9" xr3:uid="{71348B1C-533F-487E-9BD8-162FF2AB7EEE}" name="Extended Price" dataCellStyle="Currency">
      <calculatedColumnFormula>RBA_47[[#This Row],[Unit Price]]*RBA_47[[#This Row],[Quantity]]</calculatedColumnFormula>
    </tableColumn>
    <tableColumn id="12" xr3:uid="{15450995-C0EB-4F32-867F-43EA36A93CC4}" name="Description"/>
    <tableColumn id="16" xr3:uid="{57E7A1D0-71D8-4D94-9D24-E30B126EC1CB}" name="Comments"/>
    <tableColumn id="6" xr3:uid="{99348394-6BD5-4B36-AD48-E249DF0D4589}" name="Alternative Vendor"/>
    <tableColumn id="7" xr3:uid="{A2D3C8D3-146E-4634-8C8B-8F30A28B5FC7}" name="Alternative Vendor Link">
      <calculatedColumnFormula>HYPERLINK("", "Amazon")</calculatedColumnFormula>
    </tableColumn>
    <tableColumn id="10" xr3:uid="{85BA890F-F134-4789-A0B4-E50235ED9405}" name="SubTotal"/>
  </tableColumns>
  <tableStyleInfo name="TableStyleLight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7F918E-56F2-415D-815F-8578A43A006A}" name="RBA_478" displayName="RBA_478" ref="A2:K21" totalsRowShown="0" headerRowDxfId="7" tableBorderDxfId="6">
  <autoFilter ref="A2:K21" xr:uid="{AEB73607-C281-450A-B481-305282F70C69}"/>
  <tableColumns count="11">
    <tableColumn id="1" xr3:uid="{06216075-4489-44F7-BF72-3F973EC9AAD8}" name="Part Number - Assembly"/>
    <tableColumn id="2" xr3:uid="{E2266135-C3C9-4BCF-AE74-9E61F5533A9F}" name="Thumbnail"/>
    <tableColumn id="3" xr3:uid="{9562A462-559D-4CD7-A931-8A83541C107F}" name="Quantity"/>
    <tableColumn id="4" xr3:uid="{8A20C630-1F3D-4A17-AA75-C79AF3EE1043}" name="Vendor"/>
    <tableColumn id="5" xr3:uid="{6BDD1213-9279-4D31-B60D-028DB24F802F}" name="Vendor Link">
      <calculatedColumnFormula>HYPERLINK("https://8020.net/20-2040.html", "20-2040")</calculatedColumnFormula>
    </tableColumn>
    <tableColumn id="8" xr3:uid="{57780C95-473B-477E-81DE-5CE5CEA45EEB}" name="Unit Price" dataCellStyle="Currency"/>
    <tableColumn id="9" xr3:uid="{E015C134-EF08-4DF9-B30D-4E561489B84A}" name="Extended Price" dataCellStyle="Currency">
      <calculatedColumnFormula>RBA_478[[#This Row],[Unit Price]]*RBA_478[[#This Row],[Quantity]]</calculatedColumnFormula>
    </tableColumn>
    <tableColumn id="12" xr3:uid="{E0F78D55-8639-4565-8570-53C2BF69008C}" name="Description"/>
    <tableColumn id="16" xr3:uid="{434FD4FE-3DA4-4725-8BAB-D967DA4658F1}" name="Comments"/>
    <tableColumn id="6" xr3:uid="{7AC8A47A-040C-4457-A48B-B3D28E33F8F6}" name="Alternative Vendor"/>
    <tableColumn id="7" xr3:uid="{0BEF4149-61D8-4CF2-9499-86FEE58308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A23F2F7-67C2-4498-BB0E-5EA323EB74BF}" name="RBA_47815" displayName="RBA_47815" ref="A2:K21" totalsRowShown="0" headerRowDxfId="5" tableBorderDxfId="4">
  <autoFilter ref="A2:K21" xr:uid="{AEB73607-C281-450A-B481-305282F70C69}"/>
  <tableColumns count="11">
    <tableColumn id="1" xr3:uid="{CA99BB82-BB66-4ED2-A867-6C992B1C1571}" name="Part Number - Assembly"/>
    <tableColumn id="2" xr3:uid="{D046ACCB-9954-4830-B1CE-1974B3B5F8C3}" name="Thumbnail"/>
    <tableColumn id="3" xr3:uid="{A4674A13-98C8-4A34-8CA4-123D51E6A15B}" name="Quantity"/>
    <tableColumn id="4" xr3:uid="{FF69DF56-9C98-40D1-BCBF-E238E7141CD4}" name="Vendor"/>
    <tableColumn id="5" xr3:uid="{73877A5F-3DA0-43F9-AF93-0725ABB27337}" name="Vendor Link">
      <calculatedColumnFormula>HYPERLINK("https://8020.net/20-2040.html", "20-2040")</calculatedColumnFormula>
    </tableColumn>
    <tableColumn id="8" xr3:uid="{86DADC17-BC6F-4D1A-AF3C-D022592290C3}" name="Unit Price" dataCellStyle="Currency"/>
    <tableColumn id="9" xr3:uid="{640E960F-8871-4333-BF8D-618BAF530B8A}" name="Extended Price" dataCellStyle="Currency">
      <calculatedColumnFormula>RBA_47815[[#This Row],[Unit Price]]*RBA_47815[[#This Row],[Quantity]]</calculatedColumnFormula>
    </tableColumn>
    <tableColumn id="12" xr3:uid="{80809820-AD1F-4C07-A588-4897F31B4FEA}" name="Description"/>
    <tableColumn id="16" xr3:uid="{C0211A74-6293-4A28-9C5D-FFB7D2B62CD8}" name="Comments"/>
    <tableColumn id="6" xr3:uid="{61C8222B-0F09-4F35-BFE9-92F4075D1F6E}" name="Alternative Vendor"/>
    <tableColumn id="7" xr3:uid="{60A621E2-732E-4F1F-884F-80968CFB7A78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D00DD8-7230-4F18-8143-A0987C5D0CBD}" name="RBA_4789" displayName="RBA_4789" ref="A2:K21" totalsRowShown="0" headerRowDxfId="3" tableBorderDxfId="2">
  <autoFilter ref="A2:K21" xr:uid="{AEB73607-C281-450A-B481-305282F70C69}"/>
  <tableColumns count="11">
    <tableColumn id="1" xr3:uid="{5561EB81-DB1F-4FD1-B823-5AEA29E3528C}" name="Part Number - Assembly"/>
    <tableColumn id="2" xr3:uid="{385C3937-9989-4056-936D-2F9E53C09898}" name="Thumbnail"/>
    <tableColumn id="3" xr3:uid="{74C43C11-9B0C-4AF7-9B68-63E1F410B37A}" name="Quantity"/>
    <tableColumn id="4" xr3:uid="{20D46D9E-3D70-41D6-9D52-25D50357AE68}" name="Vendor"/>
    <tableColumn id="5" xr3:uid="{E69866C8-04A0-40F2-ACAD-C67B76C31670}" name="Vendor Link">
      <calculatedColumnFormula>HYPERLINK("https://8020.net/20-2040.html", "20-2040")</calculatedColumnFormula>
    </tableColumn>
    <tableColumn id="8" xr3:uid="{FD5808B4-A162-4FFE-A6F9-69182D25F52A}" name="Unit Price" dataCellStyle="Currency"/>
    <tableColumn id="9" xr3:uid="{7DB2F7BB-9474-4567-9742-3B7BEA7434DE}" name="Extended Price" dataCellStyle="Currency">
      <calculatedColumnFormula>RBA_4789[[#This Row],[Unit Price]]*RBA_4789[[#This Row],[Quantity]]</calculatedColumnFormula>
    </tableColumn>
    <tableColumn id="12" xr3:uid="{2E670B7F-BD45-4796-A490-C5EA27375399}" name="Description"/>
    <tableColumn id="16" xr3:uid="{9A93AE37-A671-41EC-99AB-A885BB4AAB29}" name="Comments"/>
    <tableColumn id="6" xr3:uid="{94F95D56-653C-4B05-B973-5A197FA06A08}" name="Alternative Vendor"/>
    <tableColumn id="7" xr3:uid="{79075DD9-C80A-438A-A5B3-6AC5ADB11AD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52DEE47-6D00-4A01-9D85-5821DFFD0E0D}" name="RBA_478911" displayName="RBA_478911" ref="A2:K21" totalsRowShown="0" headerRowDxfId="1" tableBorderDxfId="0">
  <autoFilter ref="A2:K21" xr:uid="{AEB73607-C281-450A-B481-305282F70C69}"/>
  <tableColumns count="11">
    <tableColumn id="1" xr3:uid="{769116A9-6701-431A-B87F-E8B659355301}" name="Part Number - Assembly"/>
    <tableColumn id="2" xr3:uid="{DE8016B2-39BC-454E-8488-8731DE3BA9A2}" name="Thumbnail"/>
    <tableColumn id="3" xr3:uid="{C4B5D665-8026-4B0D-AF80-490334AF0C10}" name="Quantity"/>
    <tableColumn id="4" xr3:uid="{C18A9099-D911-4C26-B3CC-25D1DCC6CB07}" name="Vendor"/>
    <tableColumn id="5" xr3:uid="{BA9B0E2B-0C98-4355-BB71-63B2A90A0BC8}" name="Vendor Link">
      <calculatedColumnFormula>HYPERLINK("https://8020.net/20-2040.html", "20-2040")</calculatedColumnFormula>
    </tableColumn>
    <tableColumn id="8" xr3:uid="{D966B16D-4C63-4879-8CDD-16B714C01A4C}" name="Unit Price" dataCellStyle="Currency"/>
    <tableColumn id="9" xr3:uid="{DB03D5B7-D6CC-427B-A971-AFE4058894C2}" name="Extended Price" dataCellStyle="Currency">
      <calculatedColumnFormula>RBA_478911[[#This Row],[Unit Price]]*RBA_478911[[#This Row],[Quantity]]</calculatedColumnFormula>
    </tableColumn>
    <tableColumn id="12" xr3:uid="{5EC14FF4-6251-4004-83C6-E5D3569636B0}" name="Description"/>
    <tableColumn id="16" xr3:uid="{0B6D70D1-70D8-4355-AF93-70F338BF50FE}" name="Comments"/>
    <tableColumn id="6" xr3:uid="{813C2C62-D748-4335-B166-4D9B34F60B68}" name="Alternative Vendor"/>
    <tableColumn id="7" xr3:uid="{2E70CBBE-2A2F-4858-BD5D-41E44D69FE2D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D8DE9-2DF6-4639-8D5D-1D3F411550FF}" name="Table1" displayName="Table1" ref="A2:P23" totalsRowShown="0" headerRowDxfId="61">
  <autoFilter ref="A2:P23" xr:uid="{4CC865C4-70F4-4E79-B894-F6854082DA6C}"/>
  <tableColumns count="16">
    <tableColumn id="1" xr3:uid="{94934CA5-B853-46A9-A868-2C7E751C9D63}" name="Manufacturer Part Number"/>
    <tableColumn id="2" xr3:uid="{1C522A9A-89DE-465E-AC5C-7908650F27E3}" name="Manufacturer"/>
    <tableColumn id="3" xr3:uid="{E742393B-CF6C-4726-860E-C94B856C996B}" name="Digi-Key Part Number"/>
    <tableColumn id="4" xr3:uid="{E0EBABF2-EBF9-4BF8-9EBE-EF043BD535AB}" name="Customer Reference"/>
    <tableColumn id="5" xr3:uid="{0E4320DD-05F2-4550-923E-5AE7397A7182}" name="Packaging"/>
    <tableColumn id="6" xr3:uid="{B57BF312-41D4-4549-87BE-4ECD5A5770A1}" name="Part Status"/>
    <tableColumn id="7" xr3:uid="{13614D4E-76BD-42CD-A5D0-35C0695CE406}" name="Quantity"/>
    <tableColumn id="8" xr3:uid="{37AAA893-D147-47AE-8C6B-9E947983FF89}" name="Unit Price"/>
    <tableColumn id="9" xr3:uid="{F113474A-3F70-47FC-A1D7-3F47C210EDAA}" name="Extended Price" dataCellStyle="Currency"/>
    <tableColumn id="10" xr3:uid="{C6EE3B43-AC29-4D9A-843A-B6D043E0A8A7}" name="Quantity Available"/>
    <tableColumn id="11" xr3:uid="{53131A5B-4E6C-4C8D-86E3-7F683780B10D}" name="Mfg Std Lead Time"/>
    <tableColumn id="12" xr3:uid="{9A0D62CD-7DAB-4213-987C-1C4DFCCF3019}" name="Description"/>
    <tableColumn id="13" xr3:uid="{CCC9840A-11B7-4166-9169-F02EE8DFF88C}" name="RoHS Status"/>
    <tableColumn id="14" xr3:uid="{917C109C-9EEC-484B-AD18-3D23E14A7876}" name="Lead Free Status"/>
    <tableColumn id="15" xr3:uid="{ACA931CA-038D-4B73-BAD0-27ED4121170E}" name="REACH Status"/>
    <tableColumn id="16" xr3:uid="{4A52EDC3-41A1-4FBB-9FB5-933DECF5991F}" name="Column1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B47C9D-53AE-490D-9D1B-D29177F34A8D}" name="Table2" displayName="Table2" ref="A26:O51" totalsRowShown="0" headerRowDxfId="60" dataDxfId="59" headerRowCellStyle="Normal 2" dataCellStyle="Normal 2">
  <autoFilter ref="A26:O51" xr:uid="{3D413324-657D-4CBA-A833-F88007EF4264}"/>
  <tableColumns count="15">
    <tableColumn id="1" xr3:uid="{B2E70E41-9E16-49CA-A688-7AC18C1ED016}" name="Manufacturer Part Number" dataDxfId="58" dataCellStyle="Normal 2"/>
    <tableColumn id="2" xr3:uid="{6B59215C-904B-43A0-9B4A-AB0E67299905}" name="Manufacturer" dataDxfId="57" dataCellStyle="Normal 2"/>
    <tableColumn id="3" xr3:uid="{DD20B8A8-53CD-4A48-AEE1-70BA807C8EEA}" name="Digi-Key Part Number" dataDxfId="56" dataCellStyle="Normal 2"/>
    <tableColumn id="4" xr3:uid="{D6FF6B24-3A2F-4CC8-A2BF-EC9E5C63F221}" name="Customer Reference" dataDxfId="55" dataCellStyle="Normal 2"/>
    <tableColumn id="6" xr3:uid="{00154DED-35B4-4DC6-A5CA-366FDF6CF4A8}" name="Packaging" dataDxfId="54" dataCellStyle="Normal 2"/>
    <tableColumn id="7" xr3:uid="{7510C95A-484A-4DC4-9287-E7E4048CE55F}" name="Part Status" dataDxfId="53" dataCellStyle="Normal 2"/>
    <tableColumn id="8" xr3:uid="{86130162-85F0-4EF0-90A3-60A56AACDF7B}" name="Quantity" dataDxfId="52" dataCellStyle="Normal 2"/>
    <tableColumn id="9" xr3:uid="{A253EF67-AEDC-4815-89E7-BF69910B09B6}" name="Unit Price" dataDxfId="51" dataCellStyle="Normal 2"/>
    <tableColumn id="10" xr3:uid="{92B290F7-25C2-4F72-A522-FCE1AA821946}" name="Extended Price" dataDxfId="50" dataCellStyle="Currency"/>
    <tableColumn id="11" xr3:uid="{513AEB4C-DFAB-4E29-92B7-65C904FF7D01}" name="Quantity Available" dataDxfId="49" dataCellStyle="Normal 2"/>
    <tableColumn id="12" xr3:uid="{69413C94-7AF0-479A-AEDD-64F66D6F47DE}" name="Mfg Std Lead Time" dataDxfId="48" dataCellStyle="Normal 2"/>
    <tableColumn id="13" xr3:uid="{7240CA0E-359D-4DB8-8A48-E5A9E8C25292}" name="Description" dataDxfId="47" dataCellStyle="Normal 2"/>
    <tableColumn id="14" xr3:uid="{83DDBE5C-9AB8-432E-B6EC-0900714F0852}" name="RoHS Status" dataDxfId="46" dataCellStyle="Normal 2"/>
    <tableColumn id="15" xr3:uid="{E5A739E3-772E-4109-84A6-8264447B7682}" name="Lead Free Status" dataDxfId="45" dataCellStyle="Normal 2"/>
    <tableColumn id="16" xr3:uid="{4317AFA4-A1A2-480B-9930-78E13685E7A5}" name="REACH Status" dataDxfId="44" dataCellStyle="Normal 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F21E7A-B121-45DE-A450-51DFD62AB368}" name="Table5" displayName="Table5" ref="A54:O59" totalsRowShown="0" headerRowDxfId="43" dataDxfId="42" tableBorderDxfId="41" headerRowCellStyle="Normal 2">
  <autoFilter ref="A54:O59" xr:uid="{E5775DE7-B0D6-434B-9E81-8E797CB33C8F}"/>
  <tableColumns count="15">
    <tableColumn id="1" xr3:uid="{20A9B34A-0BDE-406C-9284-42396D12E1E8}" name="Manufacturer Part Number" dataDxfId="40"/>
    <tableColumn id="2" xr3:uid="{370D2A53-7D06-4073-A070-AAD23FF99906}" name="Manufacturer" dataDxfId="39"/>
    <tableColumn id="3" xr3:uid="{C2834F26-8D66-4C19-8B65-AAA5D1688301}" name="Digi-Key Part Number" dataDxfId="38"/>
    <tableColumn id="4" xr3:uid="{FB6416D0-BFFD-46A4-B485-8DCAF43A11AB}" name="Customer Reference" dataDxfId="37"/>
    <tableColumn id="5" xr3:uid="{56A695A0-C403-4B74-B146-F0D3B63EA053}" name="Packaging" dataDxfId="36"/>
    <tableColumn id="6" xr3:uid="{20E6FA99-F191-48F9-ACD1-BC6CF10711CE}" name="Part Status" dataDxfId="35"/>
    <tableColumn id="7" xr3:uid="{35B7773A-8FD8-428B-873D-343086AC7F9A}" name="Quantity" dataDxfId="34"/>
    <tableColumn id="8" xr3:uid="{7E0C5B7A-E6F5-442F-8138-B9CC70588614}" name="Unit Price" dataDxfId="33" dataCellStyle="Currency"/>
    <tableColumn id="9" xr3:uid="{AC6F2354-427F-4590-BBC4-C2CCD5E5D76F}" name="Extended Price" dataDxfId="32" dataCellStyle="Currency"/>
    <tableColumn id="10" xr3:uid="{9CB6BCD3-C29A-4EEB-8E62-7BD5605AC29E}" name="Quantity Available" dataDxfId="31"/>
    <tableColumn id="11" xr3:uid="{B7AA4FE9-D5A6-41AB-8B53-DEDADD7AB2C1}" name="Mfg Std Lead Time" dataDxfId="30"/>
    <tableColumn id="12" xr3:uid="{08002C5C-4042-403A-B796-9C757374529C}" name="Description" dataDxfId="29"/>
    <tableColumn id="13" xr3:uid="{C1F04F0D-0F9F-4D6E-B682-02A8FAA992EC}" name="RoHS Status" dataDxfId="28"/>
    <tableColumn id="14" xr3:uid="{DACC60B8-D45B-4197-BD16-E6A586A16303}" name="Lead Free Status" dataDxfId="27"/>
    <tableColumn id="15" xr3:uid="{068DA1C5-D89C-4B2F-A7BC-588FDBF44AE5}" name="REACH Status" dataDxfId="2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1B03A55-5760-438D-B7E3-27AE5EDA14E2}" name="RBA_478910" displayName="RBA_478910" ref="A2:K35" totalsRowShown="0" headerRowDxfId="25" tableBorderDxfId="24">
  <autoFilter ref="A2:K35" xr:uid="{AEB73607-C281-450A-B481-305282F70C69}"/>
  <tableColumns count="11">
    <tableColumn id="1" xr3:uid="{28EB3F0E-7C21-4114-A71E-1D2D6860B112}" name="Part Number - Assembly"/>
    <tableColumn id="2" xr3:uid="{55A5F4BD-683F-4097-971E-06476011487D}" name="Thumbnail"/>
    <tableColumn id="3" xr3:uid="{00300065-5D95-498C-8FB3-66C8B1A9124A}" name="Quantity"/>
    <tableColumn id="4" xr3:uid="{D8E9C82C-F228-49D4-868E-756B2F14946E}" name="Vendor"/>
    <tableColumn id="5" xr3:uid="{3A98FD2C-8C2D-4161-BC11-437EDDB81EB1}" name="Vendor Link">
      <calculatedColumnFormula>HYPERLINK("https://8020.net/20-2040.html", "20-2040")</calculatedColumnFormula>
    </tableColumn>
    <tableColumn id="8" xr3:uid="{B607441F-7D23-4F98-B9F7-0323B3C27A2E}" name="Unit Price" dataCellStyle="Currency"/>
    <tableColumn id="9" xr3:uid="{2EB315DE-63C5-458F-8481-65285B9EFE50}" name="Extended Price" dataCellStyle="Currency">
      <calculatedColumnFormula>RBA_478910[[#This Row],[Unit Price]]*RBA_478910[[#This Row],[Quantity]]</calculatedColumnFormula>
    </tableColumn>
    <tableColumn id="12" xr3:uid="{9ECD37D1-5BEE-4A6B-810B-7F5FD252AE5A}" name="Description"/>
    <tableColumn id="16" xr3:uid="{ADD9F502-47DB-4941-BEBB-6F9283432567}" name="Comments"/>
    <tableColumn id="6" xr3:uid="{D26F9D9B-D900-4E72-8ADC-065CCE24A7F5}" name="Alternative Vendor"/>
    <tableColumn id="7" xr3:uid="{E5DB983E-1D15-4DAB-A9C5-023F63E1520C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925081B-F596-441A-B7D7-B2545F85C26A}" name="RBA_47816" displayName="RBA_47816" ref="A2:K23" totalsRowShown="0" headerRowDxfId="23" tableBorderDxfId="22">
  <autoFilter ref="A2:K23" xr:uid="{AEB73607-C281-450A-B481-305282F70C69}"/>
  <tableColumns count="11">
    <tableColumn id="1" xr3:uid="{9EAF2B20-D6AC-4F9A-8E78-132DF715467C}" name="Part Number - Assembly" dataDxfId="21"/>
    <tableColumn id="2" xr3:uid="{EB443697-152E-4F70-A2A0-8273888F1490}" name="Thumbnail"/>
    <tableColumn id="3" xr3:uid="{5DBB9DB6-E618-475C-9C52-7AF33214A21C}" name="Quantity" dataDxfId="20"/>
    <tableColumn id="4" xr3:uid="{0C044D75-7433-413C-97D5-717D6C270EEA}" name="Vendor"/>
    <tableColumn id="5" xr3:uid="{B0D37B4D-9649-4597-9482-8F85281F68E0}" name="Vendor Link">
      <calculatedColumnFormula>HYPERLINK("https://8020.net/20-2040.html", "20-2040")</calculatedColumnFormula>
    </tableColumn>
    <tableColumn id="8" xr3:uid="{9B1F7DA3-464C-49E0-9953-BD51FCEFC195}" name="Unit Price" dataCellStyle="Currency"/>
    <tableColumn id="9" xr3:uid="{30B684D1-A350-438D-974B-B87094D99B43}" name="Extended Price" dataCellStyle="Currency">
      <calculatedColumnFormula>RBA_47816[[#This Row],[Unit Price]]*RBA_47816[[#This Row],[Quantity]]</calculatedColumnFormula>
    </tableColumn>
    <tableColumn id="12" xr3:uid="{D2F81D07-C88C-4F65-87D4-9C6419D50FC9}" name="Description"/>
    <tableColumn id="16" xr3:uid="{05D8F828-BDB8-4A0B-B1AE-74F49932D77B}" name="Comments"/>
    <tableColumn id="6" xr3:uid="{D7C9A8B2-432D-43C1-907D-1B8273A9832F}" name="Alternative Vendor"/>
    <tableColumn id="7" xr3:uid="{7453B8B8-662C-421F-B848-EC6E87E78D1F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B5B78D-F75B-4ADB-AD4F-10833E759F0D}" name="RBA_4789115" displayName="RBA_4789115" ref="A2:K21" totalsRowShown="0" headerRowDxfId="19" tableBorderDxfId="18">
  <autoFilter ref="A2:K21" xr:uid="{AEB73607-C281-450A-B481-305282F70C69}"/>
  <tableColumns count="11">
    <tableColumn id="1" xr3:uid="{96A5D40A-13D5-47DE-BB1C-E84B57C35604}" name="Part Number - Assembly"/>
    <tableColumn id="2" xr3:uid="{8ED3EDB3-1DAE-4D0B-8C03-86CACD717E76}" name="Thumbnail"/>
    <tableColumn id="3" xr3:uid="{85247056-C024-4B49-A7D5-1A65E41681DF}" name="Quantity"/>
    <tableColumn id="4" xr3:uid="{D5E18CBD-E557-4C4C-B272-6100BCC19DD9}" name="Vendor"/>
    <tableColumn id="5" xr3:uid="{79F731A8-B266-4C17-A5E3-CDF615D29158}" name="Vendor Link">
      <calculatedColumnFormula>HYPERLINK("https://8020.net/20-2040.html", "20-2040")</calculatedColumnFormula>
    </tableColumn>
    <tableColumn id="8" xr3:uid="{DE8F75DD-49B9-45FB-AE9E-7ED6750EBD3F}" name="Unit Price" dataCellStyle="Currency"/>
    <tableColumn id="9" xr3:uid="{E1581898-C2E5-49D9-93BD-712CF3782AFE}" name="Extended Price" dataCellStyle="Currency">
      <calculatedColumnFormula>RBA_4789115[[#This Row],[Unit Price]]*RBA_4789115[[#This Row],[Quantity]]</calculatedColumnFormula>
    </tableColumn>
    <tableColumn id="12" xr3:uid="{D9F20137-D873-4815-BDF4-014FFBE5450E}" name="Description"/>
    <tableColumn id="16" xr3:uid="{C7EA4492-ED23-42F7-A66D-5185C6041D5C}" name="Comments"/>
    <tableColumn id="6" xr3:uid="{A2281AA0-E923-4F56-A4A2-B90917E3FDCA}" name="Alternative Vendor"/>
    <tableColumn id="7" xr3:uid="{82A76561-CC88-4C0F-BDD2-1038450E37D8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19F858-3852-46DB-93B7-7E1A804E28EC}" name="RBA_4" displayName="RBA_4" ref="A2:K20" totalsRowShown="0" headerRowDxfId="17" tableBorderDxfId="16">
  <autoFilter ref="A2:K20" xr:uid="{AEB73607-C281-450A-B481-305282F70C69}"/>
  <tableColumns count="11">
    <tableColumn id="1" xr3:uid="{60D8FA4B-5C61-44F5-8793-485C259B3860}" name="Part Number - Assembly"/>
    <tableColumn id="2" xr3:uid="{ACA4F1D1-3066-4C2A-B28F-9D73A59A852E}" name="Thumbnail"/>
    <tableColumn id="3" xr3:uid="{FB294120-8954-40DE-B3D7-402EDE8696BA}" name="Quantity"/>
    <tableColumn id="4" xr3:uid="{2F1A9ADF-BB6D-4605-9097-C22418CFC41F}" name="Vendor"/>
    <tableColumn id="5" xr3:uid="{A2C86B3D-0C7B-4174-B246-491168F2E3D7}" name="Vendor Link">
      <calculatedColumnFormula>HYPERLINK("https://8020.net/20-2040.html", "20-2040")</calculatedColumnFormula>
    </tableColumn>
    <tableColumn id="8" xr3:uid="{8A5CE49B-3470-4288-955F-6AA8DA120538}" name="Unit Price" dataCellStyle="Currency"/>
    <tableColumn id="9" xr3:uid="{05A85597-76CE-48C4-A035-5737BA98A9BC}" name="Extended Price" dataCellStyle="Currency">
      <calculatedColumnFormula>RBA_4[[#This Row],[Unit Price]]*RBA_4[[#This Row],[Quantity]]</calculatedColumnFormula>
    </tableColumn>
    <tableColumn id="12" xr3:uid="{D1ADDF69-5172-4B86-BBC3-46581F264F14}" name="Description"/>
    <tableColumn id="16" xr3:uid="{9CE11377-0C03-47EF-AE46-CBF501AE5DF5}" name="Comments"/>
    <tableColumn id="6" xr3:uid="{B058A1FA-953A-4C8C-BC18-EC263A5EF5F9}" name="Alternative Vendor"/>
    <tableColumn id="7" xr3:uid="{9A16DA4B-6A53-4262-A37A-7C0B2154277A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CF8698A-0D3D-4C41-B020-0B1752F956DC}" name="RBA_478911512" displayName="RBA_478911512" ref="A2:K21" totalsRowShown="0" headerRowDxfId="15" tableBorderDxfId="14">
  <autoFilter ref="A2:K21" xr:uid="{AEB73607-C281-450A-B481-305282F70C69}"/>
  <tableColumns count="11">
    <tableColumn id="1" xr3:uid="{62957102-9908-4A5A-871C-4E9FF0EE8FEA}" name="Part Number - Assembly"/>
    <tableColumn id="2" xr3:uid="{CD80CE38-21A5-453D-8B85-991C567890D7}" name="Thumbnail"/>
    <tableColumn id="3" xr3:uid="{7FA91544-64C1-4E19-8CF0-E72B9B5FCFFC}" name="Quantity"/>
    <tableColumn id="4" xr3:uid="{4B21993D-BFF4-4E0C-A494-7C62608DD45C}" name="Vendor"/>
    <tableColumn id="5" xr3:uid="{214EA2C1-D054-4D3C-BEB6-C33ED622881F}" name="Vendor Link">
      <calculatedColumnFormula>HYPERLINK("https://8020.net/20-2040.html", "20-2040")</calculatedColumnFormula>
    </tableColumn>
    <tableColumn id="8" xr3:uid="{7BB4C907-E9CB-4DAC-AE97-7FF90C46C7F5}" name="Unit Price" dataCellStyle="Currency"/>
    <tableColumn id="9" xr3:uid="{E643430F-75EB-439C-8B16-C8FE5DEBD8E5}" name="Extended Price" dataCellStyle="Currency">
      <calculatedColumnFormula>RBA_478911512[[#This Row],[Unit Price]]*RBA_478911512[[#This Row],[Quantity]]</calculatedColumnFormula>
    </tableColumn>
    <tableColumn id="12" xr3:uid="{6F67E3A8-C29B-47F6-80BE-842828E3C2D9}" name="Description"/>
    <tableColumn id="16" xr3:uid="{42EAB9A2-76A8-4C9B-80C1-CE964487A54C}" name="Comments"/>
    <tableColumn id="6" xr3:uid="{C5C92A0A-5E82-4E8B-8E58-B74553ACA743}" name="Alternative Vendor"/>
    <tableColumn id="7" xr3:uid="{67448936-178B-4A04-AD8A-1ED3150735E5}" name="Alternative Vendor Link">
      <calculatedColumnFormula>HYPERLINK("https://www.amazon.com/Aluminum-Extrusion-European-Standard-Anodized/dp/B08CN92SP1/ref=sr_1_7?crid=3VIGODRUEW0NZ&amp;keywords=150mm+2040&amp;qid=1645476496&amp;sprefix=150mm+2040%2Caps%2C147&amp;sr=8-7", "Amazon")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5D0B-A61F-416F-933C-0297DCE53E09}">
  <dimension ref="A1:R9"/>
  <sheetViews>
    <sheetView workbookViewId="0">
      <selection activeCell="K16" sqref="K16"/>
    </sheetView>
  </sheetViews>
  <sheetFormatPr defaultRowHeight="15"/>
  <cols>
    <col min="1" max="1" width="27.5703125" bestFit="1" customWidth="1"/>
    <col min="2" max="2" width="9.85546875" bestFit="1" customWidth="1"/>
    <col min="3" max="3" width="30.42578125" bestFit="1" customWidth="1"/>
    <col min="4" max="4" width="11" bestFit="1" customWidth="1"/>
    <col min="5" max="5" width="12" bestFit="1" customWidth="1"/>
    <col min="6" max="6" width="18.140625" bestFit="1" customWidth="1"/>
    <col min="7" max="7" width="20" bestFit="1" customWidth="1"/>
    <col min="8" max="8" width="13.42578125" bestFit="1" customWidth="1"/>
    <col min="9" max="9" width="11.140625" bestFit="1" customWidth="1"/>
    <col min="11" max="11" width="13.42578125" bestFit="1" customWidth="1"/>
    <col min="12" max="12" width="17.140625" bestFit="1" customWidth="1"/>
    <col min="13" max="13" width="10.5703125" bestFit="1" customWidth="1"/>
    <col min="14" max="14" width="11.5703125" customWidth="1"/>
    <col min="16" max="16" width="14.5703125" customWidth="1"/>
    <col min="17" max="17" width="17.5703125" customWidth="1"/>
  </cols>
  <sheetData>
    <row r="1" spans="1:18" ht="33.75">
      <c r="A1" s="38" t="s">
        <v>223</v>
      </c>
      <c r="B1" s="38"/>
      <c r="C1" s="38"/>
      <c r="D1" s="38"/>
      <c r="E1" s="38"/>
      <c r="F1" s="38"/>
      <c r="G1" s="38"/>
      <c r="H1" s="38"/>
    </row>
    <row r="2" spans="1:18" ht="23.25">
      <c r="A2" s="18" t="s">
        <v>0</v>
      </c>
      <c r="B2" s="19" t="s">
        <v>219</v>
      </c>
      <c r="C2" s="19" t="s">
        <v>3</v>
      </c>
      <c r="D2" s="19" t="s">
        <v>6</v>
      </c>
      <c r="E2" s="19" t="s">
        <v>7</v>
      </c>
      <c r="F2" s="20" t="s">
        <v>8</v>
      </c>
      <c r="G2" s="19" t="s">
        <v>9</v>
      </c>
      <c r="H2" s="19" t="s">
        <v>11</v>
      </c>
      <c r="I2" s="22" t="s">
        <v>224</v>
      </c>
      <c r="K2" s="27" t="s">
        <v>204</v>
      </c>
      <c r="L2" s="28">
        <f>SUM(Table13[Extended Price])</f>
        <v>1408.0033625459321</v>
      </c>
    </row>
    <row r="3" spans="1:18">
      <c r="C3" t="s">
        <v>216</v>
      </c>
      <c r="D3">
        <v>2</v>
      </c>
      <c r="E3" s="7">
        <f>'Mechanical - Rail_AssemblyV2_0'!L3</f>
        <v>448.24980960629921</v>
      </c>
      <c r="F3" s="7">
        <f>Table13[[#This Row],[Unit Price]]*Table13[[#This Row],[Quantity]]</f>
        <v>896.49961921259842</v>
      </c>
      <c r="I3" t="s">
        <v>225</v>
      </c>
    </row>
    <row r="4" spans="1:18" ht="18" thickBot="1">
      <c r="C4" t="s">
        <v>222</v>
      </c>
      <c r="D4">
        <v>1</v>
      </c>
      <c r="E4" s="7">
        <f>'Mechanical - Top_Rail_Full'!L3</f>
        <v>261.02616</v>
      </c>
      <c r="F4" s="7">
        <f>Table13[[#This Row],[Unit Price]]*Table13[[#This Row],[Quantity]]</f>
        <v>261.02616</v>
      </c>
      <c r="I4" t="s">
        <v>225</v>
      </c>
      <c r="K4" s="30" t="s">
        <v>235</v>
      </c>
      <c r="L4" s="30"/>
    </row>
    <row r="5" spans="1:18" ht="27" thickTop="1">
      <c r="E5" s="7"/>
      <c r="F5" s="7"/>
      <c r="I5" t="s">
        <v>226</v>
      </c>
      <c r="K5" s="39" t="s">
        <v>230</v>
      </c>
      <c r="L5" s="39"/>
      <c r="M5" s="39" t="s">
        <v>231</v>
      </c>
      <c r="N5" s="39"/>
      <c r="P5" s="29" t="s">
        <v>233</v>
      </c>
      <c r="R5" t="s">
        <v>234</v>
      </c>
    </row>
    <row r="6" spans="1:18">
      <c r="E6" s="7"/>
      <c r="F6" s="7"/>
      <c r="I6" t="s">
        <v>226</v>
      </c>
      <c r="K6" s="24" t="s">
        <v>227</v>
      </c>
      <c r="L6" s="25">
        <v>1.5</v>
      </c>
      <c r="M6" s="24" t="s">
        <v>227</v>
      </c>
      <c r="N6" s="25">
        <f>L6</f>
        <v>1.5</v>
      </c>
      <c r="P6" s="24" t="s">
        <v>227</v>
      </c>
      <c r="Q6">
        <f>N6*(N9+1)</f>
        <v>1.5</v>
      </c>
      <c r="R6">
        <f>Q6*3.28084</f>
        <v>4.9212600000000002</v>
      </c>
    </row>
    <row r="7" spans="1:18">
      <c r="C7" t="s">
        <v>200</v>
      </c>
      <c r="D7">
        <v>1</v>
      </c>
      <c r="E7" s="23">
        <f>'Electrical '!I52</f>
        <v>34.43</v>
      </c>
      <c r="F7" s="7">
        <f>Table13[[#This Row],[Unit Price]]*Table13[[#This Row],[Quantity]]</f>
        <v>34.43</v>
      </c>
      <c r="I7" t="s">
        <v>226</v>
      </c>
      <c r="K7" s="24" t="s">
        <v>228</v>
      </c>
      <c r="L7" s="25">
        <v>2</v>
      </c>
      <c r="M7" s="24" t="s">
        <v>228</v>
      </c>
      <c r="N7" s="25">
        <f t="shared" ref="N7:N8" si="0">L7</f>
        <v>2</v>
      </c>
      <c r="P7" s="24" t="s">
        <v>228</v>
      </c>
      <c r="Q7">
        <f>N7*(N9+1)</f>
        <v>2</v>
      </c>
      <c r="R7">
        <f>Q7*3.28084</f>
        <v>6.56168</v>
      </c>
    </row>
    <row r="8" spans="1:18">
      <c r="C8" t="s">
        <v>441</v>
      </c>
      <c r="D8">
        <v>1</v>
      </c>
      <c r="E8" s="7">
        <f>'Mechanical - Ebox_Assy'!L3</f>
        <v>216.04758333333342</v>
      </c>
      <c r="F8" s="7">
        <f>Table13[[#This Row],[Unit Price]]*Table13[[#This Row],[Quantity]]</f>
        <v>216.04758333333342</v>
      </c>
      <c r="K8" s="24" t="s">
        <v>229</v>
      </c>
      <c r="L8" s="25">
        <v>2</v>
      </c>
      <c r="M8" s="24" t="s">
        <v>229</v>
      </c>
      <c r="N8" s="25">
        <f t="shared" si="0"/>
        <v>2</v>
      </c>
      <c r="P8" s="24" t="s">
        <v>229</v>
      </c>
      <c r="Q8">
        <f>N8*(N9+1)</f>
        <v>2</v>
      </c>
      <c r="R8">
        <f>Q8*3.28084</f>
        <v>6.56168</v>
      </c>
    </row>
    <row r="9" spans="1:18">
      <c r="E9" s="7"/>
      <c r="F9" s="7"/>
      <c r="M9" s="26" t="s">
        <v>232</v>
      </c>
      <c r="N9">
        <v>0</v>
      </c>
    </row>
  </sheetData>
  <mergeCells count="3">
    <mergeCell ref="A1:H1"/>
    <mergeCell ref="K5:L5"/>
    <mergeCell ref="M5:N5"/>
  </mergeCells>
  <conditionalFormatting sqref="F3:F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DB37D-6351-42A1-98A8-C85275010919}">
  <dimension ref="A1:AF22"/>
  <sheetViews>
    <sheetView workbookViewId="0">
      <selection activeCell="A10" sqref="A1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296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4" t="s">
        <v>289</v>
      </c>
      <c r="C3" s="34">
        <v>1</v>
      </c>
      <c r="D3" t="s">
        <v>220</v>
      </c>
      <c r="E3" s="32" t="str">
        <f>HYPERLINK("https://amzn.to/3p4Z7Zp", "PETG")</f>
        <v>PETG</v>
      </c>
      <c r="F3" s="5">
        <f>0.01899*27</f>
        <v>0.51273000000000002</v>
      </c>
      <c r="G3" s="5">
        <f>RBA_478[[#This Row],[Unit Price]]*RBA_478[[#This Row],[Quantity]]</f>
        <v>0.51273000000000002</v>
      </c>
      <c r="H3" t="s">
        <v>297</v>
      </c>
      <c r="I3" t="s">
        <v>256</v>
      </c>
      <c r="J3" t="s">
        <v>220</v>
      </c>
      <c r="K3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SUM(RBA_478[Extended Price])</f>
        <v>7.3609699999999991</v>
      </c>
    </row>
    <row r="4" spans="1:32" ht="50.1" customHeight="1">
      <c r="A4" s="34" t="s">
        <v>261</v>
      </c>
      <c r="C4" s="31">
        <v>4</v>
      </c>
      <c r="D4" t="s">
        <v>220</v>
      </c>
      <c r="E4" s="32" t="str">
        <f>HYPERLINK("https://amzn.to/3pcU6xT", "Amazon")</f>
        <v>Amazon</v>
      </c>
      <c r="F4" s="5">
        <f>15.99/20</f>
        <v>0.79949999999999999</v>
      </c>
      <c r="G4" s="5">
        <f>RBA_478[[#This Row],[Unit Price]]*RBA_478[[#This Row],[Quantity]]</f>
        <v>3.198</v>
      </c>
      <c r="H4" t="s">
        <v>269</v>
      </c>
      <c r="K4" s="32"/>
    </row>
    <row r="5" spans="1:32" ht="50.1" customHeight="1">
      <c r="A5" s="34" t="s">
        <v>290</v>
      </c>
      <c r="C5" s="34">
        <v>2</v>
      </c>
      <c r="D5" t="s">
        <v>220</v>
      </c>
      <c r="E5" s="32" t="str">
        <f>HYPERLINK("https://amzn.to/3p4Z7Zp", "PETG")</f>
        <v>PETG</v>
      </c>
      <c r="F5" s="5">
        <f>0.01899*8</f>
        <v>0.15192</v>
      </c>
      <c r="G5" s="5">
        <f>RBA_478[[#This Row],[Unit Price]]*RBA_478[[#This Row],[Quantity]]</f>
        <v>0.30384</v>
      </c>
      <c r="H5" t="s">
        <v>293</v>
      </c>
      <c r="I5" t="s">
        <v>218</v>
      </c>
      <c r="K5" s="32"/>
    </row>
    <row r="6" spans="1:32" ht="50.1" customHeight="1">
      <c r="A6" s="34" t="s">
        <v>246</v>
      </c>
      <c r="C6" s="34">
        <v>1</v>
      </c>
      <c r="D6" t="s">
        <v>281</v>
      </c>
      <c r="E6" s="32" t="str">
        <f>HYPERLINK("https://www.digikey.com/en/products/detail/w%C3%BCrth-elektronik/970300581/6174852", "DigiKey")</f>
        <v>DigiKey</v>
      </c>
      <c r="F6" s="5">
        <v>0.76</v>
      </c>
      <c r="G6" s="5">
        <f>RBA_478[[#This Row],[Quantity]]*RBA_478[[#This Row],[Unit Price]]</f>
        <v>0.76</v>
      </c>
      <c r="H6" t="s">
        <v>280</v>
      </c>
      <c r="K6" s="32" t="str">
        <f t="shared" ref="K6" si="0">HYPERLINK("", "Amazon")</f>
        <v>Amazon</v>
      </c>
    </row>
    <row r="7" spans="1:32" ht="50.1" customHeight="1">
      <c r="A7" s="34" t="s">
        <v>291</v>
      </c>
      <c r="C7" s="34">
        <v>2</v>
      </c>
      <c r="D7" t="s">
        <v>267</v>
      </c>
      <c r="E7" s="32" t="str">
        <f>HYPERLINK("https://www.mcmaster.com/92095A218/", "McMaster")</f>
        <v>McMaster</v>
      </c>
      <c r="F7" s="5">
        <f>9.22/25</f>
        <v>0.36880000000000002</v>
      </c>
      <c r="G7" s="5">
        <f>RBA_478[[#This Row],[Unit Price]]*RBA_478[[#This Row],[Quantity]]</f>
        <v>0.73760000000000003</v>
      </c>
      <c r="H7" t="s">
        <v>294</v>
      </c>
      <c r="I7" t="s">
        <v>279</v>
      </c>
      <c r="K7" s="32" t="str">
        <f>HYPERLINK("https://amzn.to/3I2Pemt", "Amazon")</f>
        <v>Amazon</v>
      </c>
    </row>
    <row r="8" spans="1:32" ht="50.1" customHeight="1">
      <c r="A8" s="34" t="s">
        <v>292</v>
      </c>
      <c r="C8" s="34">
        <v>4</v>
      </c>
      <c r="D8" t="s">
        <v>267</v>
      </c>
      <c r="E8" s="32" t="str">
        <f>HYPERLINK("https://www.mcmaster.com/92095A223/", "McMaster")</f>
        <v>McMaster</v>
      </c>
      <c r="F8" s="5">
        <f>11.11/25</f>
        <v>0.44439999999999996</v>
      </c>
      <c r="G8" s="5">
        <f>RBA_478[[#This Row],[Unit Price]]*RBA_478[[#This Row],[Quantity]]</f>
        <v>1.7775999999999998</v>
      </c>
      <c r="H8" t="s">
        <v>295</v>
      </c>
      <c r="I8" t="s">
        <v>279</v>
      </c>
      <c r="K8" s="32" t="str">
        <f>HYPERLINK("https://amzn.to/3sVaTGL", "Amazon")</f>
        <v>Amazon</v>
      </c>
    </row>
    <row r="9" spans="1:32" ht="50.1" customHeight="1">
      <c r="A9" s="34" t="s">
        <v>266</v>
      </c>
      <c r="C9" s="34">
        <v>2</v>
      </c>
      <c r="D9" t="s">
        <v>267</v>
      </c>
      <c r="E9" s="32" t="str">
        <f>HYPERLINK("https://www.mcmaster.com/90591A260/", "McMaster")</f>
        <v>McMaster</v>
      </c>
      <c r="F9" s="5">
        <f>3.56/100</f>
        <v>3.56E-2</v>
      </c>
      <c r="G9" s="5">
        <f>RBA_478[[#This Row],[Unit Price]]*RBA_478[[#This Row],[Quantity]]</f>
        <v>7.1199999999999999E-2</v>
      </c>
      <c r="H9" t="s">
        <v>273</v>
      </c>
      <c r="I9" t="s">
        <v>279</v>
      </c>
      <c r="K9" s="32" t="str">
        <f>HYPERLINK("https://amzn.to/3v5pm5K", "Amazon")</f>
        <v>Amazon</v>
      </c>
    </row>
    <row r="10" spans="1:32" ht="50.1" customHeight="1">
      <c r="A10" s="34"/>
      <c r="C10" s="34"/>
      <c r="E10" s="32"/>
      <c r="F10" s="5"/>
      <c r="G10" s="5"/>
      <c r="K10" s="32"/>
    </row>
    <row r="11" spans="1:32" ht="50.1" customHeight="1">
      <c r="A11" s="34"/>
      <c r="C11" s="34"/>
      <c r="E11" s="32"/>
      <c r="F11" s="5"/>
      <c r="G11" s="5"/>
      <c r="K11" s="32"/>
    </row>
    <row r="12" spans="1:32" ht="50.1" customHeight="1">
      <c r="A12" s="34"/>
      <c r="C12" s="34"/>
      <c r="E12" s="32"/>
      <c r="F12" s="5"/>
      <c r="G12" s="5"/>
      <c r="K12" s="32"/>
    </row>
    <row r="13" spans="1:32" ht="50.1" customHeight="1">
      <c r="A13" s="34"/>
      <c r="C13" s="34"/>
      <c r="E13" s="32"/>
      <c r="F13" s="5"/>
      <c r="G13" s="5"/>
      <c r="K13" s="32"/>
    </row>
    <row r="14" spans="1:32" ht="50.1" customHeight="1">
      <c r="A14" s="34"/>
      <c r="C14" s="34"/>
      <c r="E14" s="32"/>
      <c r="F14" s="5"/>
      <c r="G14" s="5"/>
      <c r="K14" s="32"/>
    </row>
    <row r="15" spans="1:32" ht="50.1" customHeight="1">
      <c r="A15" s="34"/>
      <c r="C15" s="34"/>
      <c r="E15" s="32"/>
      <c r="F15" s="5"/>
      <c r="G15" s="5"/>
      <c r="K15" s="32"/>
    </row>
    <row r="16" spans="1:32" ht="50.1" customHeight="1">
      <c r="A16" s="34"/>
      <c r="C16" s="34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/>
      <c r="B22" s="40"/>
      <c r="C22" s="40"/>
      <c r="D22" s="40"/>
      <c r="E22" s="40"/>
      <c r="F22" s="40"/>
      <c r="G22" s="40"/>
      <c r="H22" s="40"/>
      <c r="I22" s="5"/>
    </row>
  </sheetData>
  <mergeCells count="2">
    <mergeCell ref="A1:O1"/>
    <mergeCell ref="A22:H22"/>
  </mergeCells>
  <conditionalFormatting sqref="G18:G2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8 G10:G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2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C23AA-A26F-4100-BA01-76F4BB73F917}">
  <dimension ref="A1:AF22"/>
  <sheetViews>
    <sheetView workbookViewId="0">
      <selection activeCell="D4" sqref="D4:F4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412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289</v>
      </c>
      <c r="C3" s="31">
        <v>1</v>
      </c>
      <c r="D3" t="s">
        <v>220</v>
      </c>
      <c r="E3" s="32" t="str">
        <f>HYPERLINK("https://amzn.to/3p4Z7Zp", "PETG")</f>
        <v>PETG</v>
      </c>
      <c r="F3" s="5">
        <f>0.01899*27</f>
        <v>0.51273000000000002</v>
      </c>
      <c r="G3" s="5">
        <f>RBA_47815[[#This Row],[Unit Price]]*RBA_47815[[#This Row],[Quantity]]</f>
        <v>0.51273000000000002</v>
      </c>
      <c r="H3" t="s">
        <v>297</v>
      </c>
      <c r="K3" s="32"/>
      <c r="L3" s="7">
        <f>SUM(RBA_47815[Extended Price])</f>
        <v>9.5010500000000011</v>
      </c>
    </row>
    <row r="4" spans="1:32" ht="50.1" customHeight="1">
      <c r="A4" s="31" t="s">
        <v>261</v>
      </c>
      <c r="C4" s="31">
        <v>2</v>
      </c>
      <c r="D4" t="s">
        <v>220</v>
      </c>
      <c r="E4" s="32" t="str">
        <f>HYPERLINK("https://amzn.to/3pcU6xT", "Amazon")</f>
        <v>Amazon</v>
      </c>
      <c r="F4" s="5">
        <f>15.99/20</f>
        <v>0.79949999999999999</v>
      </c>
      <c r="G4" s="5">
        <f>RBA_47815[[#This Row],[Unit Price]]*RBA_47815[[#This Row],[Quantity]]</f>
        <v>1.599</v>
      </c>
      <c r="H4" t="s">
        <v>269</v>
      </c>
      <c r="K4" s="32"/>
    </row>
    <row r="5" spans="1:32" ht="50.1" customHeight="1">
      <c r="A5" s="31" t="s">
        <v>413</v>
      </c>
      <c r="C5" s="31">
        <v>2</v>
      </c>
      <c r="D5" t="s">
        <v>220</v>
      </c>
      <c r="E5" s="32" t="str">
        <f>HYPERLINK("https://amzn.to/3p4Z7Zp", "PETG")</f>
        <v>PETG</v>
      </c>
      <c r="F5" s="5">
        <f>0.01899*8</f>
        <v>0.15192</v>
      </c>
      <c r="G5" s="5">
        <f>RBA_47815[[#This Row],[Unit Price]]*RBA_47815[[#This Row],[Quantity]]</f>
        <v>0.30384</v>
      </c>
      <c r="H5" t="s">
        <v>293</v>
      </c>
      <c r="I5" t="s">
        <v>218</v>
      </c>
      <c r="K5" s="32"/>
    </row>
    <row r="6" spans="1:32" ht="50.1" customHeight="1">
      <c r="A6" s="31" t="s">
        <v>300</v>
      </c>
      <c r="C6" s="31">
        <v>4</v>
      </c>
      <c r="D6" t="s">
        <v>220</v>
      </c>
      <c r="E6" s="32" t="str">
        <f>HYPERLINK("https://amzn.to/3t3zuJQ", "F606ZZ")</f>
        <v>F606ZZ</v>
      </c>
      <c r="F6" s="5">
        <f>12.7/10</f>
        <v>1.27</v>
      </c>
      <c r="G6" s="5">
        <f>RBA_47815[[#This Row],[Unit Price]]*RBA_47815[[#This Row],[Quantity]]</f>
        <v>5.08</v>
      </c>
      <c r="K6" s="32"/>
    </row>
    <row r="7" spans="1:32" ht="50.1" customHeight="1">
      <c r="A7" s="31" t="s">
        <v>414</v>
      </c>
      <c r="C7" s="31">
        <v>4</v>
      </c>
      <c r="D7" t="s">
        <v>220</v>
      </c>
      <c r="E7" s="32" t="str">
        <f>HYPERLINK("https://amzn.to/3p4Z7Zp", "PETG")</f>
        <v>PETG</v>
      </c>
      <c r="F7" s="5">
        <f>0.01899*3</f>
        <v>5.697E-2</v>
      </c>
      <c r="G7" s="5">
        <f>RBA_47815[[#This Row],[Unit Price]]*RBA_47815[[#This Row],[Quantity]]</f>
        <v>0.22788</v>
      </c>
      <c r="H7" t="s">
        <v>297</v>
      </c>
      <c r="K7" s="32"/>
    </row>
    <row r="8" spans="1:32" ht="50.1" customHeight="1">
      <c r="A8" s="31" t="s">
        <v>292</v>
      </c>
      <c r="C8" s="31">
        <v>4</v>
      </c>
      <c r="D8" t="s">
        <v>267</v>
      </c>
      <c r="E8" s="32" t="str">
        <f>HYPERLINK("https://www.mcmaster.com/92095A223/", "McMaster")</f>
        <v>McMaster</v>
      </c>
      <c r="F8" s="5">
        <f>11.11/25</f>
        <v>0.44439999999999996</v>
      </c>
      <c r="G8" s="5">
        <f>RBA_47815[[#This Row],[Unit Price]]*RBA_47815[[#This Row],[Quantity]]</f>
        <v>1.7775999999999998</v>
      </c>
      <c r="H8" t="s">
        <v>295</v>
      </c>
      <c r="I8" t="s">
        <v>279</v>
      </c>
      <c r="K8" s="32" t="str">
        <f>HYPERLINK("https://amzn.to/3sVaTGL", "Amazon")</f>
        <v>Amazon</v>
      </c>
    </row>
    <row r="9" spans="1:32" ht="50.1" customHeight="1">
      <c r="A9" s="34"/>
      <c r="C9" s="34"/>
      <c r="E9" s="32"/>
      <c r="F9" s="5"/>
      <c r="G9" s="5"/>
      <c r="K9" s="32"/>
    </row>
    <row r="10" spans="1:32" ht="50.1" customHeight="1">
      <c r="A10" s="34"/>
      <c r="C10" s="34"/>
      <c r="E10" s="32"/>
      <c r="F10" s="5"/>
      <c r="G10" s="5"/>
      <c r="K10" s="32"/>
    </row>
    <row r="11" spans="1:32" ht="50.1" customHeight="1">
      <c r="A11" s="34"/>
      <c r="C11" s="34"/>
      <c r="E11" s="32"/>
      <c r="F11" s="5"/>
      <c r="G11" s="5"/>
      <c r="K11" s="32"/>
    </row>
    <row r="12" spans="1:32" ht="50.1" customHeight="1">
      <c r="A12" s="34"/>
      <c r="C12" s="34"/>
      <c r="E12" s="32"/>
      <c r="F12" s="5"/>
      <c r="G12" s="5"/>
      <c r="K12" s="32"/>
    </row>
    <row r="13" spans="1:32" ht="50.1" customHeight="1">
      <c r="A13" s="34"/>
      <c r="C13" s="34"/>
      <c r="E13" s="32"/>
      <c r="F13" s="5"/>
      <c r="G13" s="5"/>
      <c r="K13" s="32"/>
    </row>
    <row r="14" spans="1:32" ht="50.1" customHeight="1">
      <c r="A14" s="34"/>
      <c r="C14" s="34"/>
      <c r="E14" s="32"/>
      <c r="F14" s="5"/>
      <c r="G14" s="5"/>
      <c r="K14" s="32"/>
    </row>
    <row r="15" spans="1:32" ht="50.1" customHeight="1">
      <c r="A15" s="34"/>
      <c r="C15" s="34"/>
      <c r="E15" s="32"/>
      <c r="F15" s="5"/>
      <c r="G15" s="5"/>
      <c r="K15" s="32"/>
    </row>
    <row r="16" spans="1:32" ht="50.1" customHeight="1">
      <c r="A16" s="34"/>
      <c r="C16" s="34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/>
      <c r="B22" s="40"/>
      <c r="C22" s="40"/>
      <c r="D22" s="40"/>
      <c r="E22" s="40"/>
      <c r="F22" s="40"/>
      <c r="G22" s="40"/>
      <c r="H22" s="40"/>
      <c r="I22" s="5"/>
    </row>
  </sheetData>
  <mergeCells count="2">
    <mergeCell ref="A1:O1"/>
    <mergeCell ref="A22:H22"/>
  </mergeCells>
  <conditionalFormatting sqref="G18:G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17 F8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0:G21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0:F21 F8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9 F3 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9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0449-7EC3-47DC-B268-2C2AD3FB1A65}">
  <dimension ref="A1:AF22"/>
  <sheetViews>
    <sheetView workbookViewId="0">
      <selection activeCell="F5" sqref="F5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253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4" t="s">
        <v>299</v>
      </c>
      <c r="C3" s="34">
        <v>1</v>
      </c>
      <c r="D3" t="s">
        <v>220</v>
      </c>
      <c r="E3" s="32" t="str">
        <f t="shared" ref="E3" si="0">HYPERLINK("https://amzn.to/3p4Z7Zp", "PETG")</f>
        <v>PETG</v>
      </c>
      <c r="F3" s="5">
        <f>0.01899*20</f>
        <v>0.37980000000000003</v>
      </c>
      <c r="G3" s="5">
        <f>RBA_4789[[#This Row],[Unit Price]]*RBA_4789[[#This Row],[Quantity]]</f>
        <v>0.37980000000000003</v>
      </c>
      <c r="H3" t="s">
        <v>272</v>
      </c>
      <c r="I3" t="s">
        <v>218</v>
      </c>
      <c r="K3" s="32"/>
      <c r="L3" s="7">
        <f>SUM(RBA_4789[Extended Price])</f>
        <v>6.5005199999999999</v>
      </c>
    </row>
    <row r="4" spans="1:32" ht="50.1" customHeight="1">
      <c r="A4" s="34" t="s">
        <v>290</v>
      </c>
      <c r="C4" s="34">
        <v>1</v>
      </c>
      <c r="D4" t="s">
        <v>220</v>
      </c>
      <c r="E4" s="32" t="str">
        <f>HYPERLINK("https://amzn.to/3p4Z7Zp", "PETG")</f>
        <v>PETG</v>
      </c>
      <c r="F4" s="5">
        <f>0.01899*8</f>
        <v>0.15192</v>
      </c>
      <c r="G4" s="5">
        <f>RBA_4789[[#This Row],[Unit Price]]*RBA_4789[[#This Row],[Quantity]]</f>
        <v>0.15192</v>
      </c>
      <c r="H4" t="s">
        <v>293</v>
      </c>
      <c r="I4" t="s">
        <v>218</v>
      </c>
      <c r="K4" s="32"/>
    </row>
    <row r="5" spans="1:32" ht="50.1" customHeight="1">
      <c r="A5" s="34" t="s">
        <v>300</v>
      </c>
      <c r="C5" s="34">
        <v>4</v>
      </c>
      <c r="D5" t="s">
        <v>220</v>
      </c>
      <c r="E5" s="32" t="str">
        <f>HYPERLINK("https://amzn.to/3t3zuJQ", "F606ZZ")</f>
        <v>F606ZZ</v>
      </c>
      <c r="F5" s="5">
        <f>12.7/10</f>
        <v>1.27</v>
      </c>
      <c r="G5" s="5">
        <f>RBA_4789[[#This Row],[Unit Price]]*RBA_4789[[#This Row],[Quantity]]</f>
        <v>5.08</v>
      </c>
      <c r="K5" s="32"/>
    </row>
    <row r="6" spans="1:32" ht="50.1" customHeight="1">
      <c r="A6" s="34" t="s">
        <v>292</v>
      </c>
      <c r="C6" s="34">
        <v>2</v>
      </c>
      <c r="D6" t="s">
        <v>267</v>
      </c>
      <c r="E6" s="32" t="str">
        <f>HYPERLINK("https://www.mcmaster.com/92095A223/", "McMaster")</f>
        <v>McMaster</v>
      </c>
      <c r="F6" s="5">
        <f>11.11/25</f>
        <v>0.44439999999999996</v>
      </c>
      <c r="G6" s="5">
        <f>RBA_4789[[#This Row],[Unit Price]]*RBA_4789[[#This Row],[Quantity]]</f>
        <v>0.88879999999999992</v>
      </c>
      <c r="H6" t="s">
        <v>295</v>
      </c>
      <c r="I6" t="s">
        <v>279</v>
      </c>
      <c r="K6" s="32" t="str">
        <f>HYPERLINK("https://amzn.to/3sVaTGL", "Amazon")</f>
        <v>Amazon</v>
      </c>
    </row>
    <row r="7" spans="1:32" ht="50.1" customHeight="1">
      <c r="A7" s="31"/>
      <c r="C7" s="31"/>
      <c r="E7" s="32"/>
      <c r="F7" s="5"/>
      <c r="G7" s="5"/>
      <c r="K7" s="32"/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204</v>
      </c>
      <c r="B22" s="40"/>
      <c r="C22" s="40"/>
      <c r="D22" s="40"/>
      <c r="E22" s="40"/>
      <c r="F22" s="40"/>
      <c r="G22" s="40"/>
      <c r="H22" s="40"/>
      <c r="I22" s="5">
        <f>SUM(RBA_4789[Extended Price])</f>
        <v>6.5005199999999999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7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A1ECB-E919-4492-974C-48D8F04B0F0F}">
  <dimension ref="A1:AF22"/>
  <sheetViews>
    <sheetView workbookViewId="0">
      <selection activeCell="E9" sqref="E9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325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358</v>
      </c>
      <c r="C3" s="31">
        <v>1</v>
      </c>
      <c r="D3" t="s">
        <v>220</v>
      </c>
      <c r="E3" s="32" t="str">
        <f t="shared" ref="E3" si="0">HYPERLINK("https://amzn.to/3p4Z7Zp", "PETG")</f>
        <v>PETG</v>
      </c>
      <c r="F3" s="5">
        <f>0.01899*22</f>
        <v>0.41777999999999998</v>
      </c>
      <c r="G3" s="5">
        <f>RBA_478911[[#This Row],[Unit Price]]*RBA_478911[[#This Row],[Quantity]]</f>
        <v>0.41777999999999998</v>
      </c>
      <c r="H3" t="s">
        <v>366</v>
      </c>
      <c r="K3" s="32"/>
      <c r="L3" s="7">
        <f>SUM(RBA_478911[Extended Price])</f>
        <v>6.8655099999999996</v>
      </c>
    </row>
    <row r="4" spans="1:32" ht="50.1" customHeight="1">
      <c r="A4" s="31" t="s">
        <v>359</v>
      </c>
      <c r="C4" s="31">
        <v>1</v>
      </c>
      <c r="D4" t="s">
        <v>220</v>
      </c>
      <c r="E4" s="32" t="str">
        <f>HYPERLINK("https://amzn.to/3p4Z7Zp", "PETG")</f>
        <v>PETG</v>
      </c>
      <c r="F4" s="5">
        <f>0.01899*7</f>
        <v>0.13292999999999999</v>
      </c>
      <c r="G4" s="5">
        <f>RBA_478911[[#This Row],[Unit Price]]*RBA_478911[[#This Row],[Quantity]]</f>
        <v>0.13292999999999999</v>
      </c>
      <c r="H4" t="s">
        <v>365</v>
      </c>
      <c r="K4" s="32"/>
    </row>
    <row r="5" spans="1:32" ht="50.1" customHeight="1">
      <c r="A5" s="34" t="s">
        <v>360</v>
      </c>
      <c r="C5" s="31">
        <v>2</v>
      </c>
      <c r="D5" t="s">
        <v>267</v>
      </c>
      <c r="E5" s="32" t="str">
        <f>HYPERLINK("https://www.mcmaster.com/62805K49/", "McMaster")</f>
        <v>McMaster</v>
      </c>
      <c r="F5" s="5">
        <v>2.86</v>
      </c>
      <c r="G5" s="5">
        <f>RBA_478911[[#This Row],[Unit Price]]*RBA_478911[[#This Row],[Quantity]]</f>
        <v>5.72</v>
      </c>
      <c r="H5" t="s">
        <v>364</v>
      </c>
      <c r="K5" s="32"/>
    </row>
    <row r="6" spans="1:32" ht="50.1" customHeight="1">
      <c r="A6" s="31" t="s">
        <v>361</v>
      </c>
      <c r="C6" s="31">
        <v>1</v>
      </c>
      <c r="D6" t="s">
        <v>267</v>
      </c>
      <c r="E6" s="32" t="str">
        <f>HYPERLINK("https://www.mcmaster.com/92095A222/", "McMaster")</f>
        <v>McMaster</v>
      </c>
      <c r="F6" s="5">
        <f>13.31/25</f>
        <v>0.53239999999999998</v>
      </c>
      <c r="G6" s="5">
        <f>RBA_478911[[#This Row],[Unit Price]]*RBA_478911[[#This Row],[Quantity]]</f>
        <v>0.53239999999999998</v>
      </c>
      <c r="H6" t="s">
        <v>363</v>
      </c>
      <c r="I6" t="s">
        <v>279</v>
      </c>
      <c r="J6" t="s">
        <v>220</v>
      </c>
      <c r="K6" s="32" t="str">
        <f>HYPERLINK("https://amzn.to/35ijWtt", "Amazon")</f>
        <v>Amazon</v>
      </c>
    </row>
    <row r="7" spans="1:32" ht="50.1" customHeight="1">
      <c r="A7" s="31" t="s">
        <v>362</v>
      </c>
      <c r="C7" s="31">
        <v>2</v>
      </c>
      <c r="D7" t="s">
        <v>267</v>
      </c>
      <c r="E7" s="32" t="str">
        <f>HYPERLINK("https://www.mcmaster.com/90592A016/","McMaster")</f>
        <v>McMaster</v>
      </c>
      <c r="F7" s="5">
        <f>3.12/100</f>
        <v>3.1200000000000002E-2</v>
      </c>
      <c r="G7" s="5">
        <f>RBA_478911[[#This Row],[Unit Price]]*RBA_478911[[#This Row],[Quantity]]</f>
        <v>6.2400000000000004E-2</v>
      </c>
      <c r="H7" t="s">
        <v>367</v>
      </c>
      <c r="I7" t="s">
        <v>368</v>
      </c>
      <c r="J7" t="s">
        <v>220</v>
      </c>
      <c r="K7" s="32" t="str">
        <f>HYPERLINK("https://amzn.to/3JKgFBP","Amazon")</f>
        <v>Amazon</v>
      </c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204</v>
      </c>
      <c r="B22" s="40"/>
      <c r="C22" s="40"/>
      <c r="D22" s="40"/>
      <c r="E22" s="40"/>
      <c r="F22" s="40"/>
      <c r="G22" s="40"/>
      <c r="H22" s="40"/>
      <c r="I22" s="5">
        <f>SUM(RBA_478911[Extended Price])</f>
        <v>6.8655099999999996</v>
      </c>
    </row>
  </sheetData>
  <mergeCells count="2">
    <mergeCell ref="A1:O1"/>
    <mergeCell ref="A22:H22"/>
  </mergeCells>
  <conditionalFormatting sqref="G18:G2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 F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21 G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 F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5AEB-69FF-447D-8154-D544AC848EA4}">
  <dimension ref="A1:P60"/>
  <sheetViews>
    <sheetView topLeftCell="A34" workbookViewId="0">
      <selection activeCell="A60" sqref="A60:H60"/>
    </sheetView>
  </sheetViews>
  <sheetFormatPr defaultRowHeight="15"/>
  <cols>
    <col min="1" max="1" width="27.5703125" bestFit="1" customWidth="1"/>
    <col min="2" max="2" width="35.7109375" bestFit="1" customWidth="1"/>
    <col min="3" max="3" width="34.5703125" bestFit="1" customWidth="1"/>
    <col min="4" max="4" width="40.7109375" bestFit="1" customWidth="1"/>
    <col min="5" max="5" width="22.7109375" bestFit="1" customWidth="1"/>
    <col min="6" max="6" width="12.7109375" bestFit="1" customWidth="1"/>
    <col min="7" max="7" width="19.7109375" bestFit="1" customWidth="1"/>
    <col min="8" max="8" width="12" bestFit="1" customWidth="1"/>
    <col min="9" max="9" width="16.7109375" bestFit="1" customWidth="1"/>
    <col min="10" max="11" width="20" bestFit="1" customWidth="1"/>
    <col min="12" max="12" width="34.140625" bestFit="1" customWidth="1"/>
    <col min="13" max="13" width="35.42578125" bestFit="1" customWidth="1"/>
    <col min="14" max="15" width="17.85546875" bestFit="1" customWidth="1"/>
    <col min="16" max="16" width="14.85546875" customWidth="1"/>
    <col min="17" max="25" width="11" customWidth="1"/>
    <col min="26" max="115" width="12" customWidth="1"/>
    <col min="116" max="1015" width="13" customWidth="1"/>
    <col min="1016" max="10015" width="14" customWidth="1"/>
    <col min="10016" max="16384" width="15" customWidth="1"/>
  </cols>
  <sheetData>
    <row r="1" spans="1:16" ht="58.5" customHeight="1">
      <c r="A1" s="41" t="s">
        <v>201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</row>
    <row r="2" spans="1:16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4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355</v>
      </c>
    </row>
    <row r="3" spans="1:16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20</v>
      </c>
      <c r="G3">
        <v>2</v>
      </c>
      <c r="H3" s="5">
        <v>0.3</v>
      </c>
      <c r="I3" s="5">
        <v>0.6</v>
      </c>
      <c r="J3">
        <v>124776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</row>
    <row r="4" spans="1:16">
      <c r="A4" t="s">
        <v>26</v>
      </c>
      <c r="B4" t="s">
        <v>27</v>
      </c>
      <c r="C4" t="s">
        <v>28</v>
      </c>
      <c r="D4" t="s">
        <v>29</v>
      </c>
      <c r="E4" t="s">
        <v>19</v>
      </c>
      <c r="F4" t="s">
        <v>20</v>
      </c>
      <c r="G4">
        <v>5</v>
      </c>
      <c r="H4" s="5">
        <v>0.36</v>
      </c>
      <c r="I4" s="5">
        <v>1.8</v>
      </c>
      <c r="J4">
        <v>1019880</v>
      </c>
      <c r="K4" t="s">
        <v>30</v>
      </c>
      <c r="L4" t="s">
        <v>31</v>
      </c>
      <c r="M4" t="s">
        <v>23</v>
      </c>
      <c r="N4" t="s">
        <v>24</v>
      </c>
      <c r="O4" t="s">
        <v>32</v>
      </c>
    </row>
    <row r="5" spans="1:16">
      <c r="A5" t="s">
        <v>33</v>
      </c>
      <c r="B5" t="s">
        <v>27</v>
      </c>
      <c r="C5" t="s">
        <v>34</v>
      </c>
      <c r="D5" t="s">
        <v>35</v>
      </c>
      <c r="E5" t="s">
        <v>19</v>
      </c>
      <c r="F5" t="s">
        <v>20</v>
      </c>
      <c r="G5">
        <v>5</v>
      </c>
      <c r="H5" s="5">
        <v>0.1</v>
      </c>
      <c r="I5" s="5">
        <v>0.5</v>
      </c>
      <c r="J5">
        <v>354161</v>
      </c>
      <c r="K5" t="s">
        <v>30</v>
      </c>
      <c r="L5" t="s">
        <v>36</v>
      </c>
      <c r="M5" t="s">
        <v>23</v>
      </c>
      <c r="N5" t="s">
        <v>24</v>
      </c>
      <c r="O5" t="s">
        <v>32</v>
      </c>
    </row>
    <row r="6" spans="1:16">
      <c r="A6" t="s">
        <v>37</v>
      </c>
      <c r="B6" t="s">
        <v>38</v>
      </c>
      <c r="C6" t="s">
        <v>39</v>
      </c>
      <c r="D6" t="s">
        <v>40</v>
      </c>
      <c r="E6" t="s">
        <v>19</v>
      </c>
      <c r="F6" t="s">
        <v>20</v>
      </c>
      <c r="G6">
        <v>1</v>
      </c>
      <c r="H6" s="5">
        <v>0.1</v>
      </c>
      <c r="I6" s="5">
        <v>0.1</v>
      </c>
      <c r="J6">
        <v>233944</v>
      </c>
      <c r="K6" t="s">
        <v>41</v>
      </c>
      <c r="L6" t="s">
        <v>42</v>
      </c>
      <c r="M6" t="s">
        <v>23</v>
      </c>
      <c r="N6" t="s">
        <v>24</v>
      </c>
      <c r="O6" t="s">
        <v>32</v>
      </c>
    </row>
    <row r="7" spans="1:16">
      <c r="A7" t="s">
        <v>43</v>
      </c>
      <c r="B7" t="s">
        <v>27</v>
      </c>
      <c r="C7" t="s">
        <v>44</v>
      </c>
      <c r="D7" t="s">
        <v>45</v>
      </c>
      <c r="E7" t="s">
        <v>19</v>
      </c>
      <c r="F7" t="s">
        <v>20</v>
      </c>
      <c r="G7">
        <v>1</v>
      </c>
      <c r="H7" s="5">
        <v>0.36</v>
      </c>
      <c r="I7" s="5">
        <v>0.36</v>
      </c>
      <c r="J7">
        <v>613293</v>
      </c>
      <c r="K7" t="s">
        <v>30</v>
      </c>
      <c r="L7" t="s">
        <v>46</v>
      </c>
      <c r="M7" t="s">
        <v>23</v>
      </c>
      <c r="N7" t="s">
        <v>24</v>
      </c>
      <c r="O7" t="s">
        <v>32</v>
      </c>
    </row>
    <row r="8" spans="1:16">
      <c r="A8" t="s">
        <v>47</v>
      </c>
      <c r="B8" t="s">
        <v>48</v>
      </c>
      <c r="C8" t="s">
        <v>49</v>
      </c>
      <c r="D8" t="s">
        <v>50</v>
      </c>
      <c r="E8" t="s">
        <v>51</v>
      </c>
      <c r="F8" t="s">
        <v>20</v>
      </c>
      <c r="G8">
        <v>1</v>
      </c>
      <c r="H8" s="5">
        <v>0.66</v>
      </c>
      <c r="I8" s="5">
        <v>0.66</v>
      </c>
      <c r="J8">
        <v>70638</v>
      </c>
      <c r="K8" t="s">
        <v>52</v>
      </c>
      <c r="L8" t="s">
        <v>53</v>
      </c>
      <c r="M8" t="s">
        <v>54</v>
      </c>
      <c r="N8" t="s">
        <v>24</v>
      </c>
      <c r="O8" t="s">
        <v>32</v>
      </c>
    </row>
    <row r="9" spans="1:16">
      <c r="A9" t="s">
        <v>55</v>
      </c>
      <c r="B9" t="s">
        <v>48</v>
      </c>
      <c r="C9" t="s">
        <v>56</v>
      </c>
      <c r="D9" t="s">
        <v>57</v>
      </c>
      <c r="E9" t="s">
        <v>51</v>
      </c>
      <c r="F9" t="s">
        <v>20</v>
      </c>
      <c r="G9">
        <v>1</v>
      </c>
      <c r="H9" s="5">
        <v>0.44</v>
      </c>
      <c r="I9" s="5">
        <v>0.44</v>
      </c>
      <c r="J9">
        <v>2517</v>
      </c>
      <c r="K9" t="s">
        <v>58</v>
      </c>
      <c r="L9" t="s">
        <v>59</v>
      </c>
      <c r="M9" t="s">
        <v>54</v>
      </c>
      <c r="N9" t="s">
        <v>24</v>
      </c>
      <c r="O9" t="s">
        <v>32</v>
      </c>
    </row>
    <row r="10" spans="1:16">
      <c r="A10" t="s">
        <v>60</v>
      </c>
      <c r="B10" t="s">
        <v>61</v>
      </c>
      <c r="C10" t="s">
        <v>62</v>
      </c>
      <c r="D10" t="s">
        <v>63</v>
      </c>
      <c r="E10" t="s">
        <v>51</v>
      </c>
      <c r="F10" t="s">
        <v>20</v>
      </c>
      <c r="G10">
        <v>1</v>
      </c>
      <c r="H10" s="5">
        <v>1.02</v>
      </c>
      <c r="I10" s="5">
        <v>1.02</v>
      </c>
      <c r="J10">
        <v>3260</v>
      </c>
      <c r="K10" t="s">
        <v>64</v>
      </c>
      <c r="L10" t="s">
        <v>65</v>
      </c>
      <c r="M10" t="s">
        <v>23</v>
      </c>
      <c r="N10" t="s">
        <v>24</v>
      </c>
      <c r="O10" t="s">
        <v>32</v>
      </c>
    </row>
    <row r="11" spans="1:16">
      <c r="A11" t="s">
        <v>66</v>
      </c>
      <c r="B11" t="s">
        <v>67</v>
      </c>
      <c r="C11" t="s">
        <v>68</v>
      </c>
      <c r="D11" t="s">
        <v>69</v>
      </c>
      <c r="E11" t="s">
        <v>19</v>
      </c>
      <c r="F11" t="s">
        <v>20</v>
      </c>
      <c r="G11">
        <v>2</v>
      </c>
      <c r="H11" s="5">
        <v>0.45</v>
      </c>
      <c r="I11" s="5">
        <v>0.9</v>
      </c>
      <c r="J11">
        <v>3823</v>
      </c>
      <c r="K11" t="s">
        <v>30</v>
      </c>
      <c r="L11" t="s">
        <v>70</v>
      </c>
      <c r="M11" t="s">
        <v>23</v>
      </c>
      <c r="N11" t="s">
        <v>24</v>
      </c>
      <c r="O11" t="s">
        <v>32</v>
      </c>
    </row>
    <row r="12" spans="1:16">
      <c r="A12" t="s">
        <v>71</v>
      </c>
      <c r="B12" t="s">
        <v>72</v>
      </c>
      <c r="C12" t="s">
        <v>73</v>
      </c>
      <c r="D12" t="s">
        <v>74</v>
      </c>
      <c r="E12" t="s">
        <v>19</v>
      </c>
      <c r="F12" t="s">
        <v>20</v>
      </c>
      <c r="G12">
        <v>6</v>
      </c>
      <c r="H12" s="5">
        <v>0.1</v>
      </c>
      <c r="I12" s="5">
        <v>0.6</v>
      </c>
      <c r="J12">
        <v>2708711</v>
      </c>
      <c r="K12" t="s">
        <v>21</v>
      </c>
      <c r="L12" t="s">
        <v>75</v>
      </c>
      <c r="M12" t="s">
        <v>23</v>
      </c>
      <c r="N12" t="s">
        <v>24</v>
      </c>
      <c r="O12" t="s">
        <v>32</v>
      </c>
    </row>
    <row r="13" spans="1:16">
      <c r="A13" t="s">
        <v>76</v>
      </c>
      <c r="B13" t="s">
        <v>77</v>
      </c>
      <c r="C13" t="s">
        <v>78</v>
      </c>
      <c r="D13" t="s">
        <v>79</v>
      </c>
      <c r="E13" t="s">
        <v>19</v>
      </c>
      <c r="F13" t="s">
        <v>20</v>
      </c>
      <c r="G13">
        <v>1</v>
      </c>
      <c r="H13" s="5">
        <v>0.26</v>
      </c>
      <c r="I13" s="5">
        <v>0.26</v>
      </c>
      <c r="J13">
        <v>0</v>
      </c>
      <c r="K13" t="s">
        <v>58</v>
      </c>
      <c r="L13" t="s">
        <v>80</v>
      </c>
      <c r="M13" t="s">
        <v>23</v>
      </c>
      <c r="N13" t="s">
        <v>24</v>
      </c>
      <c r="O13" t="s">
        <v>32</v>
      </c>
    </row>
    <row r="14" spans="1:16">
      <c r="A14" t="s">
        <v>81</v>
      </c>
      <c r="B14" t="s">
        <v>82</v>
      </c>
      <c r="C14" t="s">
        <v>83</v>
      </c>
      <c r="D14" t="s">
        <v>84</v>
      </c>
      <c r="E14" t="s">
        <v>19</v>
      </c>
      <c r="F14" t="s">
        <v>20</v>
      </c>
      <c r="G14">
        <v>1</v>
      </c>
      <c r="H14" s="5">
        <v>0.1</v>
      </c>
      <c r="I14" s="5">
        <v>0.1</v>
      </c>
      <c r="J14">
        <v>2509617</v>
      </c>
      <c r="K14" t="s">
        <v>41</v>
      </c>
      <c r="L14" t="s">
        <v>85</v>
      </c>
      <c r="M14" t="s">
        <v>23</v>
      </c>
      <c r="N14" t="s">
        <v>24</v>
      </c>
      <c r="O14" t="s">
        <v>32</v>
      </c>
    </row>
    <row r="15" spans="1:16">
      <c r="A15" t="s">
        <v>86</v>
      </c>
      <c r="B15" t="s">
        <v>87</v>
      </c>
      <c r="C15" t="s">
        <v>88</v>
      </c>
      <c r="D15" t="s">
        <v>89</v>
      </c>
      <c r="E15" t="s">
        <v>19</v>
      </c>
      <c r="F15" t="s">
        <v>20</v>
      </c>
      <c r="G15">
        <v>1</v>
      </c>
      <c r="H15" s="5">
        <v>0.1</v>
      </c>
      <c r="I15" s="5">
        <v>0.1</v>
      </c>
      <c r="J15">
        <v>83167</v>
      </c>
      <c r="K15" t="s">
        <v>90</v>
      </c>
      <c r="L15" t="s">
        <v>91</v>
      </c>
      <c r="M15" t="s">
        <v>54</v>
      </c>
      <c r="N15" t="s">
        <v>24</v>
      </c>
      <c r="O15" t="s">
        <v>25</v>
      </c>
    </row>
    <row r="16" spans="1:16">
      <c r="A16" t="s">
        <v>92</v>
      </c>
      <c r="B16" t="s">
        <v>93</v>
      </c>
      <c r="C16" t="s">
        <v>94</v>
      </c>
      <c r="D16" t="s">
        <v>95</v>
      </c>
      <c r="E16" t="s">
        <v>96</v>
      </c>
      <c r="F16" t="s">
        <v>20</v>
      </c>
      <c r="G16">
        <v>1</v>
      </c>
      <c r="H16" s="5">
        <v>0.93</v>
      </c>
      <c r="I16" s="5">
        <v>0.93</v>
      </c>
      <c r="J16">
        <v>4541</v>
      </c>
      <c r="K16" t="s">
        <v>97</v>
      </c>
      <c r="L16" t="s">
        <v>98</v>
      </c>
      <c r="M16" t="s">
        <v>54</v>
      </c>
      <c r="N16" t="s">
        <v>24</v>
      </c>
      <c r="O16" t="s">
        <v>25</v>
      </c>
    </row>
    <row r="17" spans="1:16">
      <c r="A17" s="36" t="s">
        <v>99</v>
      </c>
      <c r="B17" s="36" t="s">
        <v>100</v>
      </c>
      <c r="C17" s="36" t="s">
        <v>101</v>
      </c>
      <c r="D17" s="36" t="s">
        <v>102</v>
      </c>
      <c r="E17" s="36" t="s">
        <v>19</v>
      </c>
      <c r="F17" s="36" t="s">
        <v>20</v>
      </c>
      <c r="G17" s="36">
        <v>1</v>
      </c>
      <c r="H17" s="37">
        <v>0</v>
      </c>
      <c r="I17" s="37">
        <v>0</v>
      </c>
      <c r="J17" s="36">
        <v>1001</v>
      </c>
      <c r="K17" s="36" t="s">
        <v>103</v>
      </c>
      <c r="L17" s="36" t="s">
        <v>104</v>
      </c>
      <c r="M17" s="36" t="s">
        <v>54</v>
      </c>
      <c r="N17" s="36" t="s">
        <v>24</v>
      </c>
      <c r="O17" s="36" t="s">
        <v>32</v>
      </c>
      <c r="P17" s="36" t="s">
        <v>354</v>
      </c>
    </row>
    <row r="18" spans="1:16">
      <c r="A18" t="s">
        <v>105</v>
      </c>
      <c r="B18" t="s">
        <v>106</v>
      </c>
      <c r="C18" t="s">
        <v>107</v>
      </c>
      <c r="D18" t="s">
        <v>108</v>
      </c>
      <c r="E18" t="s">
        <v>19</v>
      </c>
      <c r="F18" t="s">
        <v>20</v>
      </c>
      <c r="G18">
        <v>1</v>
      </c>
      <c r="H18" s="5">
        <v>2.74</v>
      </c>
      <c r="I18" s="5">
        <v>2.74</v>
      </c>
      <c r="J18">
        <v>0</v>
      </c>
      <c r="K18" t="s">
        <v>109</v>
      </c>
      <c r="L18" t="s">
        <v>110</v>
      </c>
      <c r="M18" t="s">
        <v>23</v>
      </c>
      <c r="N18" t="s">
        <v>24</v>
      </c>
      <c r="O18" t="s">
        <v>25</v>
      </c>
    </row>
    <row r="19" spans="1:16">
      <c r="A19" t="s">
        <v>111</v>
      </c>
      <c r="B19" t="s">
        <v>112</v>
      </c>
      <c r="C19" t="s">
        <v>113</v>
      </c>
      <c r="D19" t="s">
        <v>114</v>
      </c>
      <c r="E19" t="s">
        <v>19</v>
      </c>
      <c r="F19" t="s">
        <v>20</v>
      </c>
      <c r="G19">
        <v>1</v>
      </c>
      <c r="H19" s="5">
        <v>5.69</v>
      </c>
      <c r="I19" s="5">
        <v>5.69</v>
      </c>
      <c r="J19">
        <v>3465</v>
      </c>
      <c r="K19" t="s">
        <v>115</v>
      </c>
      <c r="L19" t="s">
        <v>116</v>
      </c>
      <c r="M19" t="s">
        <v>23</v>
      </c>
      <c r="N19" t="s">
        <v>24</v>
      </c>
      <c r="O19" t="s">
        <v>32</v>
      </c>
    </row>
    <row r="20" spans="1:16">
      <c r="A20" t="s">
        <v>117</v>
      </c>
      <c r="B20" t="s">
        <v>118</v>
      </c>
      <c r="C20" t="s">
        <v>119</v>
      </c>
      <c r="D20" t="s">
        <v>120</v>
      </c>
      <c r="E20" t="s">
        <v>19</v>
      </c>
      <c r="F20" t="s">
        <v>20</v>
      </c>
      <c r="G20">
        <v>2</v>
      </c>
      <c r="H20" s="5">
        <v>0.34</v>
      </c>
      <c r="I20" s="5">
        <v>0.68</v>
      </c>
      <c r="J20">
        <v>0</v>
      </c>
      <c r="K20" t="s">
        <v>41</v>
      </c>
      <c r="L20" t="s">
        <v>121</v>
      </c>
      <c r="M20" t="s">
        <v>23</v>
      </c>
      <c r="N20" t="s">
        <v>24</v>
      </c>
      <c r="O20" t="s">
        <v>32</v>
      </c>
    </row>
    <row r="21" spans="1:16">
      <c r="I21" s="5"/>
    </row>
    <row r="22" spans="1:16">
      <c r="I22" s="5"/>
    </row>
    <row r="23" spans="1:16">
      <c r="I23" s="5"/>
    </row>
    <row r="24" spans="1:16" ht="27.75" customHeight="1">
      <c r="A24" s="40" t="s">
        <v>204</v>
      </c>
      <c r="B24" s="40"/>
      <c r="C24" s="40"/>
      <c r="D24" s="40"/>
      <c r="E24" s="40"/>
      <c r="F24" s="40"/>
      <c r="G24" s="40"/>
      <c r="H24" s="40"/>
      <c r="I24" s="5">
        <f>SUM(Table1[Extended Price])</f>
        <v>17.48</v>
      </c>
    </row>
    <row r="25" spans="1:16" ht="47.25" customHeight="1">
      <c r="A25" s="42" t="s">
        <v>202</v>
      </c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</row>
    <row r="26" spans="1:16">
      <c r="A26" s="3" t="s">
        <v>0</v>
      </c>
      <c r="B26" s="3" t="s">
        <v>1</v>
      </c>
      <c r="C26" s="3" t="s">
        <v>2</v>
      </c>
      <c r="D26" s="3" t="s">
        <v>3</v>
      </c>
      <c r="E26" s="3" t="s">
        <v>4</v>
      </c>
      <c r="F26" s="3" t="s">
        <v>5</v>
      </c>
      <c r="G26" s="3" t="s">
        <v>6</v>
      </c>
      <c r="H26" s="3" t="s">
        <v>7</v>
      </c>
      <c r="I26" s="3" t="s">
        <v>8</v>
      </c>
      <c r="J26" s="3" t="s">
        <v>9</v>
      </c>
      <c r="K26" s="3" t="s">
        <v>10</v>
      </c>
      <c r="L26" s="3" t="s">
        <v>11</v>
      </c>
      <c r="M26" s="3" t="s">
        <v>12</v>
      </c>
      <c r="N26" s="3" t="s">
        <v>13</v>
      </c>
      <c r="O26" s="3" t="s">
        <v>14</v>
      </c>
    </row>
    <row r="27" spans="1:16">
      <c r="A27" s="2" t="s">
        <v>15</v>
      </c>
      <c r="B27" s="2" t="s">
        <v>16</v>
      </c>
      <c r="C27" s="2" t="s">
        <v>17</v>
      </c>
      <c r="D27" s="2" t="s">
        <v>122</v>
      </c>
      <c r="E27" s="2" t="s">
        <v>19</v>
      </c>
      <c r="F27" s="2" t="s">
        <v>20</v>
      </c>
      <c r="G27" s="2">
        <v>3</v>
      </c>
      <c r="H27" s="6">
        <v>0.3</v>
      </c>
      <c r="I27" s="6">
        <v>0.9</v>
      </c>
      <c r="J27" s="2">
        <v>124776</v>
      </c>
      <c r="K27" s="2" t="s">
        <v>21</v>
      </c>
      <c r="L27" s="2" t="s">
        <v>22</v>
      </c>
      <c r="M27" s="2" t="s">
        <v>23</v>
      </c>
      <c r="N27" s="2" t="s">
        <v>24</v>
      </c>
      <c r="O27" s="2" t="s">
        <v>25</v>
      </c>
    </row>
    <row r="28" spans="1:16">
      <c r="A28" s="2" t="s">
        <v>123</v>
      </c>
      <c r="B28" s="2" t="s">
        <v>124</v>
      </c>
      <c r="C28" s="2" t="s">
        <v>125</v>
      </c>
      <c r="D28" s="2" t="s">
        <v>126</v>
      </c>
      <c r="E28" s="2" t="s">
        <v>51</v>
      </c>
      <c r="F28" s="2" t="s">
        <v>20</v>
      </c>
      <c r="G28" s="2">
        <v>3</v>
      </c>
      <c r="H28" s="6">
        <v>0.82</v>
      </c>
      <c r="I28" s="6">
        <v>2.46</v>
      </c>
      <c r="J28" s="2">
        <v>792</v>
      </c>
      <c r="K28" s="2" t="s">
        <v>41</v>
      </c>
      <c r="L28" s="2" t="s">
        <v>127</v>
      </c>
      <c r="M28" s="2" t="s">
        <v>23</v>
      </c>
      <c r="N28" s="2" t="s">
        <v>24</v>
      </c>
      <c r="O28" s="2" t="s">
        <v>32</v>
      </c>
    </row>
    <row r="29" spans="1:16">
      <c r="A29" s="2" t="s">
        <v>128</v>
      </c>
      <c r="B29" s="2" t="s">
        <v>129</v>
      </c>
      <c r="C29" s="2" t="s">
        <v>130</v>
      </c>
      <c r="D29" s="2" t="s">
        <v>131</v>
      </c>
      <c r="E29" s="2" t="s">
        <v>19</v>
      </c>
      <c r="F29" s="2" t="s">
        <v>20</v>
      </c>
      <c r="G29" s="2">
        <v>2</v>
      </c>
      <c r="H29" s="6">
        <v>0.11</v>
      </c>
      <c r="I29" s="6">
        <v>0.22</v>
      </c>
      <c r="J29" s="2">
        <v>936348</v>
      </c>
      <c r="K29" s="2" t="s">
        <v>132</v>
      </c>
      <c r="L29" s="2" t="s">
        <v>133</v>
      </c>
      <c r="M29" s="2" t="s">
        <v>23</v>
      </c>
      <c r="N29" s="2" t="s">
        <v>24</v>
      </c>
      <c r="O29" s="2" t="s">
        <v>32</v>
      </c>
    </row>
    <row r="30" spans="1:16">
      <c r="A30" s="2" t="s">
        <v>134</v>
      </c>
      <c r="B30" s="2" t="s">
        <v>27</v>
      </c>
      <c r="C30" s="2" t="s">
        <v>135</v>
      </c>
      <c r="D30" s="2" t="s">
        <v>136</v>
      </c>
      <c r="E30" s="2" t="s">
        <v>19</v>
      </c>
      <c r="F30" s="2" t="s">
        <v>20</v>
      </c>
      <c r="G30" s="2">
        <v>1</v>
      </c>
      <c r="H30" s="6">
        <v>0.15</v>
      </c>
      <c r="I30" s="6">
        <v>0.15</v>
      </c>
      <c r="J30" s="2">
        <v>157643</v>
      </c>
      <c r="K30" s="2" t="s">
        <v>30</v>
      </c>
      <c r="L30" s="2" t="s">
        <v>137</v>
      </c>
      <c r="M30" s="2" t="s">
        <v>23</v>
      </c>
      <c r="N30" s="2" t="s">
        <v>24</v>
      </c>
      <c r="O30" s="2" t="s">
        <v>32</v>
      </c>
    </row>
    <row r="31" spans="1:16">
      <c r="A31" s="2" t="s">
        <v>26</v>
      </c>
      <c r="B31" s="2" t="s">
        <v>27</v>
      </c>
      <c r="C31" s="2" t="s">
        <v>28</v>
      </c>
      <c r="D31" s="2" t="s">
        <v>138</v>
      </c>
      <c r="E31" s="2" t="s">
        <v>19</v>
      </c>
      <c r="F31" s="2" t="s">
        <v>20</v>
      </c>
      <c r="G31" s="2">
        <v>2</v>
      </c>
      <c r="H31" s="6">
        <v>0.36</v>
      </c>
      <c r="I31" s="6">
        <v>0.72</v>
      </c>
      <c r="J31" s="2">
        <v>1019880</v>
      </c>
      <c r="K31" s="2" t="s">
        <v>30</v>
      </c>
      <c r="L31" s="2" t="s">
        <v>31</v>
      </c>
      <c r="M31" s="2" t="s">
        <v>23</v>
      </c>
      <c r="N31" s="2" t="s">
        <v>24</v>
      </c>
      <c r="O31" s="2" t="s">
        <v>32</v>
      </c>
    </row>
    <row r="32" spans="1:16">
      <c r="A32" s="2" t="s">
        <v>139</v>
      </c>
      <c r="B32" s="2" t="s">
        <v>140</v>
      </c>
      <c r="C32" s="2" t="s">
        <v>141</v>
      </c>
      <c r="D32" s="2" t="s">
        <v>142</v>
      </c>
      <c r="E32" s="2" t="s">
        <v>19</v>
      </c>
      <c r="F32" s="2" t="s">
        <v>20</v>
      </c>
      <c r="G32" s="2">
        <v>1</v>
      </c>
      <c r="H32" s="6">
        <v>0.54</v>
      </c>
      <c r="I32" s="6">
        <v>0.54</v>
      </c>
      <c r="J32" s="2">
        <v>78973</v>
      </c>
      <c r="K32" s="2" t="s">
        <v>143</v>
      </c>
      <c r="L32" s="2" t="s">
        <v>144</v>
      </c>
      <c r="M32" s="2" t="s">
        <v>23</v>
      </c>
      <c r="N32" s="2" t="s">
        <v>24</v>
      </c>
      <c r="O32" s="2" t="s">
        <v>32</v>
      </c>
    </row>
    <row r="33" spans="1:15">
      <c r="A33" s="2" t="s">
        <v>47</v>
      </c>
      <c r="B33" s="2" t="s">
        <v>48</v>
      </c>
      <c r="C33" s="2" t="s">
        <v>49</v>
      </c>
      <c r="D33" s="2" t="s">
        <v>145</v>
      </c>
      <c r="E33" s="2" t="s">
        <v>51</v>
      </c>
      <c r="F33" s="2" t="s">
        <v>20</v>
      </c>
      <c r="G33" s="2">
        <v>6</v>
      </c>
      <c r="H33" s="6">
        <v>0.66</v>
      </c>
      <c r="I33" s="6">
        <v>3.96</v>
      </c>
      <c r="J33" s="2">
        <v>70638</v>
      </c>
      <c r="K33" s="2" t="s">
        <v>52</v>
      </c>
      <c r="L33" s="2" t="s">
        <v>53</v>
      </c>
      <c r="M33" s="2" t="s">
        <v>54</v>
      </c>
      <c r="N33" s="2" t="s">
        <v>24</v>
      </c>
      <c r="O33" s="2" t="s">
        <v>32</v>
      </c>
    </row>
    <row r="34" spans="1:15">
      <c r="A34" s="2" t="s">
        <v>146</v>
      </c>
      <c r="B34" s="2" t="s">
        <v>61</v>
      </c>
      <c r="C34" s="2" t="s">
        <v>147</v>
      </c>
      <c r="D34" s="2" t="s">
        <v>148</v>
      </c>
      <c r="E34" s="2" t="s">
        <v>51</v>
      </c>
      <c r="F34" s="2" t="s">
        <v>20</v>
      </c>
      <c r="G34" s="2">
        <v>10</v>
      </c>
      <c r="H34" s="6">
        <v>0.42199999999999999</v>
      </c>
      <c r="I34" s="6">
        <v>4.22</v>
      </c>
      <c r="J34" s="2">
        <v>26800</v>
      </c>
      <c r="K34" s="2" t="s">
        <v>52</v>
      </c>
      <c r="L34" s="2" t="s">
        <v>149</v>
      </c>
      <c r="M34" s="2" t="s">
        <v>23</v>
      </c>
      <c r="N34" s="2" t="s">
        <v>24</v>
      </c>
      <c r="O34" s="2" t="s">
        <v>32</v>
      </c>
    </row>
    <row r="35" spans="1:15">
      <c r="A35" s="2">
        <v>5040771891</v>
      </c>
      <c r="B35" s="2" t="s">
        <v>150</v>
      </c>
      <c r="C35" s="2" t="s">
        <v>151</v>
      </c>
      <c r="D35" s="2" t="s">
        <v>152</v>
      </c>
      <c r="E35" s="2" t="s">
        <v>19</v>
      </c>
      <c r="F35" s="2" t="s">
        <v>20</v>
      </c>
      <c r="G35" s="2">
        <v>1</v>
      </c>
      <c r="H35" s="6">
        <v>2.02</v>
      </c>
      <c r="I35" s="6">
        <v>2.02</v>
      </c>
      <c r="J35" s="2">
        <v>2400</v>
      </c>
      <c r="K35" s="2" t="s">
        <v>143</v>
      </c>
      <c r="L35" s="2" t="s">
        <v>153</v>
      </c>
      <c r="M35" s="2" t="s">
        <v>23</v>
      </c>
      <c r="N35" s="2" t="s">
        <v>24</v>
      </c>
      <c r="O35" s="2" t="s">
        <v>32</v>
      </c>
    </row>
    <row r="36" spans="1:15">
      <c r="A36" s="2" t="s">
        <v>154</v>
      </c>
      <c r="B36" s="2" t="s">
        <v>155</v>
      </c>
      <c r="C36" s="2" t="s">
        <v>156</v>
      </c>
      <c r="D36" s="2" t="s">
        <v>157</v>
      </c>
      <c r="E36" s="2" t="s">
        <v>19</v>
      </c>
      <c r="F36" s="2" t="s">
        <v>20</v>
      </c>
      <c r="G36" s="2">
        <v>1</v>
      </c>
      <c r="H36" s="6">
        <v>3.3</v>
      </c>
      <c r="I36" s="6">
        <v>3.3</v>
      </c>
      <c r="J36" s="2">
        <v>521</v>
      </c>
      <c r="K36" s="2" t="s">
        <v>115</v>
      </c>
      <c r="L36" s="2" t="s">
        <v>158</v>
      </c>
      <c r="M36" s="2" t="s">
        <v>25</v>
      </c>
      <c r="N36" s="2" t="s">
        <v>25</v>
      </c>
      <c r="O36" s="2" t="s">
        <v>25</v>
      </c>
    </row>
    <row r="37" spans="1:15">
      <c r="A37" s="2" t="s">
        <v>159</v>
      </c>
      <c r="B37" s="2" t="s">
        <v>118</v>
      </c>
      <c r="C37" s="2" t="s">
        <v>160</v>
      </c>
      <c r="D37" s="2" t="s">
        <v>161</v>
      </c>
      <c r="E37" s="2" t="s">
        <v>19</v>
      </c>
      <c r="F37" s="2" t="s">
        <v>20</v>
      </c>
      <c r="G37" s="2">
        <v>1</v>
      </c>
      <c r="H37" s="6">
        <v>0.26</v>
      </c>
      <c r="I37" s="6">
        <v>0.26</v>
      </c>
      <c r="J37" s="2">
        <v>246</v>
      </c>
      <c r="K37" s="2" t="s">
        <v>162</v>
      </c>
      <c r="L37" s="2" t="s">
        <v>163</v>
      </c>
      <c r="M37" s="2" t="s">
        <v>23</v>
      </c>
      <c r="N37" s="2" t="s">
        <v>24</v>
      </c>
      <c r="O37" s="2" t="s">
        <v>32</v>
      </c>
    </row>
    <row r="38" spans="1:15">
      <c r="A38" s="2" t="s">
        <v>164</v>
      </c>
      <c r="B38" s="2" t="s">
        <v>67</v>
      </c>
      <c r="C38" s="2" t="s">
        <v>165</v>
      </c>
      <c r="D38" s="2" t="s">
        <v>166</v>
      </c>
      <c r="E38" s="2" t="s">
        <v>19</v>
      </c>
      <c r="F38" s="2" t="s">
        <v>20</v>
      </c>
      <c r="G38" s="2">
        <v>19</v>
      </c>
      <c r="H38" s="6">
        <v>5.7000000000000002E-2</v>
      </c>
      <c r="I38" s="6">
        <v>1.08</v>
      </c>
      <c r="J38" s="2">
        <v>24018</v>
      </c>
      <c r="K38" s="2" t="s">
        <v>167</v>
      </c>
      <c r="L38" s="2" t="s">
        <v>168</v>
      </c>
      <c r="M38" s="2" t="s">
        <v>23</v>
      </c>
      <c r="N38" s="2" t="s">
        <v>24</v>
      </c>
      <c r="O38" s="2" t="s">
        <v>32</v>
      </c>
    </row>
    <row r="39" spans="1:15">
      <c r="A39" s="2" t="s">
        <v>81</v>
      </c>
      <c r="B39" s="2" t="s">
        <v>82</v>
      </c>
      <c r="C39" s="2" t="s">
        <v>83</v>
      </c>
      <c r="D39" s="2" t="s">
        <v>169</v>
      </c>
      <c r="E39" s="2" t="s">
        <v>19</v>
      </c>
      <c r="F39" s="2" t="s">
        <v>20</v>
      </c>
      <c r="G39" s="2">
        <v>1</v>
      </c>
      <c r="H39" s="6">
        <v>0.1</v>
      </c>
      <c r="I39" s="6">
        <v>0.1</v>
      </c>
      <c r="J39" s="2">
        <v>2509617</v>
      </c>
      <c r="K39" s="2" t="s">
        <v>41</v>
      </c>
      <c r="L39" s="2" t="s">
        <v>85</v>
      </c>
      <c r="M39" s="2" t="s">
        <v>23</v>
      </c>
      <c r="N39" s="2" t="s">
        <v>24</v>
      </c>
      <c r="O39" s="2" t="s">
        <v>32</v>
      </c>
    </row>
    <row r="40" spans="1:15">
      <c r="A40" s="2" t="s">
        <v>86</v>
      </c>
      <c r="B40" s="2" t="s">
        <v>87</v>
      </c>
      <c r="C40" s="2" t="s">
        <v>88</v>
      </c>
      <c r="D40" s="2" t="s">
        <v>170</v>
      </c>
      <c r="E40" s="2" t="s">
        <v>19</v>
      </c>
      <c r="F40" s="2" t="s">
        <v>20</v>
      </c>
      <c r="G40" s="2">
        <v>1</v>
      </c>
      <c r="H40" s="6">
        <v>0.1</v>
      </c>
      <c r="I40" s="6">
        <v>0.1</v>
      </c>
      <c r="J40" s="2">
        <v>83167</v>
      </c>
      <c r="K40" s="2" t="s">
        <v>90</v>
      </c>
      <c r="L40" s="2" t="s">
        <v>91</v>
      </c>
      <c r="M40" s="2" t="s">
        <v>54</v>
      </c>
      <c r="N40" s="2" t="s">
        <v>24</v>
      </c>
      <c r="O40" s="2" t="s">
        <v>25</v>
      </c>
    </row>
    <row r="41" spans="1:15">
      <c r="A41" s="2" t="s">
        <v>171</v>
      </c>
      <c r="B41" s="2" t="s">
        <v>72</v>
      </c>
      <c r="C41" s="2" t="s">
        <v>172</v>
      </c>
      <c r="D41" s="2" t="s">
        <v>173</v>
      </c>
      <c r="E41" s="2" t="s">
        <v>19</v>
      </c>
      <c r="F41" s="2" t="s">
        <v>20</v>
      </c>
      <c r="G41" s="2">
        <v>1</v>
      </c>
      <c r="H41" s="6">
        <v>0.1</v>
      </c>
      <c r="I41" s="6">
        <v>0.1</v>
      </c>
      <c r="J41" s="2">
        <v>1050240</v>
      </c>
      <c r="K41" s="2" t="s">
        <v>21</v>
      </c>
      <c r="L41" s="2" t="s">
        <v>174</v>
      </c>
      <c r="M41" s="2" t="s">
        <v>23</v>
      </c>
      <c r="N41" s="2" t="s">
        <v>24</v>
      </c>
      <c r="O41" s="2" t="s">
        <v>32</v>
      </c>
    </row>
    <row r="42" spans="1:15">
      <c r="A42" s="2" t="s">
        <v>175</v>
      </c>
      <c r="B42" s="2" t="s">
        <v>93</v>
      </c>
      <c r="C42" s="2" t="s">
        <v>176</v>
      </c>
      <c r="D42" s="2" t="s">
        <v>177</v>
      </c>
      <c r="E42" s="2" t="s">
        <v>51</v>
      </c>
      <c r="F42" s="2" t="s">
        <v>20</v>
      </c>
      <c r="G42" s="2">
        <v>2</v>
      </c>
      <c r="H42" s="6">
        <v>0.1</v>
      </c>
      <c r="I42" s="6">
        <v>0.2</v>
      </c>
      <c r="J42" s="2">
        <v>67015</v>
      </c>
      <c r="K42" s="2" t="s">
        <v>143</v>
      </c>
      <c r="L42" s="2" t="s">
        <v>178</v>
      </c>
      <c r="M42" s="2" t="s">
        <v>54</v>
      </c>
      <c r="N42" s="2" t="s">
        <v>24</v>
      </c>
      <c r="O42" s="2" t="s">
        <v>25</v>
      </c>
    </row>
    <row r="43" spans="1:15">
      <c r="A43" s="2" t="s">
        <v>179</v>
      </c>
      <c r="B43" s="2" t="s">
        <v>112</v>
      </c>
      <c r="C43" s="2" t="s">
        <v>180</v>
      </c>
      <c r="D43" s="2" t="s">
        <v>181</v>
      </c>
      <c r="E43" s="2" t="s">
        <v>19</v>
      </c>
      <c r="F43" s="2" t="s">
        <v>20</v>
      </c>
      <c r="G43" s="2">
        <v>1</v>
      </c>
      <c r="H43" s="6">
        <v>1.17</v>
      </c>
      <c r="I43" s="6">
        <v>1.17</v>
      </c>
      <c r="J43" s="2">
        <v>0</v>
      </c>
      <c r="K43" s="2" t="s">
        <v>182</v>
      </c>
      <c r="L43" s="2" t="s">
        <v>183</v>
      </c>
      <c r="M43" s="2" t="s">
        <v>23</v>
      </c>
      <c r="N43" s="2" t="s">
        <v>24</v>
      </c>
      <c r="O43" s="2" t="s">
        <v>32</v>
      </c>
    </row>
    <row r="44" spans="1:15">
      <c r="A44" s="2" t="s">
        <v>111</v>
      </c>
      <c r="B44" s="2" t="s">
        <v>112</v>
      </c>
      <c r="C44" s="2" t="s">
        <v>113</v>
      </c>
      <c r="D44" s="2" t="s">
        <v>184</v>
      </c>
      <c r="E44" s="2" t="s">
        <v>19</v>
      </c>
      <c r="F44" s="2" t="s">
        <v>20</v>
      </c>
      <c r="G44" s="2">
        <v>1</v>
      </c>
      <c r="H44" s="6">
        <v>5.69</v>
      </c>
      <c r="I44" s="6">
        <v>5.69</v>
      </c>
      <c r="J44" s="2">
        <v>3465</v>
      </c>
      <c r="K44" s="2" t="s">
        <v>115</v>
      </c>
      <c r="L44" s="2" t="s">
        <v>116</v>
      </c>
      <c r="M44" s="2" t="s">
        <v>23</v>
      </c>
      <c r="N44" s="2" t="s">
        <v>24</v>
      </c>
      <c r="O44" s="2" t="s">
        <v>32</v>
      </c>
    </row>
    <row r="45" spans="1:15">
      <c r="A45" s="2" t="s">
        <v>185</v>
      </c>
      <c r="B45" s="2" t="s">
        <v>112</v>
      </c>
      <c r="C45" s="2" t="s">
        <v>186</v>
      </c>
      <c r="D45" s="2" t="s">
        <v>187</v>
      </c>
      <c r="E45" s="2" t="s">
        <v>96</v>
      </c>
      <c r="F45" s="2" t="s">
        <v>20</v>
      </c>
      <c r="G45" s="2">
        <v>3</v>
      </c>
      <c r="H45" s="6">
        <v>0.69</v>
      </c>
      <c r="I45" s="6">
        <v>2.0699999999999998</v>
      </c>
      <c r="J45" s="2">
        <v>932</v>
      </c>
      <c r="K45" s="2" t="s">
        <v>109</v>
      </c>
      <c r="L45" s="2" t="s">
        <v>188</v>
      </c>
      <c r="M45" s="2" t="s">
        <v>23</v>
      </c>
      <c r="N45" s="2" t="s">
        <v>24</v>
      </c>
      <c r="O45" s="2" t="s">
        <v>32</v>
      </c>
    </row>
    <row r="46" spans="1:15">
      <c r="A46" s="2" t="s">
        <v>189</v>
      </c>
      <c r="B46" s="2" t="s">
        <v>112</v>
      </c>
      <c r="C46" s="2" t="s">
        <v>190</v>
      </c>
      <c r="D46" s="2" t="s">
        <v>191</v>
      </c>
      <c r="E46" s="2" t="s">
        <v>19</v>
      </c>
      <c r="F46" s="2" t="s">
        <v>20</v>
      </c>
      <c r="G46" s="2">
        <v>1</v>
      </c>
      <c r="H46" s="6">
        <v>0.95</v>
      </c>
      <c r="I46" s="6">
        <v>0.95</v>
      </c>
      <c r="J46" s="2">
        <v>833</v>
      </c>
      <c r="K46" s="2" t="s">
        <v>109</v>
      </c>
      <c r="L46" s="2" t="s">
        <v>192</v>
      </c>
      <c r="M46" s="2" t="s">
        <v>23</v>
      </c>
      <c r="N46" s="2" t="s">
        <v>24</v>
      </c>
      <c r="O46" s="2" t="s">
        <v>32</v>
      </c>
    </row>
    <row r="47" spans="1:15">
      <c r="A47" s="2" t="s">
        <v>117</v>
      </c>
      <c r="B47" s="2" t="s">
        <v>118</v>
      </c>
      <c r="C47" s="2" t="s">
        <v>119</v>
      </c>
      <c r="D47" s="2" t="s">
        <v>193</v>
      </c>
      <c r="E47" s="2" t="s">
        <v>19</v>
      </c>
      <c r="F47" s="2" t="s">
        <v>20</v>
      </c>
      <c r="G47" s="2">
        <v>2</v>
      </c>
      <c r="H47" s="6">
        <v>0.34</v>
      </c>
      <c r="I47" s="6">
        <v>0.68</v>
      </c>
      <c r="J47" s="2">
        <v>0</v>
      </c>
      <c r="K47" s="2" t="s">
        <v>41</v>
      </c>
      <c r="L47" s="2" t="s">
        <v>121</v>
      </c>
      <c r="M47" s="2" t="s">
        <v>23</v>
      </c>
      <c r="N47" s="2" t="s">
        <v>24</v>
      </c>
      <c r="O47" s="2" t="s">
        <v>32</v>
      </c>
    </row>
    <row r="48" spans="1:15" ht="16.5" customHeight="1">
      <c r="A48" s="2" t="s">
        <v>194</v>
      </c>
      <c r="B48" s="2" t="s">
        <v>195</v>
      </c>
      <c r="C48" s="2" t="s">
        <v>196</v>
      </c>
      <c r="D48" s="2" t="s">
        <v>197</v>
      </c>
      <c r="E48" s="2" t="s">
        <v>19</v>
      </c>
      <c r="F48" s="2" t="s">
        <v>198</v>
      </c>
      <c r="G48" s="2">
        <v>1</v>
      </c>
      <c r="H48" s="6">
        <v>3.54</v>
      </c>
      <c r="I48" s="6">
        <v>3.54</v>
      </c>
      <c r="J48" s="2">
        <v>3335</v>
      </c>
      <c r="K48" s="2" t="s">
        <v>21</v>
      </c>
      <c r="L48" s="2" t="s">
        <v>199</v>
      </c>
      <c r="M48" s="2" t="s">
        <v>23</v>
      </c>
      <c r="N48" s="2" t="s">
        <v>24</v>
      </c>
      <c r="O48" s="2" t="s">
        <v>25</v>
      </c>
    </row>
    <row r="49" spans="1:15" ht="16.5" customHeight="1">
      <c r="A49" s="9"/>
      <c r="B49" s="9"/>
      <c r="C49" s="9"/>
      <c r="D49" s="9"/>
      <c r="E49" s="9"/>
      <c r="F49" s="9"/>
      <c r="G49" s="9"/>
      <c r="H49" s="9"/>
      <c r="I49" s="6"/>
      <c r="J49" s="9"/>
      <c r="K49" s="9"/>
      <c r="L49" s="9"/>
      <c r="M49" s="9"/>
      <c r="N49" s="9"/>
      <c r="O49" s="9"/>
    </row>
    <row r="50" spans="1:15" ht="16.5" customHeight="1">
      <c r="A50" s="9"/>
      <c r="B50" s="9"/>
      <c r="C50" s="9"/>
      <c r="D50" s="9"/>
      <c r="E50" s="9"/>
      <c r="F50" s="9"/>
      <c r="G50" s="9"/>
      <c r="H50" s="9"/>
      <c r="I50" s="6"/>
      <c r="J50" s="9"/>
      <c r="K50" s="9"/>
      <c r="L50" s="9"/>
      <c r="M50" s="9"/>
      <c r="N50" s="9"/>
      <c r="O50" s="9"/>
    </row>
    <row r="51" spans="1:15" ht="16.5" customHeight="1">
      <c r="A51" s="9"/>
      <c r="B51" s="9"/>
      <c r="C51" s="9"/>
      <c r="D51" s="9"/>
      <c r="E51" s="9"/>
      <c r="F51" s="9"/>
      <c r="G51" s="9"/>
      <c r="H51" s="9"/>
      <c r="I51" s="6"/>
      <c r="J51" s="9"/>
      <c r="K51" s="9"/>
      <c r="L51" s="9"/>
      <c r="M51" s="9"/>
      <c r="N51" s="9"/>
      <c r="O51" s="9"/>
    </row>
    <row r="52" spans="1:15" ht="27.75" customHeight="1">
      <c r="A52" s="40" t="s">
        <v>204</v>
      </c>
      <c r="B52" s="40"/>
      <c r="C52" s="40"/>
      <c r="D52" s="40"/>
      <c r="E52" s="40"/>
      <c r="F52" s="40"/>
      <c r="G52" s="40"/>
      <c r="H52" s="40"/>
      <c r="I52" s="7">
        <f>SUM(Table2[Extended Price])</f>
        <v>34.43</v>
      </c>
    </row>
    <row r="53" spans="1:15" ht="41.25" customHeight="1">
      <c r="A53" s="43" t="s">
        <v>203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</row>
    <row r="54" spans="1:15">
      <c r="A54" s="11" t="s">
        <v>0</v>
      </c>
      <c r="B54" s="11" t="s">
        <v>1</v>
      </c>
      <c r="C54" s="11" t="s">
        <v>2</v>
      </c>
      <c r="D54" s="11" t="s">
        <v>3</v>
      </c>
      <c r="E54" s="11" t="s">
        <v>4</v>
      </c>
      <c r="F54" s="11" t="s">
        <v>5</v>
      </c>
      <c r="G54" s="11" t="s">
        <v>6</v>
      </c>
      <c r="H54" s="11" t="s">
        <v>7</v>
      </c>
      <c r="I54" s="11" t="s">
        <v>8</v>
      </c>
      <c r="J54" s="11" t="s">
        <v>9</v>
      </c>
      <c r="K54" s="11" t="s">
        <v>10</v>
      </c>
      <c r="L54" s="11" t="s">
        <v>11</v>
      </c>
      <c r="M54" s="11" t="s">
        <v>12</v>
      </c>
      <c r="N54" s="11" t="s">
        <v>13</v>
      </c>
      <c r="O54" s="11" t="s">
        <v>14</v>
      </c>
    </row>
    <row r="55" spans="1:15">
      <c r="A55" s="8" t="s">
        <v>207</v>
      </c>
      <c r="B55" s="8" t="s">
        <v>208</v>
      </c>
      <c r="C55" s="8" t="s">
        <v>209</v>
      </c>
      <c r="D55" s="8" t="s">
        <v>215</v>
      </c>
      <c r="E55" s="8" t="s">
        <v>51</v>
      </c>
      <c r="F55" s="8" t="s">
        <v>20</v>
      </c>
      <c r="G55" s="8">
        <v>4</v>
      </c>
      <c r="H55" s="10">
        <v>11.63</v>
      </c>
      <c r="I55" s="10">
        <v>46.52</v>
      </c>
      <c r="J55" s="8">
        <v>40</v>
      </c>
      <c r="K55" s="8" t="s">
        <v>58</v>
      </c>
      <c r="L55" s="8" t="s">
        <v>210</v>
      </c>
      <c r="M55" s="8" t="s">
        <v>54</v>
      </c>
      <c r="N55" s="8" t="s">
        <v>24</v>
      </c>
      <c r="O55" s="8" t="s">
        <v>25</v>
      </c>
    </row>
    <row r="56" spans="1:15">
      <c r="A56" s="8" t="s">
        <v>211</v>
      </c>
      <c r="B56" s="8" t="s">
        <v>212</v>
      </c>
      <c r="C56" s="8"/>
      <c r="D56" s="8" t="s">
        <v>213</v>
      </c>
      <c r="E56" s="8" t="s">
        <v>205</v>
      </c>
      <c r="F56" s="8" t="s">
        <v>20</v>
      </c>
      <c r="G56" s="8">
        <v>1</v>
      </c>
      <c r="H56" s="10">
        <v>59</v>
      </c>
      <c r="I56" s="10">
        <f>Table5[[#This Row],[Unit Price]]*Table5[[#This Row],[Quantity]]</f>
        <v>59</v>
      </c>
      <c r="J56" s="8">
        <v>2</v>
      </c>
      <c r="K56" s="8"/>
      <c r="L56" s="8" t="s">
        <v>214</v>
      </c>
      <c r="M56" s="8" t="s">
        <v>23</v>
      </c>
      <c r="N56" s="8" t="s">
        <v>24</v>
      </c>
      <c r="O56" s="8" t="s">
        <v>25</v>
      </c>
    </row>
    <row r="57" spans="1:15">
      <c r="A57" s="8"/>
      <c r="B57" s="8"/>
      <c r="C57" s="8"/>
      <c r="D57" s="8"/>
      <c r="E57" s="8"/>
      <c r="F57" s="8"/>
      <c r="G57" s="8"/>
      <c r="H57" s="10"/>
      <c r="I57" s="10"/>
      <c r="J57" s="8"/>
      <c r="K57" s="8"/>
      <c r="L57" s="8"/>
      <c r="M57" s="8"/>
      <c r="N57" s="8"/>
      <c r="O57" s="8"/>
    </row>
    <row r="58" spans="1:15">
      <c r="A58" s="12"/>
      <c r="B58" s="12"/>
      <c r="C58" s="12"/>
      <c r="D58" s="12"/>
      <c r="E58" s="12"/>
      <c r="F58" s="12"/>
      <c r="G58" s="12"/>
      <c r="H58" s="13"/>
      <c r="I58" s="13"/>
      <c r="J58" s="12"/>
      <c r="K58" s="12"/>
      <c r="L58" s="12"/>
      <c r="M58" s="12"/>
      <c r="N58" s="12"/>
      <c r="O58" s="12"/>
    </row>
    <row r="59" spans="1:15">
      <c r="A59" s="12"/>
      <c r="B59" s="12"/>
      <c r="C59" s="12"/>
      <c r="D59" s="12"/>
      <c r="E59" s="12"/>
      <c r="F59" s="12"/>
      <c r="G59" s="12"/>
      <c r="H59" s="13"/>
      <c r="I59" s="13"/>
      <c r="J59" s="12"/>
      <c r="K59" s="12"/>
      <c r="L59" s="12"/>
      <c r="M59" s="12"/>
      <c r="N59" s="12"/>
      <c r="O59" s="12"/>
    </row>
    <row r="60" spans="1:15" ht="27.75" customHeight="1">
      <c r="A60" s="40" t="s">
        <v>204</v>
      </c>
      <c r="B60" s="40"/>
      <c r="C60" s="40"/>
      <c r="D60" s="40"/>
      <c r="E60" s="40"/>
      <c r="F60" s="40"/>
      <c r="G60" s="40"/>
      <c r="H60" s="40"/>
      <c r="I60" s="7">
        <f>SUM(Table5[Extended Price])</f>
        <v>105.52000000000001</v>
      </c>
    </row>
  </sheetData>
  <mergeCells count="6">
    <mergeCell ref="A60:H60"/>
    <mergeCell ref="A1:O1"/>
    <mergeCell ref="A25:O25"/>
    <mergeCell ref="A53:O53"/>
    <mergeCell ref="A24:H24"/>
    <mergeCell ref="A52:H52"/>
  </mergeCells>
  <conditionalFormatting sqref="I27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5:I56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56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86C48-8C5C-4678-925E-E6B0DB93355C}">
  <dimension ref="A1:AF43"/>
  <sheetViews>
    <sheetView tabSelected="1" topLeftCell="A4" workbookViewId="0">
      <selection activeCell="H24" sqref="H24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301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t="s">
        <v>302</v>
      </c>
      <c r="C3" s="31">
        <v>1</v>
      </c>
      <c r="D3" t="s">
        <v>332</v>
      </c>
      <c r="E3" s="32" t="str">
        <f>HYPERLINK("https://bit.ly/3vasq0u", "StepperOnline")</f>
        <v>StepperOnline</v>
      </c>
      <c r="F3" s="5">
        <v>54.77</v>
      </c>
      <c r="G3" s="5">
        <f>RBA_478910[[#This Row],[Unit Price]]*RBA_478910[[#This Row],[Quantity]]</f>
        <v>54.77</v>
      </c>
      <c r="H3" t="s">
        <v>334</v>
      </c>
      <c r="I3" t="s">
        <v>335</v>
      </c>
      <c r="K3" s="32"/>
      <c r="L3" s="7">
        <f>SUM(RBA_478910[Extended Price])</f>
        <v>448.24980960629921</v>
      </c>
    </row>
    <row r="4" spans="1:32" ht="50.1" customHeight="1">
      <c r="A4" s="31" t="s">
        <v>303</v>
      </c>
      <c r="C4" s="31">
        <v>1</v>
      </c>
      <c r="D4" t="s">
        <v>332</v>
      </c>
      <c r="E4" s="32"/>
      <c r="F4" s="5">
        <v>0</v>
      </c>
      <c r="G4" s="5">
        <f>RBA_478910[[#This Row],[Unit Price]]*RBA_478910[[#This Row],[Quantity]]</f>
        <v>0</v>
      </c>
      <c r="H4" t="s">
        <v>333</v>
      </c>
      <c r="I4" t="s">
        <v>336</v>
      </c>
      <c r="K4" s="32"/>
    </row>
    <row r="5" spans="1:32" ht="50.1" customHeight="1">
      <c r="A5" s="31" t="s">
        <v>304</v>
      </c>
      <c r="C5" s="31">
        <v>1</v>
      </c>
      <c r="D5" t="s">
        <v>331</v>
      </c>
      <c r="E5" s="32"/>
      <c r="F5" s="5">
        <f>'Electrical '!I24</f>
        <v>17.48</v>
      </c>
      <c r="G5" s="5">
        <f>RBA_478910[[#This Row],[Unit Price]]*RBA_478910[[#This Row],[Quantity]]</f>
        <v>17.48</v>
      </c>
      <c r="H5" t="s">
        <v>337</v>
      </c>
      <c r="I5" t="s">
        <v>338</v>
      </c>
      <c r="K5" s="32"/>
    </row>
    <row r="6" spans="1:32" ht="50.1" customHeight="1">
      <c r="A6" s="31" t="s">
        <v>305</v>
      </c>
      <c r="C6" s="31">
        <v>1</v>
      </c>
      <c r="D6">
        <v>8020</v>
      </c>
      <c r="E6" s="32" t="str">
        <f>HYPERLINK("https://8020.net/20-4040.html", "20-4040")</f>
        <v>20-4040</v>
      </c>
      <c r="F6" s="5">
        <f>(0.65/25.4)*2000 + 2.51</f>
        <v>53.691102362204731</v>
      </c>
      <c r="G6" s="5">
        <f>RBA_478910[[#This Row],[Unit Price]]*RBA_478910[[#This Row],[Quantity]]</f>
        <v>53.691102362204731</v>
      </c>
      <c r="H6" t="s">
        <v>255</v>
      </c>
      <c r="I6" t="s">
        <v>339</v>
      </c>
      <c r="K6" s="32"/>
    </row>
    <row r="7" spans="1:32" ht="50.1" customHeight="1">
      <c r="A7" s="31" t="s">
        <v>306</v>
      </c>
      <c r="C7" s="31">
        <v>1</v>
      </c>
      <c r="D7" s="32" t="s">
        <v>220</v>
      </c>
      <c r="E7" s="32" t="str">
        <f t="shared" ref="E7" si="0">HYPERLINK("https://amzn.to/3p4Z7Zp", "PETG")</f>
        <v>PETG</v>
      </c>
      <c r="F7" s="5">
        <f>0.01899*82</f>
        <v>1.55718</v>
      </c>
      <c r="G7" s="5">
        <f>RBA_478910[[#This Row],[Unit Price]]*RBA_478910[[#This Row],[Quantity]]</f>
        <v>1.55718</v>
      </c>
      <c r="H7" t="s">
        <v>272</v>
      </c>
      <c r="I7" t="s">
        <v>218</v>
      </c>
      <c r="J7" s="32"/>
      <c r="K7" s="32"/>
    </row>
    <row r="8" spans="1:32" ht="50.1" customHeight="1">
      <c r="A8" s="34" t="s">
        <v>307</v>
      </c>
      <c r="C8" s="31">
        <v>8</v>
      </c>
      <c r="D8" t="s">
        <v>267</v>
      </c>
      <c r="E8" s="32" t="str">
        <f>HYPERLINK("https://www.mcmaster.com/98952A059/","McMaster")</f>
        <v>McMaster</v>
      </c>
      <c r="F8" s="5">
        <v>2.81</v>
      </c>
      <c r="G8" s="5">
        <f>RBA_478910[[#This Row],[Unit Price]]*RBA_478910[[#This Row],[Quantity]]</f>
        <v>22.48</v>
      </c>
      <c r="K8" s="32"/>
    </row>
    <row r="9" spans="1:32" ht="50.1" customHeight="1">
      <c r="A9" s="34" t="s">
        <v>308</v>
      </c>
      <c r="C9" s="31">
        <v>4</v>
      </c>
      <c r="D9" t="s">
        <v>267</v>
      </c>
      <c r="E9" s="32" t="str">
        <f>HYPERLINK("https://www.mcmaster.com/95783A039/","McMaster")</f>
        <v>McMaster</v>
      </c>
      <c r="F9" s="5">
        <v>3</v>
      </c>
      <c r="G9" s="5">
        <f>RBA_478910[[#This Row],[Unit Price]]*RBA_478910[[#This Row],[Quantity]]</f>
        <v>12</v>
      </c>
      <c r="K9" s="32"/>
    </row>
    <row r="10" spans="1:32" ht="50.1" customHeight="1">
      <c r="A10" s="34" t="s">
        <v>309</v>
      </c>
      <c r="C10" s="31">
        <v>1</v>
      </c>
      <c r="D10" t="s">
        <v>341</v>
      </c>
      <c r="E10" s="32" t="str">
        <f>HYPERLINK("https://bit.ly/3Hc5Mr5","Misumi")</f>
        <v>Misumi</v>
      </c>
      <c r="F10" s="5">
        <v>46.32</v>
      </c>
      <c r="G10" s="5">
        <f>RBA_478910[[#This Row],[Unit Price]]*RBA_478910[[#This Row],[Quantity]]</f>
        <v>46.32</v>
      </c>
      <c r="H10" t="s">
        <v>353</v>
      </c>
      <c r="K10" s="32"/>
    </row>
    <row r="11" spans="1:32" ht="50.1" customHeight="1">
      <c r="A11" s="31" t="s">
        <v>310</v>
      </c>
      <c r="C11" s="31">
        <v>1</v>
      </c>
      <c r="D11" s="32" t="s">
        <v>220</v>
      </c>
      <c r="E11" s="32" t="str">
        <f t="shared" ref="E11" si="1">HYPERLINK("https://amzn.to/3p4Z7Zp", "PETG")</f>
        <v>PETG</v>
      </c>
      <c r="F11" s="5">
        <f>0.01899*8</f>
        <v>0.15192</v>
      </c>
      <c r="G11" s="5">
        <f>RBA_478910[[#This Row],[Unit Price]]*RBA_478910[[#This Row],[Quantity]]</f>
        <v>0.15192</v>
      </c>
      <c r="H11" t="s">
        <v>342</v>
      </c>
      <c r="I11" t="s">
        <v>218</v>
      </c>
      <c r="J11" s="32"/>
      <c r="K11" s="32"/>
    </row>
    <row r="12" spans="1:32" ht="50.1" customHeight="1">
      <c r="A12" s="34" t="s">
        <v>311</v>
      </c>
      <c r="C12" s="31">
        <v>1</v>
      </c>
      <c r="D12">
        <v>8020</v>
      </c>
      <c r="E12" s="32" t="str">
        <f>HYPERLINK("https://8020.net/20-2568.html","8020")</f>
        <v>8020</v>
      </c>
      <c r="F12" s="5">
        <v>28.24</v>
      </c>
      <c r="G12" s="5">
        <f>RBA_478910[[#This Row],[Unit Price]]*RBA_478910[[#This Row],[Quantity]]</f>
        <v>28.24</v>
      </c>
      <c r="K12" s="32"/>
    </row>
    <row r="13" spans="1:32" ht="50.1" customHeight="1">
      <c r="A13" s="31" t="s">
        <v>312</v>
      </c>
      <c r="C13" s="31">
        <v>1</v>
      </c>
      <c r="D13" t="s">
        <v>220</v>
      </c>
      <c r="E13" s="32" t="str">
        <f>HYPERLINK("https://www.amazon.com/gp/product/B07CXNK33Q/ref=ppx_yo_dt_b_search_asin_title?ie=UTF8&amp;psc=1","Amazon")</f>
        <v>Amazon</v>
      </c>
      <c r="F13" s="5">
        <v>2.5</v>
      </c>
      <c r="G13" s="5">
        <f>RBA_478910[[#This Row],[Unit Price]]*RBA_478910[[#This Row],[Quantity]]</f>
        <v>2.5</v>
      </c>
      <c r="H13" t="s">
        <v>343</v>
      </c>
      <c r="I13" t="s">
        <v>344</v>
      </c>
      <c r="K13" s="32"/>
    </row>
    <row r="14" spans="1:32" ht="50.1" customHeight="1">
      <c r="A14" s="31" t="s">
        <v>313</v>
      </c>
      <c r="C14" s="31">
        <v>1</v>
      </c>
      <c r="D14" s="32" t="s">
        <v>220</v>
      </c>
      <c r="E14" s="32" t="str">
        <f t="shared" ref="E14" si="2">HYPERLINK("https://amzn.to/3p4Z7Zp", "PETG")</f>
        <v>PETG</v>
      </c>
      <c r="F14" s="5">
        <f>0.01899*18</f>
        <v>0.34182000000000001</v>
      </c>
      <c r="G14" s="5">
        <f>RBA_478910[[#This Row],[Unit Price]]*RBA_478910[[#This Row],[Quantity]]</f>
        <v>0.34182000000000001</v>
      </c>
      <c r="H14" t="s">
        <v>272</v>
      </c>
      <c r="I14" t="s">
        <v>218</v>
      </c>
      <c r="J14" s="32"/>
      <c r="K14" s="32"/>
    </row>
    <row r="15" spans="1:32" ht="50.1" customHeight="1">
      <c r="A15" s="34" t="s">
        <v>314</v>
      </c>
      <c r="C15" s="31">
        <v>1</v>
      </c>
      <c r="D15" t="s">
        <v>345</v>
      </c>
      <c r="E15" s="32" t="str">
        <f>HYPERLINK("https://shop.sdp-si.com/catalog/product/?id=A_6A55M028DF0912","SDPSI")</f>
        <v>SDPSI</v>
      </c>
      <c r="F15" s="5">
        <v>16.04</v>
      </c>
      <c r="G15" s="5">
        <f>RBA_478910[[#This Row],[Unit Price]]*RBA_478910[[#This Row],[Quantity]]</f>
        <v>16.04</v>
      </c>
      <c r="K15" s="32"/>
    </row>
    <row r="16" spans="1:32" ht="50.1" customHeight="1">
      <c r="A16" s="34" t="s">
        <v>315</v>
      </c>
      <c r="C16" s="31">
        <v>1</v>
      </c>
      <c r="D16" t="s">
        <v>346</v>
      </c>
      <c r="E16" s="32" t="str">
        <f>HYPERLINK("https://bit.ly/3BHYvxY","PolyBelt")</f>
        <v>PolyBelt</v>
      </c>
      <c r="F16" s="5">
        <f>(2.94/(25.4*12)*2125)</f>
        <v>20.497047244094492</v>
      </c>
      <c r="G16" s="5">
        <f>RBA_478910[[#This Row],[Unit Price]]*RBA_478910[[#This Row],[Quantity]]</f>
        <v>20.497047244094492</v>
      </c>
      <c r="H16" t="s">
        <v>347</v>
      </c>
      <c r="I16" t="s">
        <v>348</v>
      </c>
      <c r="J16" t="s">
        <v>349</v>
      </c>
      <c r="K16" s="32" t="str">
        <f>HYPERLINK("https://www.ebay.com/itm/382865666347?var=651553605528","Ebay")</f>
        <v>Ebay</v>
      </c>
    </row>
    <row r="17" spans="1:11" ht="50.1" customHeight="1">
      <c r="A17" s="31" t="s">
        <v>316</v>
      </c>
      <c r="C17" s="31">
        <v>1</v>
      </c>
      <c r="D17" t="s">
        <v>221</v>
      </c>
      <c r="F17" s="35">
        <f>'Mechanical - Carriage Assembly'!L3</f>
        <v>107.97528</v>
      </c>
      <c r="G17" s="5">
        <f>RBA_478910[[#This Row],[Unit Price]]*RBA_478910[[#This Row],[Quantity]]</f>
        <v>107.97528</v>
      </c>
      <c r="H17" t="s">
        <v>352</v>
      </c>
      <c r="K17" s="32"/>
    </row>
    <row r="18" spans="1:11" ht="50.1" customHeight="1">
      <c r="A18" s="31" t="s">
        <v>317</v>
      </c>
      <c r="C18" s="31">
        <v>1</v>
      </c>
      <c r="D18" t="s">
        <v>332</v>
      </c>
      <c r="E18" s="32" t="str">
        <f>HYPERLINK("https://bit.ly/3payYID", "Stepper Online")</f>
        <v>Stepper Online</v>
      </c>
      <c r="F18" s="5">
        <v>1.84</v>
      </c>
      <c r="G18" s="5">
        <f>RBA_478910[[#This Row],[Unit Price]]*RBA_478910[[#This Row],[Quantity]]</f>
        <v>1.84</v>
      </c>
      <c r="H18" t="s">
        <v>351</v>
      </c>
      <c r="K18" s="32"/>
    </row>
    <row r="19" spans="1:11" ht="50.1" customHeight="1">
      <c r="A19" s="31" t="s">
        <v>318</v>
      </c>
      <c r="C19" s="31">
        <v>1</v>
      </c>
      <c r="D19" t="s">
        <v>340</v>
      </c>
      <c r="E19" s="32" t="str">
        <f>HYPERLINK("https://www.digikey.com/en/products/detail/littelfuse-inc/59145-040/4771993","Digikey")</f>
        <v>Digikey</v>
      </c>
      <c r="F19" s="5">
        <v>4.95</v>
      </c>
      <c r="G19" s="5">
        <f>RBA_478910[[#This Row],[Unit Price]]*RBA_478910[[#This Row],[Quantity]]</f>
        <v>4.95</v>
      </c>
      <c r="H19" t="s">
        <v>206</v>
      </c>
      <c r="K19" s="32"/>
    </row>
    <row r="20" spans="1:11" ht="50.1" customHeight="1">
      <c r="A20" s="31" t="s">
        <v>319</v>
      </c>
      <c r="C20" s="31">
        <v>4</v>
      </c>
      <c r="D20" t="s">
        <v>220</v>
      </c>
      <c r="E20" s="32" t="str">
        <f>HYPERLINK("https://amzn.to/35hVTdS","Amazon")</f>
        <v>Amazon</v>
      </c>
      <c r="F20" s="5">
        <v>1.69</v>
      </c>
      <c r="G20" s="5">
        <f>RBA_478910[[#This Row],[Unit Price]]*RBA_478910[[#This Row],[Quantity]]</f>
        <v>6.76</v>
      </c>
      <c r="H20" t="s">
        <v>350</v>
      </c>
      <c r="K20" s="32"/>
    </row>
    <row r="21" spans="1:11" ht="50.1" customHeight="1">
      <c r="A21" s="31" t="s">
        <v>320</v>
      </c>
      <c r="C21" s="31">
        <v>6</v>
      </c>
      <c r="D21" t="s">
        <v>220</v>
      </c>
      <c r="E21" s="32" t="str">
        <f t="shared" ref="E21:E24" si="3">HYPERLINK("https://amzn.to/3p4Z7Zp", "PETG")</f>
        <v>PETG</v>
      </c>
      <c r="F21" s="5">
        <f>0.01899*13</f>
        <v>0.24687000000000001</v>
      </c>
      <c r="G21" s="5">
        <f>RBA_478910[[#This Row],[Unit Price]]*RBA_478910[[#This Row],[Quantity]]</f>
        <v>1.48122</v>
      </c>
      <c r="H21" t="s">
        <v>384</v>
      </c>
      <c r="I21" t="s">
        <v>218</v>
      </c>
      <c r="J21" s="32"/>
      <c r="K21" s="32"/>
    </row>
    <row r="22" spans="1:11" ht="50.1" customHeight="1">
      <c r="A22" s="31" t="s">
        <v>321</v>
      </c>
      <c r="C22" s="31">
        <v>1</v>
      </c>
      <c r="D22" s="32" t="s">
        <v>220</v>
      </c>
      <c r="E22" s="32" t="str">
        <f t="shared" si="3"/>
        <v>PETG</v>
      </c>
      <c r="F22" s="5">
        <f>0.01899*12</f>
        <v>0.22788</v>
      </c>
      <c r="G22" s="5">
        <f>RBA_478910[[#This Row],[Unit Price]]*RBA_478910[[#This Row],[Quantity]]</f>
        <v>0.22788</v>
      </c>
      <c r="H22" t="s">
        <v>383</v>
      </c>
      <c r="I22" t="s">
        <v>218</v>
      </c>
      <c r="J22" s="32"/>
      <c r="K22" s="32"/>
    </row>
    <row r="23" spans="1:11" ht="50.1" customHeight="1">
      <c r="A23" s="31" t="s">
        <v>322</v>
      </c>
      <c r="C23" s="31">
        <v>1</v>
      </c>
      <c r="D23" s="32" t="s">
        <v>220</v>
      </c>
      <c r="E23" s="32" t="str">
        <f t="shared" si="3"/>
        <v>PETG</v>
      </c>
      <c r="F23" s="5">
        <f>0.01899*11</f>
        <v>0.20888999999999999</v>
      </c>
      <c r="G23" s="5">
        <f>RBA_478910[[#This Row],[Unit Price]]*RBA_478910[[#This Row],[Quantity]]</f>
        <v>0.20888999999999999</v>
      </c>
      <c r="H23" t="s">
        <v>382</v>
      </c>
      <c r="I23" t="s">
        <v>218</v>
      </c>
      <c r="J23" s="32"/>
      <c r="K23" s="32"/>
    </row>
    <row r="24" spans="1:11" ht="50.1" customHeight="1">
      <c r="A24" s="31" t="s">
        <v>323</v>
      </c>
      <c r="C24" s="31">
        <v>1</v>
      </c>
      <c r="D24" s="32" t="s">
        <v>220</v>
      </c>
      <c r="E24" s="32" t="str">
        <f t="shared" si="3"/>
        <v>PETG</v>
      </c>
      <c r="F24" s="5">
        <f>0.01899*16</f>
        <v>0.30384</v>
      </c>
      <c r="G24" s="5">
        <f>RBA_478910[[#This Row],[Unit Price]]*RBA_478910[[#This Row],[Quantity]]</f>
        <v>0.30384</v>
      </c>
      <c r="H24" t="s">
        <v>382</v>
      </c>
      <c r="I24" t="s">
        <v>218</v>
      </c>
      <c r="J24" s="32"/>
      <c r="K24" s="32"/>
    </row>
    <row r="25" spans="1:11" ht="50.1" customHeight="1">
      <c r="A25" s="31" t="s">
        <v>324</v>
      </c>
      <c r="C25" s="31">
        <v>1</v>
      </c>
      <c r="D25" t="s">
        <v>340</v>
      </c>
      <c r="E25" s="32" t="str">
        <f>HYPERLINK("https://www.digikey.com/en/products/detail/littelfuse-inc/57145-000/43980","Digikey")</f>
        <v>Digikey</v>
      </c>
      <c r="F25" s="5">
        <v>3.06</v>
      </c>
      <c r="G25" s="5">
        <f>RBA_478910[[#This Row],[Unit Price]]*RBA_478910[[#This Row],[Quantity]]</f>
        <v>3.06</v>
      </c>
      <c r="K25" s="32"/>
    </row>
    <row r="26" spans="1:11" ht="50.1" customHeight="1">
      <c r="A26" s="34" t="s">
        <v>325</v>
      </c>
      <c r="C26" s="31">
        <v>3</v>
      </c>
      <c r="D26" t="s">
        <v>221</v>
      </c>
      <c r="E26" s="32"/>
      <c r="F26" s="5">
        <f>'Mechanical - Bottom_Foot_Assemb'!L3</f>
        <v>6.8655099999999996</v>
      </c>
      <c r="G26" s="5">
        <f>RBA_478910[[#This Row],[Unit Price]]*RBA_478910[[#This Row],[Quantity]]</f>
        <v>20.596529999999998</v>
      </c>
      <c r="H26" t="s">
        <v>369</v>
      </c>
      <c r="K26" s="32"/>
    </row>
    <row r="27" spans="1:11" ht="50.1" customHeight="1">
      <c r="A27" s="31" t="s">
        <v>326</v>
      </c>
      <c r="C27" s="31">
        <v>18</v>
      </c>
      <c r="D27" t="s">
        <v>267</v>
      </c>
      <c r="E27" s="32" t="str">
        <f>HYPERLINK("https://www.mcmaster.com/92095A207/", "McMaster")</f>
        <v>McMaster</v>
      </c>
      <c r="F27" s="5">
        <f>16.33/100</f>
        <v>0.16329999999999997</v>
      </c>
      <c r="G27" s="5">
        <f>RBA_478910[[#This Row],[Unit Price]]*RBA_478910[[#This Row],[Quantity]]</f>
        <v>2.9393999999999996</v>
      </c>
      <c r="H27" t="s">
        <v>370</v>
      </c>
      <c r="K27" s="32"/>
    </row>
    <row r="28" spans="1:11" ht="50.1" customHeight="1">
      <c r="A28" s="31" t="s">
        <v>327</v>
      </c>
      <c r="C28" s="31">
        <v>8</v>
      </c>
      <c r="D28" t="s">
        <v>267</v>
      </c>
      <c r="E28" s="32" t="str">
        <f>HYPERLINK("https://www.mcmaster.com/92095A210/", "McMaster")</f>
        <v>McMaster</v>
      </c>
      <c r="F28" s="5">
        <f>10.01/50</f>
        <v>0.20019999999999999</v>
      </c>
      <c r="G28" s="5">
        <f>RBA_478910[[#This Row],[Unit Price]]*RBA_478910[[#This Row],[Quantity]]</f>
        <v>1.6015999999999999</v>
      </c>
      <c r="H28" t="s">
        <v>371</v>
      </c>
      <c r="K28" s="32"/>
    </row>
    <row r="29" spans="1:11" ht="50.1" customHeight="1">
      <c r="A29" s="31" t="s">
        <v>328</v>
      </c>
      <c r="C29" s="31">
        <v>1</v>
      </c>
      <c r="D29" t="s">
        <v>267</v>
      </c>
      <c r="E29" s="32" t="str">
        <f>HYPERLINK("https://www.mcmaster.com/92095A216/", "McMaster")</f>
        <v>McMaster</v>
      </c>
      <c r="F29" s="5">
        <f>7.64/25</f>
        <v>0.30559999999999998</v>
      </c>
      <c r="G29" s="5">
        <f>RBA_478910[[#This Row],[Unit Price]]*RBA_478910[[#This Row],[Quantity]]</f>
        <v>0.30559999999999998</v>
      </c>
      <c r="H29" t="s">
        <v>356</v>
      </c>
      <c r="K29" s="32"/>
    </row>
    <row r="30" spans="1:11" ht="50.1" customHeight="1">
      <c r="A30" s="31" t="s">
        <v>329</v>
      </c>
      <c r="C30" s="31">
        <v>4</v>
      </c>
      <c r="D30" t="s">
        <v>267</v>
      </c>
      <c r="E30" s="32" t="str">
        <f>HYPERLINK("https://www.mcmaster.com/94500A227/", "McMaster")</f>
        <v>McMaster</v>
      </c>
      <c r="F30" s="5">
        <f>15.4/100</f>
        <v>0.154</v>
      </c>
      <c r="G30" s="5">
        <f>RBA_478910[[#This Row],[Unit Price]]*RBA_478910[[#This Row],[Quantity]]</f>
        <v>0.61599999999999999</v>
      </c>
      <c r="H30" t="s">
        <v>357</v>
      </c>
    </row>
    <row r="31" spans="1:11" ht="50.1" customHeight="1">
      <c r="A31" s="31" t="s">
        <v>330</v>
      </c>
      <c r="C31" s="31">
        <v>2</v>
      </c>
      <c r="D31" t="s">
        <v>220</v>
      </c>
      <c r="E31" s="32" t="str">
        <f t="shared" ref="E31" si="4">HYPERLINK("https://amzn.to/3p4Z7Zp", "PETG")</f>
        <v>PETG</v>
      </c>
      <c r="F31" s="5">
        <f>0.01899*25</f>
        <v>0.47475000000000001</v>
      </c>
      <c r="G31" s="5">
        <f>RBA_478910[[#This Row],[Unit Price]]*RBA_478910[[#This Row],[Quantity]]</f>
        <v>0.94950000000000001</v>
      </c>
      <c r="H31" t="s">
        <v>272</v>
      </c>
      <c r="I31" t="s">
        <v>218</v>
      </c>
      <c r="K31" s="32"/>
    </row>
    <row r="32" spans="1:11" ht="50.1" customHeight="1">
      <c r="A32" s="31" t="s">
        <v>248</v>
      </c>
      <c r="C32" s="31">
        <v>4</v>
      </c>
      <c r="D32" t="s">
        <v>267</v>
      </c>
      <c r="E32" s="32" t="str">
        <f>HYPERLINK("https://www.mcmaster.com/92095A208/", "McMaster")</f>
        <v>McMaster</v>
      </c>
      <c r="F32" s="5">
        <f>16.33/100</f>
        <v>0.16329999999999997</v>
      </c>
      <c r="G32" s="5">
        <f>RBA_478910[[#This Row],[Unit Price]]*RBA_478910[[#This Row],[Quantity]]</f>
        <v>0.65319999999999989</v>
      </c>
      <c r="H32" t="s">
        <v>283</v>
      </c>
      <c r="I32" t="s">
        <v>284</v>
      </c>
      <c r="J32" t="s">
        <v>220</v>
      </c>
      <c r="K32" s="32" t="str">
        <f>HYPERLINK("https://amzn.to/3I9bwDb", "Amazon")</f>
        <v>Amazon</v>
      </c>
    </row>
    <row r="33" spans="1:11" ht="50.1" customHeight="1">
      <c r="A33" s="31" t="s">
        <v>249</v>
      </c>
      <c r="C33" s="31">
        <v>19</v>
      </c>
      <c r="D33" t="s">
        <v>220</v>
      </c>
      <c r="E33" s="32" t="str">
        <f>HYPERLINK("https://amzn.to/3I8VKIx", "Amazon")</f>
        <v>Amazon</v>
      </c>
      <c r="F33" s="5">
        <f>10.99/50</f>
        <v>0.2198</v>
      </c>
      <c r="G33" s="5">
        <f>RBA_478910[[#This Row],[Unit Price]]*RBA_478910[[#This Row],[Quantity]]</f>
        <v>4.1761999999999997</v>
      </c>
      <c r="H33" t="s">
        <v>285</v>
      </c>
      <c r="I33" t="s">
        <v>286</v>
      </c>
      <c r="J33" t="s">
        <v>267</v>
      </c>
      <c r="K33" s="32" t="str">
        <f>HYPERLINK("https://www.mcmaster.com/90510A232/", "McMaster")</f>
        <v>McMaster</v>
      </c>
    </row>
    <row r="34" spans="1:11" ht="50.1" customHeight="1">
      <c r="A34" s="31" t="s">
        <v>266</v>
      </c>
      <c r="C34" s="31">
        <v>1</v>
      </c>
      <c r="D34" t="s">
        <v>267</v>
      </c>
      <c r="E34" s="32" t="str">
        <f>HYPERLINK("https://www.mcmaster.com/90591A260/", "McMaster")</f>
        <v>McMaster</v>
      </c>
      <c r="F34" s="5">
        <f>3.56/100</f>
        <v>3.56E-2</v>
      </c>
      <c r="G34" s="5">
        <f>RBA_478910[[#This Row],[Unit Price]]*RBA_478910[[#This Row],[Quantity]]</f>
        <v>3.56E-2</v>
      </c>
      <c r="H34" t="s">
        <v>273</v>
      </c>
      <c r="I34" t="s">
        <v>279</v>
      </c>
      <c r="K34" s="32" t="str">
        <f>HYPERLINK("https://amzn.to/3v5pm5K", "Amazon")</f>
        <v>Amazon</v>
      </c>
    </row>
    <row r="35" spans="1:11" ht="50.1" customHeight="1">
      <c r="A35" t="s">
        <v>372</v>
      </c>
      <c r="B35" t="s">
        <v>373</v>
      </c>
      <c r="C35">
        <v>1</v>
      </c>
      <c r="D35" t="s">
        <v>346</v>
      </c>
      <c r="E35" s="32" t="str">
        <f>HYPERLINK("https://shop.polybelt.com/650-5m-09-Urethane-Steel-Timing-Belt-130-Tooth-B650-5M-09CPS.htm", "PolyBelt")</f>
        <v>PolyBelt</v>
      </c>
      <c r="F35" s="5">
        <v>13.5</v>
      </c>
      <c r="G35" s="5">
        <f>RBA_478910[[#This Row],[Unit Price]]*RBA_478910[[#This Row],[Quantity]]</f>
        <v>13.5</v>
      </c>
      <c r="H35" t="s">
        <v>374</v>
      </c>
      <c r="K35" s="32"/>
    </row>
    <row r="36" spans="1:11" ht="50.1" customHeight="1">
      <c r="F36" s="5"/>
    </row>
    <row r="37" spans="1:11" ht="50.1" customHeight="1">
      <c r="F37" s="5"/>
    </row>
    <row r="38" spans="1:11" ht="50.1" customHeight="1">
      <c r="F38" s="5"/>
    </row>
    <row r="39" spans="1:11" ht="50.1" customHeight="1">
      <c r="F39" s="5"/>
    </row>
    <row r="40" spans="1:11" ht="50.1" customHeight="1">
      <c r="F40" s="5"/>
    </row>
    <row r="41" spans="1:11" ht="50.1" customHeight="1">
      <c r="F41" s="5"/>
    </row>
    <row r="42" spans="1:11" ht="50.1" customHeight="1">
      <c r="F42" s="5"/>
    </row>
    <row r="43" spans="1:11" ht="50.1" customHeight="1">
      <c r="F43" s="5"/>
    </row>
  </sheetData>
  <mergeCells count="1">
    <mergeCell ref="A1:O1"/>
  </mergeCells>
  <conditionalFormatting sqref="F35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0 F12:F13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 F8:F10 F12:F13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6 F18:F20 F5 F25:F29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:F16 F18:F20 F5 F35 F25:F2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1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DD61D-F9D2-4804-993E-5F65E31FCDDD}">
  <dimension ref="A1:AF23"/>
  <sheetViews>
    <sheetView workbookViewId="0">
      <selection activeCell="H6" sqref="H6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420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4" t="s">
        <v>304</v>
      </c>
      <c r="C3" s="34">
        <v>1</v>
      </c>
      <c r="D3" t="s">
        <v>221</v>
      </c>
      <c r="F3" s="5">
        <f>'Electrical '!I52</f>
        <v>34.43</v>
      </c>
      <c r="G3" s="5">
        <f>RBA_47816[[#This Row],[Unit Price]]*RBA_47816[[#This Row],[Quantity]]</f>
        <v>34.43</v>
      </c>
      <c r="H3" t="s">
        <v>439</v>
      </c>
      <c r="K3" s="32"/>
      <c r="L3" s="7">
        <f>SUM(RBA_47816[Extended Price])</f>
        <v>216.04758333333342</v>
      </c>
    </row>
    <row r="4" spans="1:32" ht="50.1" customHeight="1">
      <c r="A4" s="34" t="s">
        <v>421</v>
      </c>
      <c r="C4" s="34">
        <v>1</v>
      </c>
      <c r="D4" t="s">
        <v>212</v>
      </c>
      <c r="E4" s="32" t="str">
        <f>HYPERLINK("https://developer.nvidia.com/embedded/jetson-nano-2gb-developer-kit","Nvidia")</f>
        <v>Nvidia</v>
      </c>
      <c r="F4" s="5">
        <v>59.99</v>
      </c>
      <c r="G4" s="5">
        <f>RBA_47816[[#This Row],[Unit Price]]*RBA_47816[[#This Row],[Quantity]]</f>
        <v>59.99</v>
      </c>
      <c r="K4" s="32"/>
    </row>
    <row r="5" spans="1:32" ht="50.1" customHeight="1">
      <c r="A5" s="34" t="s">
        <v>422</v>
      </c>
      <c r="C5" s="34">
        <v>1</v>
      </c>
      <c r="D5" t="s">
        <v>220</v>
      </c>
      <c r="E5" s="32" t="str">
        <f>HYPERLINK("https://amzn.to/3t85BIe","Amazon")</f>
        <v>Amazon</v>
      </c>
      <c r="F5" s="5">
        <f>7.99/2</f>
        <v>3.9950000000000001</v>
      </c>
      <c r="G5" s="5">
        <f>RBA_47816[[#This Row],[Unit Price]]*RBA_47816[[#This Row],[Quantity]]</f>
        <v>3.9950000000000001</v>
      </c>
      <c r="K5" s="32"/>
    </row>
    <row r="6" spans="1:32" ht="50.1" customHeight="1">
      <c r="A6" s="34" t="s">
        <v>423</v>
      </c>
      <c r="C6" s="34">
        <v>1</v>
      </c>
      <c r="D6" t="s">
        <v>440</v>
      </c>
      <c r="E6" s="32" t="str">
        <f>HYPERLINK("https://bit.ly/3pgw6dg","Seahorse")</f>
        <v>Seahorse</v>
      </c>
      <c r="F6" s="5">
        <v>27.21</v>
      </c>
      <c r="G6" s="5">
        <f>RBA_47816[[#This Row],[Unit Price]]*RBA_47816[[#This Row],[Quantity]]</f>
        <v>27.21</v>
      </c>
      <c r="K6" s="32"/>
    </row>
    <row r="7" spans="1:32" ht="50.1" customHeight="1">
      <c r="A7" s="34" t="s">
        <v>424</v>
      </c>
      <c r="C7" s="34">
        <v>6</v>
      </c>
      <c r="D7" t="s">
        <v>220</v>
      </c>
      <c r="E7" s="32" t="str">
        <f>HYPERLINK("https://amzn.to/3JW5hmK","Amazon")</f>
        <v>Amazon</v>
      </c>
      <c r="F7" s="5">
        <f>26.99/5</f>
        <v>5.3979999999999997</v>
      </c>
      <c r="G7" s="5">
        <f>RBA_47816[[#This Row],[Unit Price]]*RBA_47816[[#This Row],[Quantity]]</f>
        <v>32.387999999999998</v>
      </c>
      <c r="K7" s="32"/>
    </row>
    <row r="8" spans="1:32" ht="50.1" customHeight="1">
      <c r="A8" s="34" t="s">
        <v>425</v>
      </c>
      <c r="C8" s="34">
        <v>1</v>
      </c>
      <c r="D8" t="s">
        <v>220</v>
      </c>
      <c r="E8" s="32" t="str">
        <f>HYPERLINK("https://amzn.to/3JNUvPk", "Amazon")</f>
        <v>Amazon</v>
      </c>
      <c r="F8" s="5">
        <v>28.49</v>
      </c>
      <c r="G8" s="5">
        <f>RBA_47816[[#This Row],[Unit Price]]*RBA_47816[[#This Row],[Quantity]]</f>
        <v>28.49</v>
      </c>
      <c r="K8" s="32"/>
    </row>
    <row r="9" spans="1:32" ht="50.1" customHeight="1">
      <c r="A9" s="34" t="s">
        <v>426</v>
      </c>
      <c r="C9" s="34">
        <v>2</v>
      </c>
      <c r="D9" t="s">
        <v>220</v>
      </c>
      <c r="E9" s="32" t="str">
        <f>HYPERLINK("https://amzn.to/3p4Z7Zp", "PETG")</f>
        <v>PETG</v>
      </c>
      <c r="F9" s="5">
        <f>0.01899*14</f>
        <v>0.26585999999999999</v>
      </c>
      <c r="G9" s="5">
        <f>RBA_47816[[#This Row],[Unit Price]]*RBA_47816[[#This Row],[Quantity]]</f>
        <v>0.53171999999999997</v>
      </c>
      <c r="H9" t="s">
        <v>444</v>
      </c>
      <c r="K9" s="32"/>
    </row>
    <row r="10" spans="1:32" ht="50.1" customHeight="1">
      <c r="A10" s="34" t="s">
        <v>427</v>
      </c>
      <c r="C10" s="34">
        <v>1</v>
      </c>
      <c r="D10" t="s">
        <v>220</v>
      </c>
      <c r="E10" s="32" t="str">
        <f>HYPERLINK("https://amzn.to/3M5yQ72", "Amazon")</f>
        <v>Amazon</v>
      </c>
      <c r="F10" s="5">
        <f>13.99/2</f>
        <v>6.9950000000000001</v>
      </c>
      <c r="G10" s="5">
        <f>RBA_47816[[#This Row],[Unit Price]]*RBA_47816[[#This Row],[Quantity]]</f>
        <v>6.9950000000000001</v>
      </c>
      <c r="K10" s="32"/>
    </row>
    <row r="11" spans="1:32" ht="50.1" customHeight="1">
      <c r="A11" s="34" t="s">
        <v>428</v>
      </c>
      <c r="C11" s="34">
        <v>1</v>
      </c>
      <c r="D11" t="s">
        <v>220</v>
      </c>
      <c r="E11" s="32" t="str">
        <f>HYPERLINK("https://amzn.to/35rtwKr", "Amazon")</f>
        <v>Amazon</v>
      </c>
      <c r="F11" s="5">
        <v>11.99</v>
      </c>
      <c r="G11" s="5">
        <f>RBA_47816[[#This Row],[Unit Price]]*RBA_47816[[#This Row],[Quantity]]</f>
        <v>11.99</v>
      </c>
      <c r="K11" s="32"/>
    </row>
    <row r="12" spans="1:32" ht="50.1" customHeight="1">
      <c r="A12" s="34" t="s">
        <v>429</v>
      </c>
      <c r="C12" s="34">
        <v>1</v>
      </c>
      <c r="D12" t="s">
        <v>220</v>
      </c>
      <c r="E12" s="32" t="str">
        <f>HYPERLINK("https://amzn.to/3p4Z7Zp", "PETG")</f>
        <v>PETG</v>
      </c>
      <c r="F12" s="5">
        <f>0.01899*27</f>
        <v>0.51273000000000002</v>
      </c>
      <c r="G12" s="5">
        <f>RBA_47816[[#This Row],[Unit Price]]*RBA_47816[[#This Row],[Quantity]]</f>
        <v>0.51273000000000002</v>
      </c>
      <c r="H12" t="s">
        <v>297</v>
      </c>
      <c r="I12" t="s">
        <v>256</v>
      </c>
      <c r="J12" t="s">
        <v>220</v>
      </c>
      <c r="K12" s="32"/>
    </row>
    <row r="13" spans="1:32" ht="50.1" customHeight="1">
      <c r="A13" s="34" t="s">
        <v>430</v>
      </c>
      <c r="C13" s="34">
        <v>4</v>
      </c>
      <c r="D13" t="s">
        <v>220</v>
      </c>
      <c r="E13" s="32" t="str">
        <f>HYPERLINK("https://amzn.to/35x7YMk","Amazon")</f>
        <v>Amazon</v>
      </c>
      <c r="F13" s="5">
        <f>15.99/200</f>
        <v>7.9950000000000007E-2</v>
      </c>
      <c r="G13" s="5">
        <f>RBA_47816[[#This Row],[Unit Price]]*RBA_47816[[#This Row],[Quantity]]</f>
        <v>0.31980000000000003</v>
      </c>
      <c r="K13" s="32"/>
    </row>
    <row r="14" spans="1:32" ht="50.1" customHeight="1">
      <c r="A14" s="34" t="s">
        <v>431</v>
      </c>
      <c r="C14" s="34">
        <v>8</v>
      </c>
      <c r="D14" t="s">
        <v>220</v>
      </c>
      <c r="E14" s="32" t="str">
        <f>HYPERLINK("https://amzn.to/359tuHm", "Amazon")</f>
        <v>Amazon</v>
      </c>
      <c r="F14" s="5">
        <f>6.99/50</f>
        <v>0.13980000000000001</v>
      </c>
      <c r="G14" s="5">
        <f>RBA_47816[[#This Row],[Unit Price]]*RBA_47816[[#This Row],[Quantity]]</f>
        <v>1.1184000000000001</v>
      </c>
      <c r="K14" s="32"/>
    </row>
    <row r="15" spans="1:32" ht="50.1" customHeight="1">
      <c r="A15" s="34" t="s">
        <v>432</v>
      </c>
      <c r="C15" s="34">
        <v>4</v>
      </c>
      <c r="D15" t="s">
        <v>220</v>
      </c>
      <c r="E15" s="32" t="str">
        <f>HYPERLINK("https://amzn.to/3HoIvlN", "Amazon")</f>
        <v>Amazon</v>
      </c>
      <c r="F15" s="5">
        <f>9.79/30</f>
        <v>0.32633333333333331</v>
      </c>
      <c r="G15" s="5">
        <f>RBA_47816[[#This Row],[Unit Price]]*RBA_47816[[#This Row],[Quantity]]</f>
        <v>1.3053333333333332</v>
      </c>
      <c r="K15" s="32"/>
    </row>
    <row r="16" spans="1:32" ht="50.1" customHeight="1">
      <c r="A16" s="34" t="s">
        <v>433</v>
      </c>
      <c r="C16" s="34">
        <v>1</v>
      </c>
      <c r="D16" t="s">
        <v>220</v>
      </c>
      <c r="E16" s="32" t="str">
        <f>HYPERLINK("https://amzn.to/3p4Z7Zp", "PETG")</f>
        <v>PETG</v>
      </c>
      <c r="F16" s="5">
        <f>0.01899*43</f>
        <v>0.81657000000000002</v>
      </c>
      <c r="G16" s="5">
        <f>RBA_47816[[#This Row],[Unit Price]]*RBA_47816[[#This Row],[Quantity]]</f>
        <v>0.81657000000000002</v>
      </c>
      <c r="H16" t="s">
        <v>442</v>
      </c>
      <c r="K16" s="32"/>
    </row>
    <row r="17" spans="1:11" ht="50.1" customHeight="1">
      <c r="A17" s="34" t="s">
        <v>434</v>
      </c>
      <c r="C17" s="34">
        <v>1</v>
      </c>
      <c r="D17" t="s">
        <v>220</v>
      </c>
      <c r="E17" s="32" t="str">
        <f>HYPERLINK("https://amzn.to/3p4Z7Zp", "PETG")</f>
        <v>PETG</v>
      </c>
      <c r="F17" s="5">
        <f>0.01899*43</f>
        <v>0.81657000000000002</v>
      </c>
      <c r="G17" s="5">
        <f>RBA_47816[[#This Row],[Unit Price]]*RBA_47816[[#This Row],[Quantity]]</f>
        <v>0.81657000000000002</v>
      </c>
      <c r="H17" t="s">
        <v>443</v>
      </c>
      <c r="K17" s="32"/>
    </row>
    <row r="18" spans="1:11" ht="50.1" customHeight="1">
      <c r="A18" s="34" t="s">
        <v>435</v>
      </c>
      <c r="C18" s="34">
        <v>14</v>
      </c>
      <c r="D18" t="s">
        <v>267</v>
      </c>
      <c r="E18" s="32" t="str">
        <f>HYPERLINK("https://www.mcmaster.com/94500A223/", "McMaster")</f>
        <v>McMaster</v>
      </c>
      <c r="F18">
        <f>10.68/100</f>
        <v>0.10679999999999999</v>
      </c>
      <c r="G18" s="5">
        <f>RBA_47816[[#This Row],[Unit Price]]*RBA_47816[[#This Row],[Quantity]]</f>
        <v>1.4951999999999999</v>
      </c>
      <c r="K18" s="32"/>
    </row>
    <row r="19" spans="1:11" ht="50.1" customHeight="1">
      <c r="A19" s="34" t="s">
        <v>436</v>
      </c>
      <c r="C19" s="34">
        <v>2</v>
      </c>
      <c r="D19" t="s">
        <v>220</v>
      </c>
      <c r="E19" s="32" t="str">
        <f>HYPERLINK("https://amzn.to/3pifPEE", "Amazon")</f>
        <v>Amazon</v>
      </c>
      <c r="F19" s="5">
        <f>8.09/25</f>
        <v>0.3236</v>
      </c>
      <c r="G19" s="5">
        <f>RBA_47816[[#This Row],[Unit Price]]*RBA_47816[[#This Row],[Quantity]]</f>
        <v>0.6472</v>
      </c>
      <c r="K19" s="32"/>
    </row>
    <row r="20" spans="1:11" ht="50.1" customHeight="1">
      <c r="A20" s="34" t="s">
        <v>437</v>
      </c>
      <c r="C20" s="34">
        <v>2</v>
      </c>
      <c r="D20" t="s">
        <v>220</v>
      </c>
      <c r="E20" s="32" t="str">
        <f>HYPERLINK("https://amzn.to/3p4Z7Zp", "PETG")</f>
        <v>PETG</v>
      </c>
      <c r="F20" s="5">
        <f>0.01899*27</f>
        <v>0.51273000000000002</v>
      </c>
      <c r="G20" s="5">
        <f>RBA_47816[[#This Row],[Unit Price]]*RBA_47816[[#This Row],[Quantity]]</f>
        <v>1.02546</v>
      </c>
      <c r="H20" t="s">
        <v>297</v>
      </c>
      <c r="K20" s="32"/>
    </row>
    <row r="21" spans="1:11" ht="50.1" customHeight="1">
      <c r="A21" s="34" t="s">
        <v>438</v>
      </c>
      <c r="C21" s="34">
        <v>4</v>
      </c>
      <c r="D21" t="s">
        <v>220</v>
      </c>
      <c r="E21" s="32" t="str">
        <f>HYPERLINK("https://amzn.to/3slfva4", "Amazon")</f>
        <v>Amazon</v>
      </c>
      <c r="F21" s="5">
        <f>9.49/100</f>
        <v>9.4899999999999998E-2</v>
      </c>
      <c r="G21" s="5">
        <f>RBA_47816[[#This Row],[Unit Price]]*RBA_47816[[#This Row],[Quantity]]</f>
        <v>0.37959999999999999</v>
      </c>
      <c r="K21" s="32"/>
    </row>
    <row r="22" spans="1:11" ht="50.1" customHeight="1">
      <c r="A22" s="34" t="s">
        <v>405</v>
      </c>
      <c r="C22" s="34">
        <v>2</v>
      </c>
      <c r="D22" t="s">
        <v>267</v>
      </c>
      <c r="E22" s="32" t="str">
        <f>HYPERLINK("https://www.mcmaster.com/92095A216/", "McMaster")</f>
        <v>McMaster</v>
      </c>
      <c r="F22" s="5">
        <f>7.64/25</f>
        <v>0.30559999999999998</v>
      </c>
      <c r="G22" s="5">
        <f>RBA_47816[[#This Row],[Unit Price]]*RBA_47816[[#This Row],[Quantity]]</f>
        <v>0.61119999999999997</v>
      </c>
      <c r="H22" t="s">
        <v>356</v>
      </c>
      <c r="K22" s="32"/>
    </row>
    <row r="23" spans="1:11" ht="50.1" customHeight="1">
      <c r="A23" s="34" t="s">
        <v>248</v>
      </c>
      <c r="C23" s="34">
        <v>6</v>
      </c>
      <c r="D23" t="s">
        <v>267</v>
      </c>
      <c r="E23" s="32" t="str">
        <f>HYPERLINK("https://www.mcmaster.com/92095A208/", "McMaster")</f>
        <v>McMaster</v>
      </c>
      <c r="F23" s="5">
        <f>16.33/100</f>
        <v>0.16329999999999997</v>
      </c>
      <c r="G23" s="5">
        <f>RBA_47816[[#This Row],[Unit Price]]*RBA_47816[[#This Row],[Quantity]]</f>
        <v>0.97979999999999978</v>
      </c>
      <c r="H23" t="s">
        <v>283</v>
      </c>
      <c r="I23" t="s">
        <v>284</v>
      </c>
      <c r="J23" t="s">
        <v>220</v>
      </c>
      <c r="K23" s="32" t="str">
        <f>HYPERLINK("https://amzn.to/3I9bwDb", "Amazon")</f>
        <v>Amazon</v>
      </c>
    </row>
  </sheetData>
  <mergeCells count="1">
    <mergeCell ref="A1:O1"/>
  </mergeCells>
  <conditionalFormatting sqref="F18:F19 F21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1 F13:F1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8 F10:F11 F13:F15 F18:F19 F21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:F8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2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 F12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 F10:F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B82A-8476-4336-B4EB-9B033A2A00A7}">
  <dimension ref="A1:AF22"/>
  <sheetViews>
    <sheetView workbookViewId="0">
      <selection activeCell="H10" sqref="H1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375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377</v>
      </c>
      <c r="C3" s="31">
        <f>Overall!N9+1</f>
        <v>1</v>
      </c>
      <c r="D3" t="s">
        <v>221</v>
      </c>
      <c r="E3" s="32"/>
      <c r="F3" s="5">
        <f>'Mechanical - Top_Rail_Section'!L3</f>
        <v>60.720000000000006</v>
      </c>
      <c r="G3" s="5">
        <f>RBA_4789115[[#This Row],[Unit Price]]*RBA_4789115[[#This Row],[Quantity]]</f>
        <v>60.720000000000006</v>
      </c>
      <c r="H3" t="s">
        <v>366</v>
      </c>
      <c r="K3" s="32"/>
      <c r="L3" s="7">
        <f>SUM(RBA_4789115[Extended Price])</f>
        <v>261.02616</v>
      </c>
    </row>
    <row r="4" spans="1:32" ht="50.1" customHeight="1">
      <c r="A4" s="31" t="s">
        <v>323</v>
      </c>
      <c r="C4" s="31">
        <v>1</v>
      </c>
      <c r="D4" s="32" t="s">
        <v>220</v>
      </c>
      <c r="E4" s="32" t="str">
        <f t="shared" ref="E4" si="0">HYPERLINK("https://amzn.to/3p4Z7Zp", "PETG")</f>
        <v>PETG</v>
      </c>
      <c r="F4" s="5">
        <f>0.01899*16</f>
        <v>0.30384</v>
      </c>
      <c r="G4" s="5">
        <f>RBA_4789115[[#This Row],[Unit Price]]*RBA_4789115[[#This Row],[Quantity]]</f>
        <v>0.30384</v>
      </c>
      <c r="H4" t="s">
        <v>382</v>
      </c>
      <c r="I4" t="s">
        <v>218</v>
      </c>
      <c r="J4" s="32"/>
      <c r="K4" s="32"/>
    </row>
    <row r="5" spans="1:32" ht="50.1" customHeight="1">
      <c r="A5" s="31" t="s">
        <v>318</v>
      </c>
      <c r="C5" s="31">
        <v>1</v>
      </c>
      <c r="D5" t="s">
        <v>340</v>
      </c>
      <c r="E5" s="32" t="str">
        <f>HYPERLINK("https://www.digikey.com/en/products/detail/littelfuse-inc/59145-040/4771993","Digikey")</f>
        <v>Digikey</v>
      </c>
      <c r="F5" s="5">
        <v>4.95</v>
      </c>
      <c r="G5" s="5">
        <f>RBA_4789115[[#This Row],[Unit Price]]*RBA_4789115[[#This Row],[Quantity]]</f>
        <v>4.95</v>
      </c>
      <c r="H5" t="s">
        <v>206</v>
      </c>
      <c r="K5" s="32"/>
    </row>
    <row r="6" spans="1:32" ht="50.1" customHeight="1">
      <c r="A6" s="31" t="s">
        <v>378</v>
      </c>
      <c r="C6" s="31">
        <v>1</v>
      </c>
      <c r="D6" t="s">
        <v>220</v>
      </c>
      <c r="E6" s="32" t="str">
        <f>HYPERLINK("https://amzn.to/3pcFWwW", "Amazon")</f>
        <v>Amazon</v>
      </c>
      <c r="F6" s="5">
        <f>16.99/(10000) * 2000 * C3</f>
        <v>3.3979999999999997</v>
      </c>
      <c r="G6" s="5">
        <f>RBA_4789115[[#This Row],[Unit Price]]*RBA_4789115[[#This Row],[Quantity]]</f>
        <v>3.3979999999999997</v>
      </c>
      <c r="H6" t="s">
        <v>363</v>
      </c>
      <c r="I6" t="s">
        <v>279</v>
      </c>
      <c r="J6" t="s">
        <v>220</v>
      </c>
      <c r="K6" s="32" t="str">
        <f>HYPERLINK("https://amzn.to/35ijWtt", "Amazon")</f>
        <v>Amazon</v>
      </c>
    </row>
    <row r="7" spans="1:32" ht="50.1" customHeight="1">
      <c r="A7" s="31" t="s">
        <v>379</v>
      </c>
      <c r="C7" s="31">
        <v>10</v>
      </c>
      <c r="D7" s="32" t="s">
        <v>220</v>
      </c>
      <c r="E7" s="32" t="str">
        <f t="shared" ref="E7" si="1">HYPERLINK("https://amzn.to/3p4Z7Zp", "PETG")</f>
        <v>PETG</v>
      </c>
      <c r="F7" s="5">
        <f>0.01899*13</f>
        <v>0.24687000000000001</v>
      </c>
      <c r="G7" s="5">
        <f>RBA_4789115[[#This Row],[Unit Price]]*RBA_4789115[[#This Row],[Quantity]]</f>
        <v>2.4687000000000001</v>
      </c>
      <c r="H7" t="s">
        <v>385</v>
      </c>
      <c r="I7" t="s">
        <v>218</v>
      </c>
      <c r="J7" s="32"/>
      <c r="K7" s="32" t="str">
        <f>HYPERLINK("https://amzn.to/3JKgFBP","Amazon")</f>
        <v>Amazon</v>
      </c>
    </row>
    <row r="8" spans="1:32" ht="50.1" customHeight="1">
      <c r="A8" s="31" t="s">
        <v>380</v>
      </c>
      <c r="C8" s="31">
        <v>1</v>
      </c>
      <c r="D8" t="s">
        <v>221</v>
      </c>
      <c r="E8" s="32"/>
      <c r="F8" s="5">
        <f>'Mechanical - Yaxis_Carriage'!L3</f>
        <v>189.18561999999997</v>
      </c>
      <c r="G8" s="5">
        <f>RBA_4789115[[#This Row],[Unit Price]]*RBA_4789115[[#This Row],[Quantity]]</f>
        <v>189.18561999999997</v>
      </c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204</v>
      </c>
      <c r="B22" s="40"/>
      <c r="C22" s="40"/>
      <c r="D22" s="40"/>
      <c r="E22" s="40"/>
      <c r="F22" s="40"/>
      <c r="G22" s="40"/>
      <c r="H22" s="40"/>
      <c r="I22" s="5">
        <f>SUM(RBA_4789115[Extended Price])</f>
        <v>261.02616</v>
      </c>
    </row>
  </sheetData>
  <mergeCells count="2">
    <mergeCell ref="A1:O1"/>
    <mergeCell ref="A22:H22"/>
  </mergeCells>
  <conditionalFormatting sqref="G18:G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:G21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2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 F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9E806-9200-462B-9863-0A0AB9EEB52E}">
  <dimension ref="A1:AF21"/>
  <sheetViews>
    <sheetView workbookViewId="0">
      <selection activeCell="H10" sqref="H10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236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242</v>
      </c>
      <c r="C3" s="31">
        <v>1</v>
      </c>
      <c r="D3">
        <v>8020</v>
      </c>
      <c r="E3" s="32" t="str">
        <f>HYPERLINK("https://8020.net/20-2040.html", "20-2040")</f>
        <v>20-2040</v>
      </c>
      <c r="F3" s="5">
        <f>0.0149*150 + 2.51</f>
        <v>4.7449999999999992</v>
      </c>
      <c r="G3" s="5">
        <f>RBA_4[[#This Row],[Unit Price]]*RBA_4[[#This Row],[Quantity]]</f>
        <v>4.7449999999999992</v>
      </c>
      <c r="H3" t="s">
        <v>255</v>
      </c>
      <c r="I3" t="s">
        <v>256</v>
      </c>
      <c r="J3" t="s">
        <v>220</v>
      </c>
      <c r="K3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  <c r="L3" s="7">
        <f>SUM(RBA_4[Extended Price])</f>
        <v>107.97528</v>
      </c>
    </row>
    <row r="4" spans="1:32" ht="50.1" customHeight="1">
      <c r="A4" s="31" t="s">
        <v>243</v>
      </c>
      <c r="C4" s="31">
        <v>4</v>
      </c>
      <c r="D4">
        <v>8020</v>
      </c>
      <c r="E4" s="32" t="str">
        <f>HYPERLINK("https://8020.net/20-2040.html", "14056")</f>
        <v>14056</v>
      </c>
      <c r="F4">
        <v>1.94</v>
      </c>
      <c r="G4" s="5">
        <f>RBA_4[[#This Row],[Unit Price]]*RBA_4[[#This Row],[Quantity]]</f>
        <v>7.76</v>
      </c>
      <c r="H4" t="s">
        <v>259</v>
      </c>
      <c r="I4" t="s">
        <v>260</v>
      </c>
      <c r="J4" t="s">
        <v>220</v>
      </c>
      <c r="K4" s="32" t="str">
        <f>HYPERLINK("https://www.amazon.com/Aluminum-Extrusion-Corner-Bracket-Profile/dp/B08N16BKQS/ref=sr_1_7?crid=2K2OD6C5WR7GM&amp;keywords=right+angle+8020&amp;qid=1645476638&amp;sprefix=right+angle+8020%2Caps%2C149&amp;sr=8-7", "Amazon")</f>
        <v>Amazon</v>
      </c>
    </row>
    <row r="5" spans="1:32" ht="50.1" customHeight="1">
      <c r="A5" s="31" t="s">
        <v>244</v>
      </c>
      <c r="C5" s="31">
        <v>2</v>
      </c>
      <c r="D5" t="s">
        <v>221</v>
      </c>
      <c r="E5" s="32"/>
      <c r="F5" s="5">
        <f>'Mechanical - Buffer'!L3</f>
        <v>2.3946900000000002</v>
      </c>
      <c r="G5" s="5">
        <f>RBA_4[[#This Row],[Unit Price]]*RBA_4[[#This Row],[Quantity]]</f>
        <v>4.7893800000000004</v>
      </c>
      <c r="H5" t="s">
        <v>276</v>
      </c>
      <c r="I5" t="s">
        <v>278</v>
      </c>
      <c r="K5" s="32"/>
    </row>
    <row r="6" spans="1:32" ht="50.1" customHeight="1">
      <c r="A6" s="31" t="s">
        <v>245</v>
      </c>
      <c r="C6" s="31">
        <v>2</v>
      </c>
      <c r="D6" t="s">
        <v>220</v>
      </c>
      <c r="E6" s="32" t="str">
        <f>HYPERLINK("https://amzn.to/3p4Z7Zp", "PETG")</f>
        <v>PETG</v>
      </c>
      <c r="F6">
        <f>12*0.02</f>
        <v>0.24</v>
      </c>
      <c r="G6" s="5">
        <f>RBA_4[[#This Row],[Unit Price]]*RBA_4[[#This Row],[Quantity]]</f>
        <v>0.48</v>
      </c>
      <c r="H6" t="s">
        <v>277</v>
      </c>
      <c r="I6" t="s">
        <v>218</v>
      </c>
      <c r="K6" s="32"/>
    </row>
    <row r="7" spans="1:32" ht="50.1" customHeight="1">
      <c r="A7" s="34" t="s">
        <v>250</v>
      </c>
      <c r="C7" s="31">
        <v>3</v>
      </c>
      <c r="D7">
        <v>8020</v>
      </c>
      <c r="E7" s="32" t="str">
        <f t="shared" ref="E7" si="0">HYPERLINK("https://8020.net/20-2040.html", "20-2040")</f>
        <v>20-2040</v>
      </c>
      <c r="F7" s="5">
        <f>0.0149*300 + 2.51</f>
        <v>6.9799999999999995</v>
      </c>
      <c r="G7" s="5">
        <f>RBA_4[[#This Row],[Unit Price]]*RBA_4[[#This Row],[Quantity]]</f>
        <v>20.939999999999998</v>
      </c>
      <c r="H7" t="s">
        <v>255</v>
      </c>
      <c r="I7" t="s">
        <v>256</v>
      </c>
      <c r="K7" s="32" t="str">
        <f>HYPERLINK("https://www.amazon.com/European-Standard-Anodized-Aluminum-Extrusion/dp/B099N9QCTJ/ref=sr_1_4?crid=WNRTCAE6OMWK&amp;keywords=2040+300mm&amp;qid=1645478233&amp;sprefix=2040+300mm%2Caps%2C190&amp;sr=8-4", "Amazon")</f>
        <v>Amazon</v>
      </c>
    </row>
    <row r="8" spans="1:32" ht="50.1" customHeight="1">
      <c r="A8" s="31" t="s">
        <v>246</v>
      </c>
      <c r="C8" s="31">
        <v>4</v>
      </c>
      <c r="D8" t="s">
        <v>281</v>
      </c>
      <c r="E8" s="32" t="str">
        <f>HYPERLINK("https://www.digikey.com/en/products/detail/w%C3%BCrth-elektronik/970300581/6174852", "DigiKey")</f>
        <v>DigiKey</v>
      </c>
      <c r="F8" s="5">
        <v>0.76</v>
      </c>
      <c r="G8" s="5">
        <f>RBA_4[[#This Row],[Unit Price]]*RBA_4[[#This Row],[Quantity]]</f>
        <v>3.04</v>
      </c>
      <c r="H8" t="s">
        <v>280</v>
      </c>
      <c r="K8" s="32" t="str">
        <f t="shared" ref="K8:K15" si="1">HYPERLINK("", "Amazon")</f>
        <v>Amazon</v>
      </c>
    </row>
    <row r="9" spans="1:32" ht="50.1" customHeight="1">
      <c r="A9" s="31" t="s">
        <v>247</v>
      </c>
      <c r="C9" s="31">
        <v>2</v>
      </c>
      <c r="D9" t="s">
        <v>221</v>
      </c>
      <c r="E9" s="32"/>
      <c r="F9" s="5">
        <f>'Mechanical - Buffer'!L3</f>
        <v>2.3946900000000002</v>
      </c>
      <c r="G9" s="5">
        <f>RBA_4[[#This Row],[Unit Price]]*RBA_4[[#This Row],[Quantity]]</f>
        <v>4.7893800000000004</v>
      </c>
      <c r="H9" t="s">
        <v>282</v>
      </c>
      <c r="I9" t="s">
        <v>278</v>
      </c>
      <c r="K9" s="32" t="str">
        <f t="shared" si="1"/>
        <v>Amazon</v>
      </c>
    </row>
    <row r="10" spans="1:32" ht="50.1" customHeight="1">
      <c r="A10" s="31" t="s">
        <v>248</v>
      </c>
      <c r="C10" s="31">
        <v>36</v>
      </c>
      <c r="D10" t="s">
        <v>267</v>
      </c>
      <c r="E10" s="32" t="str">
        <f>HYPERLINK("https://www.mcmaster.com/92095A208/", "McMaster")</f>
        <v>McMaster</v>
      </c>
      <c r="F10" s="5">
        <f>16.33/100</f>
        <v>0.16329999999999997</v>
      </c>
      <c r="G10" s="5">
        <f>RBA_4[[#This Row],[Unit Price]]*RBA_4[[#This Row],[Quantity]]</f>
        <v>5.8787999999999991</v>
      </c>
      <c r="H10" t="s">
        <v>283</v>
      </c>
      <c r="I10" t="s">
        <v>284</v>
      </c>
      <c r="J10" t="s">
        <v>220</v>
      </c>
      <c r="K10" s="32" t="str">
        <f>HYPERLINK("https://amzn.to/3I9bwDb", "Amazon")</f>
        <v>Amazon</v>
      </c>
    </row>
    <row r="11" spans="1:32" ht="50.1" customHeight="1">
      <c r="A11" s="31" t="s">
        <v>249</v>
      </c>
      <c r="C11" s="31">
        <v>40</v>
      </c>
      <c r="D11" t="s">
        <v>220</v>
      </c>
      <c r="E11" s="32" t="str">
        <f>HYPERLINK("https://amzn.to/3I8VKIx", "Amazon")</f>
        <v>Amazon</v>
      </c>
      <c r="F11" s="5">
        <f>10.99/50</f>
        <v>0.2198</v>
      </c>
      <c r="G11" s="5">
        <f>RBA_4[[#This Row],[Unit Price]]*RBA_4[[#This Row],[Quantity]]</f>
        <v>8.7919999999999998</v>
      </c>
      <c r="H11" t="s">
        <v>285</v>
      </c>
      <c r="I11" t="s">
        <v>286</v>
      </c>
      <c r="J11" t="s">
        <v>267</v>
      </c>
      <c r="K11" s="32" t="str">
        <f>HYPERLINK("https://www.mcmaster.com/90510A232/", "McMaster")</f>
        <v>McMaster</v>
      </c>
    </row>
    <row r="12" spans="1:32" ht="50.1" customHeight="1">
      <c r="A12" s="31" t="s">
        <v>251</v>
      </c>
      <c r="C12" s="31">
        <v>2</v>
      </c>
      <c r="D12" t="s">
        <v>267</v>
      </c>
      <c r="E12" s="32" t="str">
        <f>HYPERLINK("https://www.mcmaster.com/5537T425/", "McMaster")</f>
        <v>McMaster</v>
      </c>
      <c r="F12" s="5">
        <f>7.03/4</f>
        <v>1.7575000000000001</v>
      </c>
      <c r="G12" s="5">
        <f>RBA_4[[#This Row],[Unit Price]]*RBA_4[[#This Row],[Quantity]]</f>
        <v>3.5150000000000001</v>
      </c>
      <c r="H12" t="s">
        <v>287</v>
      </c>
      <c r="I12" t="s">
        <v>288</v>
      </c>
      <c r="J12" t="s">
        <v>220</v>
      </c>
      <c r="K12" s="32" t="str">
        <f>HYPERLINK("https://amzn.to/3s5sT1T", "Amazon")</f>
        <v>Amazon</v>
      </c>
    </row>
    <row r="13" spans="1:32" ht="50.1" customHeight="1">
      <c r="A13" s="31" t="s">
        <v>252</v>
      </c>
      <c r="C13" s="31">
        <v>2</v>
      </c>
      <c r="D13" t="s">
        <v>221</v>
      </c>
      <c r="E13" s="32"/>
      <c r="F13" s="5">
        <f>'Mechanical - X_CarriageFWD_V2_1'!L3</f>
        <v>7.3609699999999991</v>
      </c>
      <c r="G13" s="5">
        <f>RBA_4[[#This Row],[Unit Price]]*RBA_4[[#This Row],[Quantity]]</f>
        <v>14.721939999999998</v>
      </c>
      <c r="H13" t="s">
        <v>237</v>
      </c>
      <c r="K13" s="32" t="str">
        <f t="shared" si="1"/>
        <v>Amazon</v>
      </c>
    </row>
    <row r="14" spans="1:32" ht="50.1" customHeight="1">
      <c r="A14" s="34" t="s">
        <v>253</v>
      </c>
      <c r="C14" s="31">
        <v>2</v>
      </c>
      <c r="D14" t="s">
        <v>221</v>
      </c>
      <c r="E14" s="32"/>
      <c r="F14" s="5">
        <f>'Mechanical - X_CarriageFWDBeari'!L3</f>
        <v>6.5005199999999999</v>
      </c>
      <c r="G14" s="5">
        <f>RBA_4[[#This Row],[Unit Price]]*RBA_4[[#This Row],[Quantity]]</f>
        <v>13.00104</v>
      </c>
      <c r="H14" t="s">
        <v>238</v>
      </c>
      <c r="K14" s="32" t="str">
        <f t="shared" si="1"/>
        <v>Amazon</v>
      </c>
    </row>
    <row r="15" spans="1:32" ht="50.1" customHeight="1">
      <c r="A15" s="31" t="s">
        <v>254</v>
      </c>
      <c r="C15" s="31">
        <v>2</v>
      </c>
      <c r="D15" t="s">
        <v>221</v>
      </c>
      <c r="E15" s="32"/>
      <c r="F15" s="5">
        <f>'Mechanical - X_CarriageFWD_V2_1'!L3</f>
        <v>7.3609699999999991</v>
      </c>
      <c r="G15" s="5">
        <f>RBA_4[[#This Row],[Unit Price]]*RBA_4[[#This Row],[Quantity]]</f>
        <v>14.721939999999998</v>
      </c>
      <c r="H15" t="s">
        <v>298</v>
      </c>
      <c r="K15" s="32" t="str">
        <f t="shared" si="1"/>
        <v>Amazon</v>
      </c>
    </row>
    <row r="16" spans="1:32" ht="50.1" customHeight="1">
      <c r="A16" s="31" t="s">
        <v>327</v>
      </c>
      <c r="C16" s="31">
        <v>4</v>
      </c>
      <c r="D16" t="s">
        <v>267</v>
      </c>
      <c r="E16" s="32" t="str">
        <f>HYPERLINK("https://www.mcmaster.com/92095A210/", "McMaster")</f>
        <v>McMaster</v>
      </c>
      <c r="F16" s="5">
        <f>10.01/50</f>
        <v>0.20019999999999999</v>
      </c>
      <c r="G16" s="5">
        <f>RBA_4[[#This Row],[Unit Price]]*RBA_4[[#This Row],[Quantity]]</f>
        <v>0.80079999999999996</v>
      </c>
      <c r="H16" t="s">
        <v>371</v>
      </c>
      <c r="I16" t="s">
        <v>376</v>
      </c>
      <c r="K16" s="32"/>
    </row>
    <row r="17" spans="1:11" ht="50.1" customHeight="1">
      <c r="E17" s="32"/>
      <c r="G17" s="5"/>
      <c r="K17" s="32"/>
    </row>
    <row r="18" spans="1:11" ht="50.1" customHeight="1">
      <c r="E18" s="32"/>
      <c r="F18" s="5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A21" s="40"/>
      <c r="B21" s="40"/>
      <c r="C21" s="40"/>
      <c r="D21" s="40"/>
      <c r="E21" s="40"/>
      <c r="F21" s="40"/>
      <c r="G21" s="40"/>
      <c r="H21" s="40"/>
      <c r="I21" s="5"/>
    </row>
  </sheetData>
  <mergeCells count="2">
    <mergeCell ref="A1:O1"/>
    <mergeCell ref="A21:H21"/>
  </mergeCells>
  <conditionalFormatting sqref="G17:G2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:F2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5 F17:F2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F0640-2BF0-4AC3-9F0A-10A047BD7334}">
  <dimension ref="A1:AF22"/>
  <sheetViews>
    <sheetView workbookViewId="0">
      <selection activeCell="J6" sqref="J6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377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251</v>
      </c>
      <c r="C3" s="31">
        <v>4</v>
      </c>
      <c r="D3" t="s">
        <v>267</v>
      </c>
      <c r="E3" s="32" t="str">
        <f>HYPERLINK("https://www.mcmaster.com/5537T425/", "McMaster")</f>
        <v>McMaster</v>
      </c>
      <c r="F3" s="5">
        <f>7.03/4</f>
        <v>1.7575000000000001</v>
      </c>
      <c r="G3" s="5">
        <f>RBA_478911512[[#This Row],[Unit Price]]*RBA_478911512[[#This Row],[Quantity]]</f>
        <v>7.03</v>
      </c>
      <c r="H3" t="s">
        <v>287</v>
      </c>
      <c r="I3" t="s">
        <v>288</v>
      </c>
      <c r="J3" t="s">
        <v>220</v>
      </c>
      <c r="K3" s="32" t="str">
        <f>HYPERLINK("https://amzn.to/3s5sT1T", "Amazon")</f>
        <v>Amazon</v>
      </c>
      <c r="L3" s="7">
        <f>SUM(RBA_478911512[Extended Price])</f>
        <v>60.720000000000006</v>
      </c>
    </row>
    <row r="4" spans="1:32" ht="50.1" customHeight="1">
      <c r="A4" s="31" t="s">
        <v>305</v>
      </c>
      <c r="C4" s="31">
        <v>1</v>
      </c>
      <c r="D4">
        <v>8020</v>
      </c>
      <c r="E4" s="32" t="str">
        <f>HYPERLINK("https://8020.net/20-4040.html", "20-4040")</f>
        <v>20-4040</v>
      </c>
      <c r="F4" s="5">
        <f>0.02559*2000 + 2.51</f>
        <v>53.690000000000005</v>
      </c>
      <c r="G4" s="5">
        <f>RBA_478911512[[#This Row],[Unit Price]]*RBA_478911512[[#This Row],[Quantity]]</f>
        <v>53.690000000000005</v>
      </c>
      <c r="H4" t="s">
        <v>381</v>
      </c>
      <c r="I4" t="s">
        <v>256</v>
      </c>
      <c r="K4" s="32"/>
    </row>
    <row r="5" spans="1:32" ht="50.1" customHeight="1">
      <c r="A5" s="31"/>
      <c r="C5" s="31"/>
      <c r="E5" s="32"/>
      <c r="F5" s="5"/>
      <c r="G5" s="5"/>
      <c r="K5" s="32"/>
    </row>
    <row r="6" spans="1:32" ht="50.1" customHeight="1">
      <c r="A6" s="31"/>
      <c r="C6" s="31"/>
      <c r="E6" s="32"/>
      <c r="F6" s="5"/>
      <c r="G6" s="5"/>
      <c r="K6" s="32"/>
    </row>
    <row r="7" spans="1:32" ht="50.1" customHeight="1">
      <c r="A7" s="31"/>
      <c r="C7" s="31"/>
      <c r="E7" s="32"/>
      <c r="F7" s="5"/>
      <c r="G7" s="5"/>
      <c r="K7" s="32"/>
    </row>
    <row r="8" spans="1:32" ht="50.1" customHeight="1">
      <c r="A8" s="31"/>
      <c r="C8" s="31"/>
      <c r="E8" s="32"/>
      <c r="F8" s="5"/>
      <c r="G8" s="5"/>
      <c r="K8" s="32"/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 t="s">
        <v>204</v>
      </c>
      <c r="B22" s="40"/>
      <c r="C22" s="40"/>
      <c r="D22" s="40"/>
      <c r="E22" s="40"/>
      <c r="F22" s="40"/>
      <c r="G22" s="40"/>
      <c r="H22" s="40"/>
      <c r="I22" s="5">
        <f>SUM(RBA_478911512[Extended Price])</f>
        <v>60.720000000000006</v>
      </c>
    </row>
  </sheetData>
  <mergeCells count="2">
    <mergeCell ref="A1:O1"/>
    <mergeCell ref="A22:H22"/>
  </mergeCells>
  <conditionalFormatting sqref="G18:G2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7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21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2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882B8-B540-46F3-A58B-0AB3F309C260}">
  <dimension ref="A1:AF35"/>
  <sheetViews>
    <sheetView topLeftCell="A28" workbookViewId="0">
      <selection activeCell="E16" sqref="E16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19.85546875" bestFit="1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377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386</v>
      </c>
      <c r="C3" s="31">
        <v>1</v>
      </c>
      <c r="D3" t="s">
        <v>220</v>
      </c>
      <c r="E3" s="32" t="str">
        <f>HYPERLINK("https://amzn.to/3JJ8RAm", "Amazon")</f>
        <v>Amazon</v>
      </c>
      <c r="F3" s="5">
        <f>7.98/5</f>
        <v>1.5960000000000001</v>
      </c>
      <c r="G3" s="5">
        <f>RBA_47891151213[[#This Row],[Unit Price]]*RBA_47891151213[[#This Row],[Quantity]]</f>
        <v>1.5960000000000001</v>
      </c>
      <c r="H3" t="s">
        <v>287</v>
      </c>
      <c r="K3" s="32"/>
      <c r="L3" s="7">
        <f>SUM(RBA_47891151213[Extended Price])</f>
        <v>189.18561999999997</v>
      </c>
    </row>
    <row r="4" spans="1:32" ht="50.1" customHeight="1">
      <c r="A4" s="31" t="s">
        <v>387</v>
      </c>
      <c r="C4" s="31">
        <v>2</v>
      </c>
      <c r="D4" t="s">
        <v>267</v>
      </c>
      <c r="E4" s="32" t="str">
        <f>HYPERLINK("https://www.mcmaster.com/92095A187/", "McMaster")</f>
        <v>McMaster</v>
      </c>
      <c r="F4" s="5">
        <f>7.13/50</f>
        <v>0.1426</v>
      </c>
      <c r="G4" s="5">
        <f>RBA_47891151213[[#This Row],[Unit Price]]*RBA_47891151213[[#This Row],[Quantity]]</f>
        <v>0.28520000000000001</v>
      </c>
      <c r="H4" t="s">
        <v>408</v>
      </c>
      <c r="I4" t="s">
        <v>256</v>
      </c>
      <c r="K4" s="32"/>
    </row>
    <row r="5" spans="1:32" ht="50.1" customHeight="1">
      <c r="A5" s="31" t="s">
        <v>388</v>
      </c>
      <c r="C5" s="31">
        <v>1</v>
      </c>
      <c r="D5" t="s">
        <v>220</v>
      </c>
      <c r="E5" s="32" t="str">
        <f>HYPERLINK("https://amzn.to/3v8bl7r","Amazon")</f>
        <v>Amazon</v>
      </c>
      <c r="F5" s="5">
        <f>6.98/2</f>
        <v>3.49</v>
      </c>
      <c r="G5" s="5">
        <f>RBA_47891151213[[#This Row],[Unit Price]]*RBA_47891151213[[#This Row],[Quantity]]</f>
        <v>3.49</v>
      </c>
      <c r="K5" s="32"/>
    </row>
    <row r="6" spans="1:32" ht="50.1" customHeight="1">
      <c r="A6" s="31" t="s">
        <v>304</v>
      </c>
      <c r="C6" s="31">
        <v>1</v>
      </c>
      <c r="D6" t="s">
        <v>221</v>
      </c>
      <c r="E6" s="32"/>
      <c r="F6" s="5">
        <f>'Electrical '!I24</f>
        <v>17.48</v>
      </c>
      <c r="G6" s="5">
        <f>RBA_47891151213[[#This Row],[Unit Price]]*RBA_47891151213[[#This Row],[Quantity]]</f>
        <v>17.48</v>
      </c>
      <c r="K6" s="32"/>
    </row>
    <row r="7" spans="1:32" ht="50.1" customHeight="1">
      <c r="A7" s="31" t="s">
        <v>389</v>
      </c>
      <c r="C7" s="31">
        <v>1</v>
      </c>
      <c r="D7" t="s">
        <v>409</v>
      </c>
      <c r="E7" s="32"/>
      <c r="F7" s="5"/>
      <c r="G7" s="5">
        <f>RBA_47891151213[[#This Row],[Unit Price]]*RBA_47891151213[[#This Row],[Quantity]]</f>
        <v>0</v>
      </c>
      <c r="K7" s="32"/>
    </row>
    <row r="8" spans="1:32" ht="50.1" customHeight="1">
      <c r="A8" s="31" t="s">
        <v>244</v>
      </c>
      <c r="C8" s="31">
        <v>1</v>
      </c>
      <c r="D8" t="s">
        <v>221</v>
      </c>
      <c r="E8" s="32"/>
      <c r="F8" s="5">
        <f>'Mechanical - Buffer'!L3</f>
        <v>2.3946900000000002</v>
      </c>
      <c r="G8" s="5">
        <f>RBA_47891151213[[#This Row],[Unit Price]]*RBA_47891151213[[#This Row],[Quantity]]</f>
        <v>2.3946900000000002</v>
      </c>
      <c r="K8" s="32"/>
    </row>
    <row r="9" spans="1:32" ht="50.1" customHeight="1">
      <c r="A9" s="31" t="s">
        <v>390</v>
      </c>
      <c r="C9" s="31">
        <v>1</v>
      </c>
      <c r="D9" t="s">
        <v>221</v>
      </c>
      <c r="E9" s="32"/>
      <c r="F9" s="5">
        <f>'Mechanical - X_CarriageFWD_V2_1'!L3</f>
        <v>7.3609699999999991</v>
      </c>
      <c r="G9" s="5">
        <f>RBA_47891151213[[#This Row],[Unit Price]]*RBA_47891151213[[#This Row],[Quantity]]</f>
        <v>7.3609699999999991</v>
      </c>
      <c r="K9" s="32"/>
    </row>
    <row r="10" spans="1:32" ht="50.1" customHeight="1">
      <c r="A10" s="31" t="s">
        <v>391</v>
      </c>
      <c r="C10" s="31">
        <v>1</v>
      </c>
      <c r="D10" t="s">
        <v>221</v>
      </c>
      <c r="E10" s="32"/>
      <c r="F10" s="5">
        <f>'Mechanical - X_Carriage_v2_1'!L3</f>
        <v>9.5010500000000011</v>
      </c>
      <c r="G10" s="5">
        <f>RBA_47891151213[[#This Row],[Unit Price]]*RBA_47891151213[[#This Row],[Quantity]]</f>
        <v>9.5010500000000011</v>
      </c>
      <c r="K10" s="32"/>
    </row>
    <row r="11" spans="1:32" ht="50.1" customHeight="1">
      <c r="A11" s="31" t="s">
        <v>392</v>
      </c>
      <c r="C11" s="31">
        <v>2</v>
      </c>
      <c r="D11">
        <v>8020</v>
      </c>
      <c r="E11" s="32" t="str">
        <f>HYPERLINK("https://8020.net/20-2040.html", "20-2040")</f>
        <v>20-2040</v>
      </c>
      <c r="F11" s="5">
        <f>0.0149*200 + 2.51</f>
        <v>5.49</v>
      </c>
      <c r="G11" s="5">
        <f>RBA_47891151213[[#This Row],[Unit Price]]*RBA_47891151213[[#This Row],[Quantity]]</f>
        <v>10.98</v>
      </c>
      <c r="H11" t="s">
        <v>255</v>
      </c>
      <c r="I11" t="s">
        <v>256</v>
      </c>
      <c r="J11" t="s">
        <v>220</v>
      </c>
      <c r="K11" s="32" t="str">
        <f>HYPERLINK("https://www.amazon.com/Aluminum-Extrusion-European-Standard-Anodized/dp/B08CN92SP1/ref=sr_1_7?crid=3VIGODRUEW0NZ&amp;keywords=150mm+2040&amp;qid=1645476496&amp;sprefix=150mm+2040%2Caps%2C147&amp;sr=8-7", "Amazon")</f>
        <v>Amazon</v>
      </c>
    </row>
    <row r="12" spans="1:32" ht="50.1" customHeight="1">
      <c r="A12" s="31" t="s">
        <v>393</v>
      </c>
      <c r="C12" s="31">
        <v>1</v>
      </c>
      <c r="D12" t="s">
        <v>221</v>
      </c>
      <c r="E12" s="32"/>
      <c r="F12" s="5">
        <f>'Mechanical - X_CarriageFWD_V2_1'!L3</f>
        <v>7.3609699999999991</v>
      </c>
      <c r="G12" s="5">
        <f>RBA_47891151213[[#This Row],[Unit Price]]*RBA_47891151213[[#This Row],[Quantity]]</f>
        <v>7.3609699999999991</v>
      </c>
      <c r="K12" s="32"/>
    </row>
    <row r="13" spans="1:32" ht="50.1" customHeight="1">
      <c r="A13" s="31" t="s">
        <v>394</v>
      </c>
      <c r="C13" s="31">
        <v>1</v>
      </c>
      <c r="D13" t="s">
        <v>221</v>
      </c>
      <c r="E13" s="32"/>
      <c r="F13" s="5">
        <f>'Mechanical - X_Carriage_v2_1'!L3</f>
        <v>9.5010500000000011</v>
      </c>
      <c r="G13" s="5">
        <f>RBA_47891151213[[#This Row],[Unit Price]]*RBA_47891151213[[#This Row],[Quantity]]</f>
        <v>9.5010500000000011</v>
      </c>
      <c r="K13" s="32"/>
    </row>
    <row r="14" spans="1:32" ht="50.1" customHeight="1">
      <c r="A14" s="31" t="s">
        <v>395</v>
      </c>
      <c r="C14" s="31">
        <v>2</v>
      </c>
      <c r="D14" t="s">
        <v>220</v>
      </c>
      <c r="E14" s="32" t="str">
        <f>HYPERLINK("https://www.amazon.com/gp/product/B07CXNK33Q/ref=ppx_yo_dt_b_search_asin_title?ie=UTF8&amp;psc=1","Amazon")</f>
        <v>Amazon</v>
      </c>
      <c r="F14" s="5">
        <v>2.5</v>
      </c>
      <c r="G14" s="5">
        <f>RBA_47891151213[[#This Row],[Unit Price]]*RBA_47891151213[[#This Row],[Quantity]]</f>
        <v>5</v>
      </c>
      <c r="H14" t="s">
        <v>343</v>
      </c>
      <c r="I14" t="s">
        <v>344</v>
      </c>
      <c r="K14" s="32"/>
    </row>
    <row r="15" spans="1:32" ht="50.1" customHeight="1">
      <c r="A15" s="34" t="s">
        <v>396</v>
      </c>
      <c r="C15" s="31">
        <v>8</v>
      </c>
      <c r="D15" t="s">
        <v>267</v>
      </c>
      <c r="E15" s="32" t="str">
        <f>HYPERLINK("https://www.mcmaster.com/95947A725/", "Amazon")</f>
        <v>Amazon</v>
      </c>
      <c r="F15" s="5">
        <v>1.01</v>
      </c>
      <c r="G15" s="5">
        <f>RBA_47891151213[[#This Row],[Unit Price]]*RBA_47891151213[[#This Row],[Quantity]]</f>
        <v>8.08</v>
      </c>
      <c r="K15" s="32"/>
    </row>
    <row r="16" spans="1:32" ht="50.1" customHeight="1">
      <c r="A16" s="31" t="s">
        <v>397</v>
      </c>
      <c r="C16" s="31">
        <v>1</v>
      </c>
      <c r="D16" t="s">
        <v>410</v>
      </c>
      <c r="E16" s="32" t="str">
        <f>HYPERLINK("https://bit.ly/3t0jHvb", "StepperOnline")</f>
        <v>StepperOnline</v>
      </c>
      <c r="F16" s="5">
        <v>9.91</v>
      </c>
      <c r="G16" s="5">
        <f>RBA_47891151213[[#This Row],[Unit Price]]*RBA_47891151213[[#This Row],[Quantity]]</f>
        <v>9.91</v>
      </c>
      <c r="K16" s="32"/>
    </row>
    <row r="17" spans="1:11" ht="50.1" customHeight="1">
      <c r="A17" s="31" t="s">
        <v>398</v>
      </c>
      <c r="C17" s="31">
        <v>1</v>
      </c>
      <c r="D17" s="32" t="s">
        <v>220</v>
      </c>
      <c r="E17" s="32" t="str">
        <f t="shared" ref="E17:E18" si="0">HYPERLINK("https://amzn.to/3p4Z7Zp", "PETG")</f>
        <v>PETG</v>
      </c>
      <c r="F17" s="5">
        <f>0.01899*112</f>
        <v>2.1268799999999999</v>
      </c>
      <c r="G17" s="5">
        <f>RBA_47891151213[[#This Row],[Unit Price]]*RBA_47891151213[[#This Row],[Quantity]]</f>
        <v>2.1268799999999999</v>
      </c>
      <c r="H17" t="s">
        <v>415</v>
      </c>
      <c r="I17" t="s">
        <v>218</v>
      </c>
      <c r="J17" s="32"/>
      <c r="K17" s="32"/>
    </row>
    <row r="18" spans="1:11" ht="50.1" customHeight="1">
      <c r="A18" s="31" t="s">
        <v>399</v>
      </c>
      <c r="C18" s="31">
        <v>2</v>
      </c>
      <c r="D18" s="32" t="s">
        <v>220</v>
      </c>
      <c r="E18" s="32" t="str">
        <f t="shared" si="0"/>
        <v>PETG</v>
      </c>
      <c r="F18" s="5">
        <f>0.01899*14</f>
        <v>0.26585999999999999</v>
      </c>
      <c r="G18" s="5">
        <f>RBA_47891151213[[#This Row],[Unit Price]]*RBA_47891151213[[#This Row],[Quantity]]</f>
        <v>0.53171999999999997</v>
      </c>
      <c r="H18" t="s">
        <v>416</v>
      </c>
      <c r="I18" t="s">
        <v>218</v>
      </c>
      <c r="J18" s="32"/>
      <c r="K18" s="32"/>
    </row>
    <row r="19" spans="1:11" ht="50.1" customHeight="1">
      <c r="A19" s="31" t="s">
        <v>324</v>
      </c>
      <c r="C19" s="31">
        <v>1</v>
      </c>
      <c r="D19" t="s">
        <v>340</v>
      </c>
      <c r="E19" s="32" t="str">
        <f>HYPERLINK("https://www.digikey.com/en/products/detail/littelfuse-inc/57145-000/43980","Digikey")</f>
        <v>Digikey</v>
      </c>
      <c r="F19" s="5">
        <v>3.06</v>
      </c>
      <c r="G19" s="5">
        <f>RBA_47891151213[[#This Row],[Unit Price]]*RBA_47891151213[[#This Row],[Quantity]]</f>
        <v>3.06</v>
      </c>
      <c r="H19" t="s">
        <v>417</v>
      </c>
      <c r="K19" s="32"/>
    </row>
    <row r="20" spans="1:11" ht="50.1" customHeight="1">
      <c r="A20" s="31" t="s">
        <v>322</v>
      </c>
      <c r="C20" s="31">
        <v>1</v>
      </c>
      <c r="D20" s="32" t="s">
        <v>220</v>
      </c>
      <c r="E20" s="32" t="str">
        <f t="shared" ref="E20:E24" si="1">HYPERLINK("https://amzn.to/3p4Z7Zp", "PETG")</f>
        <v>PETG</v>
      </c>
      <c r="F20" s="5">
        <f>0.01899*11</f>
        <v>0.20888999999999999</v>
      </c>
      <c r="G20" s="5">
        <f>RBA_47891151213[[#This Row],[Unit Price]]*RBA_47891151213[[#This Row],[Quantity]]</f>
        <v>0.20888999999999999</v>
      </c>
      <c r="H20" t="s">
        <v>382</v>
      </c>
      <c r="I20" t="s">
        <v>218</v>
      </c>
      <c r="J20" s="32"/>
      <c r="K20" s="32"/>
    </row>
    <row r="21" spans="1:11" ht="50.1" customHeight="1">
      <c r="A21" s="31" t="s">
        <v>400</v>
      </c>
      <c r="C21" s="31">
        <v>1</v>
      </c>
      <c r="D21" s="32" t="s">
        <v>220</v>
      </c>
      <c r="E21" s="32" t="str">
        <f t="shared" si="1"/>
        <v>PETG</v>
      </c>
      <c r="F21" s="5">
        <f>0.01899*17</f>
        <v>0.32283000000000001</v>
      </c>
      <c r="G21" s="5">
        <f>RBA_47891151213[[#This Row],[Unit Price]]*RBA_47891151213[[#This Row],[Quantity]]</f>
        <v>0.32283000000000001</v>
      </c>
      <c r="H21" t="s">
        <v>418</v>
      </c>
      <c r="I21" t="s">
        <v>218</v>
      </c>
      <c r="J21" s="32"/>
      <c r="K21" s="32"/>
    </row>
    <row r="22" spans="1:11" ht="50.1" customHeight="1">
      <c r="A22" s="31" t="s">
        <v>247</v>
      </c>
      <c r="C22" s="31">
        <v>1</v>
      </c>
      <c r="D22" t="s">
        <v>221</v>
      </c>
      <c r="E22" s="32"/>
      <c r="F22" s="5">
        <f>'Mechanical - Buffer'!L3</f>
        <v>2.3946900000000002</v>
      </c>
      <c r="G22" s="5">
        <f>RBA_47891151213[[#This Row],[Unit Price]]*RBA_47891151213[[#This Row],[Quantity]]</f>
        <v>2.3946900000000002</v>
      </c>
      <c r="K22" s="32"/>
    </row>
    <row r="23" spans="1:11" ht="50.1" customHeight="1">
      <c r="A23" s="31" t="s">
        <v>401</v>
      </c>
      <c r="C23" s="31">
        <v>1</v>
      </c>
      <c r="D23" s="32" t="s">
        <v>220</v>
      </c>
      <c r="E23" s="32" t="str">
        <f t="shared" si="1"/>
        <v>PETG</v>
      </c>
      <c r="F23" s="5">
        <f>0.01899*108</f>
        <v>2.0509200000000001</v>
      </c>
      <c r="G23" s="5">
        <f>RBA_47891151213[[#This Row],[Unit Price]]*RBA_47891151213[[#This Row],[Quantity]]</f>
        <v>2.0509200000000001</v>
      </c>
      <c r="H23" t="s">
        <v>418</v>
      </c>
      <c r="I23" t="s">
        <v>218</v>
      </c>
      <c r="J23" s="32"/>
      <c r="K23" s="32"/>
    </row>
    <row r="24" spans="1:11" ht="50.1" customHeight="1">
      <c r="A24" s="31" t="s">
        <v>359</v>
      </c>
      <c r="C24" s="31">
        <v>2</v>
      </c>
      <c r="D24" s="32" t="s">
        <v>220</v>
      </c>
      <c r="E24" s="32" t="str">
        <f t="shared" si="1"/>
        <v>PETG</v>
      </c>
      <c r="F24" s="5">
        <f>0.01899*7</f>
        <v>0.13292999999999999</v>
      </c>
      <c r="G24" s="5">
        <f>RBA_47891151213[[#This Row],[Unit Price]]*RBA_47891151213[[#This Row],[Quantity]]</f>
        <v>0.26585999999999999</v>
      </c>
      <c r="H24" t="s">
        <v>418</v>
      </c>
      <c r="I24" t="s">
        <v>218</v>
      </c>
      <c r="J24" s="32"/>
      <c r="K24" s="32"/>
    </row>
    <row r="25" spans="1:11" ht="50.1" customHeight="1">
      <c r="A25" s="31" t="s">
        <v>402</v>
      </c>
      <c r="C25" s="31">
        <v>1</v>
      </c>
      <c r="D25" t="s">
        <v>349</v>
      </c>
      <c r="E25" s="32" t="str">
        <f>HYPERLINK("https://www.ebay.com/itm/392938210815", "Ebay")</f>
        <v>Ebay</v>
      </c>
      <c r="F25" s="5">
        <v>69.959999999999994</v>
      </c>
      <c r="G25" s="5">
        <f>RBA_47891151213[[#This Row],[Unit Price]]*RBA_47891151213[[#This Row],[Quantity]]</f>
        <v>69.959999999999994</v>
      </c>
      <c r="K25" s="32" t="str">
        <f t="shared" ref="K25:K32" si="2">HYPERLINK("https://www.amazon.com/Aluminum-Extrusion-European-Standard-Anodized/dp/B08CN92SP1/ref=sr_1_7?crid=3VIGODRUEW0NZ&amp;keywords=150mm+2040&amp;qid=1645476496&amp;sprefix=150mm+2040%2Caps%2C147&amp;sr=8-7", "Amazon")</f>
        <v>Amazon</v>
      </c>
    </row>
    <row r="26" spans="1:11" ht="50.1" customHeight="1">
      <c r="A26" s="31" t="s">
        <v>403</v>
      </c>
      <c r="C26" s="31">
        <v>1</v>
      </c>
      <c r="E26" s="32" t="str">
        <f t="shared" ref="E26:E27" si="3">HYPERLINK("https://8020.net/20-2040.html", "20-2040")</f>
        <v>20-2040</v>
      </c>
      <c r="F26" s="5">
        <v>0</v>
      </c>
      <c r="G26" s="5">
        <f>RBA_47891151213[[#This Row],[Unit Price]]*RBA_47891151213[[#This Row],[Quantity]]</f>
        <v>0</v>
      </c>
      <c r="H26" t="s">
        <v>411</v>
      </c>
      <c r="K26" s="32" t="str">
        <f t="shared" si="2"/>
        <v>Amazon</v>
      </c>
    </row>
    <row r="27" spans="1:11" ht="50.1" customHeight="1">
      <c r="A27" s="31" t="s">
        <v>404</v>
      </c>
      <c r="C27" s="31">
        <v>1</v>
      </c>
      <c r="E27" s="32" t="str">
        <f t="shared" si="3"/>
        <v>20-2040</v>
      </c>
      <c r="F27" s="5">
        <v>0</v>
      </c>
      <c r="G27" s="5">
        <f>RBA_47891151213[[#This Row],[Unit Price]]*RBA_47891151213[[#This Row],[Quantity]]</f>
        <v>0</v>
      </c>
      <c r="H27" t="s">
        <v>411</v>
      </c>
      <c r="K27" s="32" t="str">
        <f t="shared" si="2"/>
        <v>Amazon</v>
      </c>
    </row>
    <row r="28" spans="1:11" ht="50.1" customHeight="1">
      <c r="A28" s="31" t="s">
        <v>249</v>
      </c>
      <c r="C28" s="31">
        <v>32</v>
      </c>
      <c r="D28" t="s">
        <v>220</v>
      </c>
      <c r="E28" s="32" t="str">
        <f>HYPERLINK("https://amzn.to/3I8VKIx", "Amazon")</f>
        <v>Amazon</v>
      </c>
      <c r="F28" s="5">
        <f>10.99/50</f>
        <v>0.2198</v>
      </c>
      <c r="G28" s="5">
        <f>RBA_47891151213[[#This Row],[Unit Price]]*RBA_47891151213[[#This Row],[Quantity]]</f>
        <v>7.0335999999999999</v>
      </c>
      <c r="H28" t="s">
        <v>285</v>
      </c>
      <c r="I28" t="s">
        <v>286</v>
      </c>
      <c r="J28" t="s">
        <v>267</v>
      </c>
      <c r="K28" s="32" t="str">
        <f>HYPERLINK("https://www.mcmaster.com/90510A232/", "McMaster")</f>
        <v>McMaster</v>
      </c>
    </row>
    <row r="29" spans="1:11" ht="50.1" customHeight="1">
      <c r="A29" s="31" t="s">
        <v>248</v>
      </c>
      <c r="C29" s="31">
        <v>30</v>
      </c>
      <c r="D29" t="s">
        <v>267</v>
      </c>
      <c r="E29" s="32" t="str">
        <f>HYPERLINK("https://www.mcmaster.com/92095A208/", "McMaster")</f>
        <v>McMaster</v>
      </c>
      <c r="F29" s="5">
        <f>16.33/100</f>
        <v>0.16329999999999997</v>
      </c>
      <c r="G29" s="5">
        <f>RBA_47891151213[[#This Row],[Unit Price]]*RBA_47891151213[[#This Row],[Quantity]]</f>
        <v>4.8989999999999991</v>
      </c>
      <c r="H29" t="s">
        <v>283</v>
      </c>
      <c r="I29" t="s">
        <v>284</v>
      </c>
      <c r="J29" t="s">
        <v>220</v>
      </c>
      <c r="K29" s="32" t="str">
        <f>HYPERLINK("https://amzn.to/3I9bwDb", "Amazon")</f>
        <v>Amazon</v>
      </c>
    </row>
    <row r="30" spans="1:11" ht="50.1" customHeight="1">
      <c r="A30" s="31" t="s">
        <v>328</v>
      </c>
      <c r="C30" s="31">
        <v>2</v>
      </c>
      <c r="D30" t="s">
        <v>267</v>
      </c>
      <c r="E30" s="32" t="str">
        <f>HYPERLINK("https://www.mcmaster.com/92095A216/", "McMaster")</f>
        <v>McMaster</v>
      </c>
      <c r="F30" s="5">
        <f>7.64/25</f>
        <v>0.30559999999999998</v>
      </c>
      <c r="G30" s="5">
        <f>RBA_47891151213[[#This Row],[Unit Price]]*RBA_47891151213[[#This Row],[Quantity]]</f>
        <v>0.61119999999999997</v>
      </c>
      <c r="H30" t="s">
        <v>356</v>
      </c>
      <c r="K30" s="32"/>
    </row>
    <row r="31" spans="1:11" ht="50.1" customHeight="1">
      <c r="A31" s="31" t="s">
        <v>291</v>
      </c>
      <c r="C31" s="31">
        <v>2</v>
      </c>
      <c r="D31" t="s">
        <v>267</v>
      </c>
      <c r="E31" s="32" t="str">
        <f>HYPERLINK("https://www.mcmaster.com/92095A218/", "McMaster")</f>
        <v>McMaster</v>
      </c>
      <c r="F31" s="5">
        <f>9.22/25</f>
        <v>0.36880000000000002</v>
      </c>
      <c r="G31" s="5">
        <f>RBA_47891151213[[#This Row],[Unit Price]]*RBA_47891151213[[#This Row],[Quantity]]</f>
        <v>0.73760000000000003</v>
      </c>
      <c r="K31" s="32" t="str">
        <f t="shared" si="2"/>
        <v>Amazon</v>
      </c>
    </row>
    <row r="32" spans="1:11" ht="50.1" customHeight="1">
      <c r="A32" s="31" t="s">
        <v>405</v>
      </c>
      <c r="C32" s="31">
        <v>4</v>
      </c>
      <c r="D32" t="s">
        <v>267</v>
      </c>
      <c r="E32" s="32" t="str">
        <f>HYPERLINK("https://www.mcmaster.com/92095A214/", "McMaster")</f>
        <v>McMaster</v>
      </c>
      <c r="F32" s="5">
        <f>12.38/50</f>
        <v>0.24760000000000001</v>
      </c>
      <c r="G32" s="5">
        <f>RBA_47891151213[[#This Row],[Unit Price]]*RBA_47891151213[[#This Row],[Quantity]]</f>
        <v>0.99040000000000006</v>
      </c>
      <c r="K32" s="32" t="str">
        <f t="shared" si="2"/>
        <v>Amazon</v>
      </c>
    </row>
    <row r="33" spans="1:11" ht="50.1" customHeight="1">
      <c r="A33" s="31" t="s">
        <v>266</v>
      </c>
      <c r="C33" s="31">
        <v>4</v>
      </c>
      <c r="D33" t="s">
        <v>267</v>
      </c>
      <c r="E33" s="32" t="str">
        <f>HYPERLINK("https://www.mcmaster.com/90591A260/", "McMaster")</f>
        <v>McMaster</v>
      </c>
      <c r="F33" s="5">
        <f>3.56/100</f>
        <v>3.56E-2</v>
      </c>
      <c r="G33" s="5">
        <f>RBA_47891151213[[#This Row],[Unit Price]]*RBA_47891151213[[#This Row],[Quantity]]</f>
        <v>0.1424</v>
      </c>
      <c r="H33" t="s">
        <v>273</v>
      </c>
      <c r="I33" t="s">
        <v>279</v>
      </c>
      <c r="K33" s="32" t="str">
        <f>HYPERLINK("https://amzn.to/3v5pm5K", "Amazon")</f>
        <v>Amazon</v>
      </c>
    </row>
    <row r="34" spans="1:11" ht="50.1" customHeight="1">
      <c r="A34" s="31" t="s">
        <v>406</v>
      </c>
      <c r="C34" s="31">
        <v>4</v>
      </c>
      <c r="D34" t="s">
        <v>267</v>
      </c>
      <c r="E34" s="32" t="str">
        <f>HYPERLINK("https://www.mcmaster.com/92095A475/", "McMaster")</f>
        <v>McMaster</v>
      </c>
      <c r="F34" s="5">
        <f>4/25</f>
        <v>0.16</v>
      </c>
      <c r="G34" s="5">
        <f>RBA_47891151213[[#This Row],[Unit Price]]*RBA_47891151213[[#This Row],[Quantity]]</f>
        <v>0.64</v>
      </c>
      <c r="H34" t="s">
        <v>408</v>
      </c>
      <c r="I34" t="s">
        <v>256</v>
      </c>
      <c r="K34" s="32"/>
    </row>
    <row r="35" spans="1:11" ht="50.1" customHeight="1">
      <c r="A35" s="31" t="s">
        <v>407</v>
      </c>
      <c r="C35" s="31">
        <v>6</v>
      </c>
      <c r="D35" t="s">
        <v>220</v>
      </c>
      <c r="E35" s="32" t="str">
        <f>HYPERLINK("https://amzn.to/3JSYdHx", "Amazon")</f>
        <v>Amazon</v>
      </c>
      <c r="F35" s="5">
        <f>8.99/200</f>
        <v>4.4950000000000004E-2</v>
      </c>
      <c r="G35" s="5">
        <f>RBA_47891151213[[#This Row],[Unit Price]]*RBA_47891151213[[#This Row],[Quantity]]</f>
        <v>0.26970000000000005</v>
      </c>
      <c r="H35" t="s">
        <v>419</v>
      </c>
      <c r="K35" s="32"/>
    </row>
  </sheetData>
  <mergeCells count="1">
    <mergeCell ref="A1:O1"/>
  </mergeCells>
  <conditionalFormatting sqref="F7:F10 F15:F16 F12:F13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7:F10 F15:F16 F12:F1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35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4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0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8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9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B881-1A8F-42B7-8D24-2632762BB81C}">
  <dimension ref="A1:AF22"/>
  <sheetViews>
    <sheetView workbookViewId="0">
      <selection activeCell="F3" sqref="F3"/>
    </sheetView>
  </sheetViews>
  <sheetFormatPr defaultRowHeight="50.1" customHeight="1"/>
  <cols>
    <col min="1" max="1" width="33" bestFit="1" customWidth="1"/>
    <col min="2" max="2" width="12.7109375" bestFit="1" customWidth="1"/>
    <col min="3" max="3" width="11" bestFit="1" customWidth="1"/>
    <col min="4" max="4" width="9.85546875" bestFit="1" customWidth="1"/>
    <col min="5" max="5" width="13.85546875" bestFit="1" customWidth="1"/>
    <col min="6" max="6" width="12" bestFit="1" customWidth="1"/>
    <col min="7" max="7" width="18.140625" bestFit="1" customWidth="1"/>
    <col min="8" max="8" width="89.7109375" bestFit="1" customWidth="1"/>
    <col min="9" max="9" width="13.7109375" bestFit="1" customWidth="1"/>
    <col min="10" max="10" width="16.140625" customWidth="1"/>
    <col min="11" max="11" width="23.5703125" customWidth="1"/>
    <col min="12" max="12" width="47" bestFit="1" customWidth="1"/>
    <col min="13" max="13" width="13.7109375" bestFit="1" customWidth="1"/>
    <col min="14" max="14" width="17.85546875" bestFit="1" customWidth="1"/>
    <col min="15" max="15" width="15" bestFit="1" customWidth="1"/>
    <col min="16" max="16" width="12.85546875" bestFit="1" customWidth="1"/>
    <col min="17" max="17" width="25.28515625" bestFit="1" customWidth="1"/>
    <col min="18" max="18" width="13.28515625" bestFit="1" customWidth="1"/>
    <col min="19" max="19" width="20.42578125" bestFit="1" customWidth="1"/>
    <col min="20" max="20" width="19.42578125" bestFit="1" customWidth="1"/>
    <col min="21" max="21" width="9.7109375" bestFit="1" customWidth="1"/>
    <col min="22" max="22" width="10.42578125" bestFit="1" customWidth="1"/>
    <col min="23" max="23" width="8.7109375" bestFit="1" customWidth="1"/>
    <col min="24" max="24" width="9.7109375" bestFit="1" customWidth="1"/>
    <col min="25" max="25" width="15.85546875" bestFit="1" customWidth="1"/>
    <col min="26" max="26" width="17.7109375" bestFit="1" customWidth="1"/>
    <col min="27" max="27" width="17.5703125" bestFit="1" customWidth="1"/>
    <col min="28" max="28" width="11.140625" bestFit="1" customWidth="1"/>
    <col min="29" max="29" width="11.42578125" bestFit="1" customWidth="1"/>
    <col min="30" max="30" width="15.5703125" bestFit="1" customWidth="1"/>
    <col min="31" max="31" width="12.7109375" bestFit="1" customWidth="1"/>
    <col min="32" max="32" width="10.5703125" bestFit="1" customWidth="1"/>
  </cols>
  <sheetData>
    <row r="1" spans="1:32" ht="50.1" customHeight="1">
      <c r="A1" s="44" t="s">
        <v>244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Q1" s="18"/>
      <c r="R1" s="19"/>
      <c r="S1" s="19"/>
      <c r="T1" s="19"/>
      <c r="U1" s="19"/>
      <c r="V1" s="19"/>
      <c r="W1" s="19"/>
      <c r="X1" s="19"/>
      <c r="Y1" s="20"/>
      <c r="Z1" s="19"/>
      <c r="AA1" s="19"/>
      <c r="AB1" s="19"/>
      <c r="AC1" s="19"/>
      <c r="AD1" s="19"/>
      <c r="AE1" s="21"/>
      <c r="AF1" s="21"/>
    </row>
    <row r="2" spans="1:32" ht="50.1" customHeight="1">
      <c r="A2" s="14" t="s">
        <v>239</v>
      </c>
      <c r="B2" s="15" t="s">
        <v>241</v>
      </c>
      <c r="C2" s="15" t="s">
        <v>6</v>
      </c>
      <c r="D2" s="15" t="s">
        <v>219</v>
      </c>
      <c r="E2" s="15" t="s">
        <v>240</v>
      </c>
      <c r="F2" s="15" t="s">
        <v>7</v>
      </c>
      <c r="G2" s="16" t="s">
        <v>8</v>
      </c>
      <c r="H2" s="15" t="s">
        <v>11</v>
      </c>
      <c r="I2" s="17" t="s">
        <v>217</v>
      </c>
      <c r="J2" s="17" t="s">
        <v>257</v>
      </c>
      <c r="K2" s="17" t="s">
        <v>258</v>
      </c>
      <c r="L2" s="33" t="s">
        <v>275</v>
      </c>
    </row>
    <row r="3" spans="1:32" ht="50.1" customHeight="1">
      <c r="A3" s="31" t="s">
        <v>261</v>
      </c>
      <c r="C3" s="31">
        <v>2</v>
      </c>
      <c r="D3" t="s">
        <v>220</v>
      </c>
      <c r="E3" s="32" t="str">
        <f>HYPERLINK("https://amzn.to/3pcU6xT", "Amazon")</f>
        <v>Amazon</v>
      </c>
      <c r="F3" s="5">
        <f>15.99/20</f>
        <v>0.79949999999999999</v>
      </c>
      <c r="G3" s="5">
        <f>RBA_47[[#This Row],[Unit Price]]*RBA_47[[#This Row],[Quantity]]</f>
        <v>1.599</v>
      </c>
      <c r="H3" t="s">
        <v>269</v>
      </c>
      <c r="K3" s="32"/>
      <c r="L3" s="7">
        <f>SUM(RBA_47[Extended Price])</f>
        <v>2.3946900000000002</v>
      </c>
    </row>
    <row r="4" spans="1:32" ht="50.1" customHeight="1">
      <c r="A4" s="31" t="s">
        <v>262</v>
      </c>
      <c r="C4" s="31">
        <v>1</v>
      </c>
      <c r="D4" t="s">
        <v>267</v>
      </c>
      <c r="E4" s="32" t="str">
        <f>HYPERLINK("https://www.mcmaster.com/91306A736/", "McMaster")</f>
        <v>McMaster</v>
      </c>
      <c r="F4" s="5">
        <f>13.78/25</f>
        <v>0.55120000000000002</v>
      </c>
      <c r="G4" s="5">
        <f>RBA_47[[#This Row],[Unit Price]]*RBA_47[[#This Row],[Quantity]]</f>
        <v>0.55120000000000002</v>
      </c>
      <c r="H4" t="s">
        <v>268</v>
      </c>
      <c r="I4" t="s">
        <v>274</v>
      </c>
      <c r="J4" t="s">
        <v>220</v>
      </c>
      <c r="K4" s="32" t="str">
        <f>HYPERLINK("https://www.amazon.com/ZAYI-M5-0-8-Stainless-Finish%EF%BC%8CMetric-Fastener/dp/B09MRGZ473/ref=sr_1_3?crid=3FJWNU9KFFIX0&amp;keywords=M5+50mm&amp;qid=1645477676&amp;sprefix=m5+50mm%2Caps%2C146&amp;sr=8-3", "Amazon")</f>
        <v>Amazon</v>
      </c>
    </row>
    <row r="5" spans="1:32" ht="50.1" customHeight="1">
      <c r="A5" s="31" t="s">
        <v>263</v>
      </c>
      <c r="C5" s="31">
        <v>1</v>
      </c>
      <c r="D5" t="s">
        <v>220</v>
      </c>
      <c r="E5" s="32" t="str">
        <f>HYPERLINK("https://amzn.to/3p4Z7Zp", "PETG")</f>
        <v>PETG</v>
      </c>
      <c r="F5" s="5">
        <v>1.899E-2</v>
      </c>
      <c r="G5" s="5">
        <f>RBA_47[[#This Row],[Unit Price]]*RBA_47[[#This Row],[Quantity]]</f>
        <v>1.899E-2</v>
      </c>
      <c r="H5" t="s">
        <v>270</v>
      </c>
      <c r="I5" t="s">
        <v>218</v>
      </c>
      <c r="K5" s="32"/>
    </row>
    <row r="6" spans="1:32" ht="50.1" customHeight="1">
      <c r="A6" s="31" t="s">
        <v>264</v>
      </c>
      <c r="C6" s="31">
        <v>1</v>
      </c>
      <c r="D6" t="s">
        <v>220</v>
      </c>
      <c r="E6" s="32" t="str">
        <f t="shared" ref="E6:E7" si="0">HYPERLINK("https://amzn.to/3p4Z7Zp", "PETG")</f>
        <v>PETG</v>
      </c>
      <c r="F6" s="5">
        <v>1.899E-2</v>
      </c>
      <c r="G6" s="5">
        <f>RBA_47[[#This Row],[Unit Price]]*RBA_47[[#This Row],[Quantity]]</f>
        <v>1.899E-2</v>
      </c>
      <c r="H6" t="s">
        <v>271</v>
      </c>
      <c r="I6" t="s">
        <v>218</v>
      </c>
      <c r="K6" s="32"/>
    </row>
    <row r="7" spans="1:32" ht="50.1" customHeight="1">
      <c r="A7" s="31" t="s">
        <v>265</v>
      </c>
      <c r="C7" s="31">
        <v>1</v>
      </c>
      <c r="D7" t="s">
        <v>220</v>
      </c>
      <c r="E7" s="32" t="str">
        <f t="shared" si="0"/>
        <v>PETG</v>
      </c>
      <c r="F7" s="5">
        <f>0.01899*9</f>
        <v>0.17091000000000001</v>
      </c>
      <c r="G7" s="5">
        <f>RBA_47[[#This Row],[Unit Price]]*RBA_47[[#This Row],[Quantity]]</f>
        <v>0.17091000000000001</v>
      </c>
      <c r="H7" t="s">
        <v>272</v>
      </c>
      <c r="I7" t="s">
        <v>218</v>
      </c>
      <c r="K7" s="32"/>
    </row>
    <row r="8" spans="1:32" ht="50.1" customHeight="1">
      <c r="A8" s="31" t="s">
        <v>266</v>
      </c>
      <c r="C8" s="31">
        <v>1</v>
      </c>
      <c r="D8" t="s">
        <v>267</v>
      </c>
      <c r="E8" s="32" t="str">
        <f>HYPERLINK("https://www.mcmaster.com/90591A260/", "McMaster")</f>
        <v>McMaster</v>
      </c>
      <c r="F8" s="5">
        <f>3.56/100</f>
        <v>3.56E-2</v>
      </c>
      <c r="G8" s="5">
        <f>RBA_47[[#This Row],[Unit Price]]*RBA_47[[#This Row],[Quantity]]</f>
        <v>3.56E-2</v>
      </c>
      <c r="H8" t="s">
        <v>273</v>
      </c>
      <c r="I8" t="s">
        <v>279</v>
      </c>
      <c r="K8" s="32" t="str">
        <f>HYPERLINK("https://amzn.to/3v5pm5K", "Amazon")</f>
        <v>Amazon</v>
      </c>
    </row>
    <row r="9" spans="1:32" ht="50.1" customHeight="1">
      <c r="A9" s="31"/>
      <c r="C9" s="31"/>
      <c r="E9" s="32"/>
      <c r="F9" s="5"/>
      <c r="G9" s="5"/>
      <c r="K9" s="32"/>
    </row>
    <row r="10" spans="1:32" ht="50.1" customHeight="1">
      <c r="A10" s="31"/>
      <c r="C10" s="31"/>
      <c r="E10" s="32"/>
      <c r="F10" s="5"/>
      <c r="G10" s="5"/>
      <c r="K10" s="32"/>
    </row>
    <row r="11" spans="1:32" ht="50.1" customHeight="1">
      <c r="A11" s="31"/>
      <c r="C11" s="31"/>
      <c r="E11" s="32"/>
      <c r="F11" s="5"/>
      <c r="G11" s="5"/>
      <c r="K11" s="32"/>
    </row>
    <row r="12" spans="1:32" ht="50.1" customHeight="1">
      <c r="A12" s="31"/>
      <c r="C12" s="31"/>
      <c r="E12" s="32"/>
      <c r="F12" s="5"/>
      <c r="G12" s="5"/>
      <c r="K12" s="32"/>
    </row>
    <row r="13" spans="1:32" ht="50.1" customHeight="1">
      <c r="A13" s="31"/>
      <c r="C13" s="31"/>
      <c r="E13" s="32"/>
      <c r="F13" s="5"/>
      <c r="G13" s="5"/>
      <c r="K13" s="32"/>
    </row>
    <row r="14" spans="1:32" ht="50.1" customHeight="1">
      <c r="A14" s="31"/>
      <c r="C14" s="31"/>
      <c r="E14" s="32"/>
      <c r="F14" s="5"/>
      <c r="G14" s="5"/>
      <c r="K14" s="32"/>
    </row>
    <row r="15" spans="1:32" ht="50.1" customHeight="1">
      <c r="A15" s="31"/>
      <c r="C15" s="31"/>
      <c r="E15" s="32"/>
      <c r="F15" s="5"/>
      <c r="G15" s="5"/>
      <c r="K15" s="32"/>
    </row>
    <row r="16" spans="1:32" ht="50.1" customHeight="1">
      <c r="A16" s="31"/>
      <c r="C16" s="31"/>
      <c r="E16" s="32"/>
      <c r="F16" s="5"/>
      <c r="G16" s="5"/>
      <c r="K16" s="32"/>
    </row>
    <row r="17" spans="1:11" ht="50.1" customHeight="1">
      <c r="E17" s="32"/>
      <c r="F17" s="5"/>
      <c r="G17" s="5"/>
      <c r="K17" s="32"/>
    </row>
    <row r="18" spans="1:11" ht="50.1" customHeight="1">
      <c r="E18" s="32"/>
      <c r="F18" s="5"/>
      <c r="G18" s="5"/>
      <c r="K18" s="32"/>
    </row>
    <row r="19" spans="1:11" ht="50.1" customHeight="1">
      <c r="E19" s="32"/>
      <c r="F19" s="5"/>
      <c r="G19" s="5"/>
      <c r="K19" s="32"/>
    </row>
    <row r="20" spans="1:11" ht="50.1" customHeight="1">
      <c r="E20" s="32"/>
      <c r="F20" s="5"/>
      <c r="G20" s="5"/>
      <c r="K20" s="32"/>
    </row>
    <row r="21" spans="1:11" ht="50.1" customHeight="1">
      <c r="E21" s="32"/>
      <c r="F21" s="5"/>
      <c r="G21" s="5"/>
      <c r="K21" s="32"/>
    </row>
    <row r="22" spans="1:11" ht="50.1" customHeight="1">
      <c r="A22" s="40"/>
      <c r="B22" s="40"/>
      <c r="C22" s="40"/>
      <c r="D22" s="40"/>
      <c r="E22" s="40"/>
      <c r="F22" s="40"/>
      <c r="G22" s="40"/>
      <c r="H22" s="40"/>
      <c r="I22" s="5"/>
    </row>
  </sheetData>
  <mergeCells count="2">
    <mergeCell ref="A1:O1"/>
    <mergeCell ref="A22:H22"/>
  </mergeCells>
  <conditionalFormatting sqref="G18:G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1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2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Overall</vt:lpstr>
      <vt:lpstr>Electrical </vt:lpstr>
      <vt:lpstr>Mechanical - Rail_AssemblyV2_0</vt:lpstr>
      <vt:lpstr>Mechanical - Ebox_Assy</vt:lpstr>
      <vt:lpstr>Mechanical - Top_Rail_Full</vt:lpstr>
      <vt:lpstr>Mechanical - Carriage Assembly</vt:lpstr>
      <vt:lpstr>Mechanical - Top_Rail_Section</vt:lpstr>
      <vt:lpstr>Mechanical - Yaxis_Carriage</vt:lpstr>
      <vt:lpstr>Mechanical - Buffer</vt:lpstr>
      <vt:lpstr>Mechanical - X_CarriageFWD_V2_1</vt:lpstr>
      <vt:lpstr>Mechanical - X_Carriage_v2_1</vt:lpstr>
      <vt:lpstr>Mechanical - X_CarriageFWDBeari</vt:lpstr>
      <vt:lpstr>Mechanical - Bottom_Foot_Assemb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Jorian Brusind</dc:creator>
  <cp:lastModifiedBy>Jorian Brusind</cp:lastModifiedBy>
  <dcterms:created xsi:type="dcterms:W3CDTF">2021-03-29T18:37:09Z</dcterms:created>
  <dcterms:modified xsi:type="dcterms:W3CDTF">2022-03-02T23:24:25Z</dcterms:modified>
</cp:coreProperties>
</file>